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autoCompressPictures="0"/>
  <mc:AlternateContent xmlns:mc="http://schemas.openxmlformats.org/markup-compatibility/2006">
    <mc:Choice Requires="x15">
      <x15ac:absPath xmlns:x15ac="http://schemas.microsoft.com/office/spreadsheetml/2010/11/ac" url="https://precast-my.sharepoint.com/personal/hbremer_precast_org/Documents/Desktop/"/>
    </mc:Choice>
  </mc:AlternateContent>
  <xr:revisionPtr revIDLastSave="29" documentId="13_ncr:1_{CE3689B6-917E-416D-97F0-14672986CE3A}" xr6:coauthVersionLast="47" xr6:coauthVersionMax="47" xr10:uidLastSave="{029668B3-68A3-434E-B138-58C95912BD98}"/>
  <bookViews>
    <workbookView xWindow="-108" yWindow="-108" windowWidth="23256" windowHeight="12456" activeTab="2" xr2:uid="{00000000-000D-0000-FFFF-FFFF00000000}"/>
  </bookViews>
  <sheets>
    <sheet name="Rectangle" sheetId="11" r:id="rId1"/>
    <sheet name="Round" sheetId="12" r:id="rId2"/>
    <sheet name="Tables" sheetId="14" r:id="rId3"/>
  </sheets>
  <definedNames>
    <definedName name="_xlnm.Print_Area" localSheetId="1">Round!$A$1:$K$131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C27" i="11" l="1"/>
  <c r="C60" i="11" l="1"/>
  <c r="C66" i="11" s="1"/>
  <c r="C42" i="11" l="1"/>
  <c r="C20" i="12" l="1"/>
  <c r="G18" i="12" l="1"/>
  <c r="G19" i="12"/>
  <c r="G17" i="12" s="1"/>
  <c r="G26" i="12" s="1"/>
  <c r="G21" i="12"/>
  <c r="G25" i="12" s="1"/>
  <c r="C24" i="12"/>
  <c r="G24" i="12"/>
  <c r="C27" i="12"/>
  <c r="C43" i="12"/>
  <c r="H100" i="12" s="1"/>
  <c r="G43" i="12"/>
  <c r="C51" i="12"/>
  <c r="G54" i="12"/>
  <c r="G63" i="12"/>
  <c r="G65" i="12" s="1"/>
  <c r="G80" i="12"/>
  <c r="G81" i="12"/>
  <c r="G82" i="12"/>
  <c r="G83" i="12"/>
  <c r="H97" i="12"/>
  <c r="H98" i="12"/>
  <c r="F98" i="12" s="1"/>
  <c r="F97" i="12" s="1"/>
  <c r="F99" i="12"/>
  <c r="F100" i="12"/>
  <c r="G56" i="12" l="1"/>
  <c r="G22" i="12"/>
  <c r="G84" i="12"/>
  <c r="C50" i="12" s="1"/>
  <c r="G75" i="12"/>
  <c r="G57" i="12"/>
  <c r="G69" i="12"/>
  <c r="C55" i="12"/>
  <c r="G23" i="12"/>
  <c r="G76" i="12"/>
  <c r="C49" i="12" s="1"/>
  <c r="G20" i="12"/>
  <c r="C57" i="12" s="1"/>
  <c r="G27" i="12"/>
  <c r="C75" i="12"/>
  <c r="C77" i="12" s="1"/>
  <c r="H99" i="12"/>
  <c r="G70" i="12"/>
  <c r="C31" i="11"/>
  <c r="C56" i="12" l="1"/>
  <c r="C62" i="12" s="1"/>
  <c r="G68" i="12"/>
  <c r="C58" i="12" s="1"/>
  <c r="C63" i="12" s="1"/>
  <c r="K52" i="11"/>
  <c r="C64" i="12" l="1"/>
  <c r="C82" i="12" s="1"/>
  <c r="C43" i="11"/>
  <c r="C59" i="11"/>
  <c r="C44" i="11" l="1"/>
  <c r="C45" i="11" s="1"/>
  <c r="C41" i="11"/>
  <c r="C58" i="11"/>
  <c r="C67" i="11" s="1"/>
  <c r="C57" i="11"/>
  <c r="C40" i="11"/>
  <c r="K51" i="11"/>
  <c r="C102" i="11" l="1"/>
  <c r="K54" i="11"/>
  <c r="K53" i="11" s="1"/>
  <c r="N57" i="11" l="1"/>
  <c r="J56" i="11"/>
  <c r="C51" i="11"/>
  <c r="C65" i="11" s="1"/>
  <c r="H76" i="11"/>
  <c r="C90" i="11" l="1"/>
  <c r="N63" i="11"/>
  <c r="J64" i="11"/>
  <c r="J60" i="11"/>
  <c r="J59" i="11" s="1"/>
  <c r="J65" i="11" s="1"/>
  <c r="J63" i="11"/>
  <c r="C77" i="11" l="1"/>
  <c r="K4" i="11"/>
  <c r="C64" i="11"/>
  <c r="C76" i="11" s="1"/>
  <c r="C72" i="11"/>
  <c r="K6" i="11"/>
  <c r="C101" i="11" s="1"/>
  <c r="K7" i="11"/>
  <c r="J57" i="11" l="1"/>
  <c r="J66" i="11" s="1"/>
  <c r="J67" i="11" s="1"/>
  <c r="C86" i="11" s="1"/>
  <c r="C92" i="11"/>
  <c r="C78" i="11" l="1"/>
  <c r="C96" i="11" s="1"/>
</calcChain>
</file>

<file path=xl/sharedStrings.xml><?xml version="1.0" encoding="utf-8"?>
<sst xmlns="http://schemas.openxmlformats.org/spreadsheetml/2006/main" count="263" uniqueCount="148">
  <si>
    <t>Depth of Lid not Submerged</t>
    <phoneticPr fontId="3" type="noConversion"/>
  </si>
  <si>
    <t>(feet)</t>
  </si>
  <si>
    <t>(inches)</t>
  </si>
  <si>
    <t>Depth of Thicker Base not Submerged</t>
  </si>
  <si>
    <t>Depth of Lip not Submerged</t>
  </si>
  <si>
    <t>(lb)</t>
  </si>
  <si>
    <t>(lb/cf)</t>
  </si>
  <si>
    <t>Uplift Force</t>
  </si>
  <si>
    <t>Weight of extra concrete on bottom of tank used to create thicker base (Weight of extra concrete due to F)</t>
  </si>
  <si>
    <t>Weight of extra concrete due to lip (Weight of extra concrete due to P)</t>
  </si>
  <si>
    <t>Basic Dimensions</t>
  </si>
  <si>
    <t>Water in Tank</t>
  </si>
  <si>
    <t>Unit Weights</t>
  </si>
  <si>
    <t>Sliding Resistance</t>
  </si>
  <si>
    <t>Void Ratio</t>
  </si>
  <si>
    <t>P Dry: total soil force from the ground level to the water table</t>
  </si>
  <si>
    <t>P Buoyant: total buoyant force of the earth against the wall below the water table</t>
  </si>
  <si>
    <t>SG</t>
  </si>
  <si>
    <t>Gamma Saturated</t>
  </si>
  <si>
    <t>Weight of System Components</t>
  </si>
  <si>
    <t>Soil and Concrete Weights</t>
  </si>
  <si>
    <t>Changes in Total Concrete Weight Due to Customizations</t>
  </si>
  <si>
    <t>Weight of concrete removed due to lid hole</t>
  </si>
  <si>
    <t>Perimeter</t>
  </si>
  <si>
    <t>Pdry</t>
  </si>
  <si>
    <t>(lb/ft)</t>
  </si>
  <si>
    <t>Psat</t>
  </si>
  <si>
    <t>P</t>
  </si>
  <si>
    <t>C+Y+L+F</t>
  </si>
  <si>
    <t>C+Y+L+F-GW</t>
  </si>
  <si>
    <t>Rsliding</t>
  </si>
  <si>
    <t>L+C+F-DOTNS</t>
  </si>
  <si>
    <t>Y+L+C+F-GW</t>
  </si>
  <si>
    <t>&lt;&lt; This is the uplift force value given by the old equation</t>
  </si>
  <si>
    <t>Depth of tank that IS submerged</t>
  </si>
  <si>
    <t>Height of Tank</t>
  </si>
  <si>
    <t>&lt;&lt; Given by the new equation written on Friday</t>
  </si>
  <si>
    <t>Surface Area of Lip</t>
  </si>
  <si>
    <t>Depth of tank NOT submerged</t>
  </si>
  <si>
    <t>Lid Thickness  (L)</t>
  </si>
  <si>
    <t>Length of Tank  (A)</t>
  </si>
  <si>
    <t>Width of Tank  (B)</t>
  </si>
  <si>
    <t>Wall Thickness  (T)</t>
  </si>
  <si>
    <t>Base Thickness  (E)</t>
  </si>
  <si>
    <t>Distance to Groundwater  (GW)</t>
  </si>
  <si>
    <t>Add concrete inside the tank to make thicker base?</t>
  </si>
  <si>
    <t>Add concrete below the base of the tank to make thicker base?</t>
  </si>
  <si>
    <t>If yes, how much? (P)  If no, enter a value of 0.</t>
  </si>
  <si>
    <t>If yes, how much?  (F)  If no, enter a value of 0.</t>
  </si>
  <si>
    <t>Depth of Bury  (Y)  -  This measurement extends from the ground level to the top of the lid.</t>
  </si>
  <si>
    <t>Lip Thickness  -  This measurement is the sum of E and F.</t>
  </si>
  <si>
    <t>(cf)</t>
  </si>
  <si>
    <t>(gallons)</t>
  </si>
  <si>
    <t>Total Height of the Tank from the Top of the Lid to the Bottom of the Base -  This measurement is the sum of L, C, and F.  This is equivalent to the sum of L, C - E, E, and F.</t>
  </si>
  <si>
    <t>Initial Inside Height of Tank  -  This measurement is the value of C - E.</t>
  </si>
  <si>
    <t>Final Inside Height of Tank  -  This measurement is the value of C - E - U.</t>
  </si>
  <si>
    <t>Initial Base Thickness  -  This measurement is the value of E.</t>
  </si>
  <si>
    <t>Final Base Thickness  -  This measurement is the sum of E and F.</t>
  </si>
  <si>
    <t>Final Volume of Tank</t>
  </si>
  <si>
    <t xml:space="preserve">If yes, how much?  (U)  If no, enter a value of 0.  Please note:  The value entered must be less than the inside height of the tank. </t>
  </si>
  <si>
    <t>Water Level in Tank  -  Please note:  The value entered must be less than the final inside height of the tank.</t>
  </si>
  <si>
    <t>Weight of Water in Tank</t>
  </si>
  <si>
    <t>Unit Weight of Water</t>
  </si>
  <si>
    <t>Unit Weight of Dry Soil</t>
  </si>
  <si>
    <t>Unit Weight of Submerged Soil</t>
  </si>
  <si>
    <t>Unit Weight of Saturated Soil</t>
  </si>
  <si>
    <t>Unit Weight of Concrete</t>
  </si>
  <si>
    <t>Weight of Soil on Lid</t>
  </si>
  <si>
    <t>Weight of Soil on Lip</t>
  </si>
  <si>
    <t>Weight of Lid Alone</t>
  </si>
  <si>
    <t>Weight of Empty Tank  -  This value is the sum of weights of the body of the tank, the tank lid, the lip (P, if applicable), the thickened base (F, if applicable), and the extra concrete inside tank (U, if applicable), minus the weight of the concrete removed due to the hole in the lid.</t>
  </si>
  <si>
    <t>Total Weight of Soil on Tank</t>
  </si>
  <si>
    <t>Total Weight of Concrete</t>
  </si>
  <si>
    <t>Total Weight (Tank, Water in Tank, and Soil)</t>
  </si>
  <si>
    <t>Safety Factor</t>
  </si>
  <si>
    <t>Uplift Force with Safety Factor</t>
  </si>
  <si>
    <t>Customizations To Add Ballast</t>
  </si>
  <si>
    <t>Add Concrete Inside the Tank:</t>
  </si>
  <si>
    <t>Increase Thickness of the Base:</t>
  </si>
  <si>
    <t>Create Lip:</t>
  </si>
  <si>
    <t>Summary of Final Measurements after Ballast Customizations</t>
  </si>
  <si>
    <t>Height of Tank Excluding Lid  (C)  -  This value includes the base thickness but excludes the lid thickness.</t>
  </si>
  <si>
    <t>Rectangular Tank</t>
  </si>
  <si>
    <t>* * * ALL ORANGE CELLS MUST BE FILLED * * *</t>
  </si>
  <si>
    <t>Specific Gravity of Soil, SG</t>
  </si>
  <si>
    <t>Table 1</t>
  </si>
  <si>
    <t>Friction Factor (Found in Table 1), f</t>
  </si>
  <si>
    <t>Ratio of Lateral to Vertical Earth Pressure (Found in Table 2), Ka</t>
  </si>
  <si>
    <t>Void Ratio (Found in Table 3), e</t>
  </si>
  <si>
    <t>Values for f, Ka, and e can be found in Tables 1, 2, and 3 in the accompanying document.</t>
  </si>
  <si>
    <t>Additional Ballast Required</t>
  </si>
  <si>
    <t>Extend the base horizontally to create a lip?  -  The lip will be the thickness of E plus F, below, and it will extend this horizontal distance, P, from all four tank walls.</t>
  </si>
  <si>
    <t>Total Weight Removed Due to Penetrations</t>
  </si>
  <si>
    <t>Weight Removed Due to Penetration #3</t>
  </si>
  <si>
    <t>Weight Removed Due to Penetration #2</t>
  </si>
  <si>
    <t>Weight Removed Due to Penetration #1</t>
  </si>
  <si>
    <t>Area of lip</t>
  </si>
  <si>
    <t>Weight of dry soil above lip</t>
  </si>
  <si>
    <t>Weight of wet soil above manhole</t>
  </si>
  <si>
    <r>
      <t>Ratio of Lateral to Vertical Earth Pressure (Found in Table 2), K</t>
    </r>
    <r>
      <rPr>
        <vertAlign val="subscript"/>
        <sz val="10"/>
        <rFont val="Arial"/>
        <family val="2"/>
      </rPr>
      <t>a</t>
    </r>
  </si>
  <si>
    <t>Weight of dry soil above manhole</t>
  </si>
  <si>
    <t>Total weight of manhole (includes the subtractions for 3 penetrations and the lid hole)</t>
  </si>
  <si>
    <t>Specific Gravity of Soil</t>
  </si>
  <si>
    <t>ft</t>
  </si>
  <si>
    <t>circumference of base</t>
  </si>
  <si>
    <t>Total Weight (Manhole and Soil)</t>
  </si>
  <si>
    <t>diameter of base</t>
  </si>
  <si>
    <t>Total Weight of Soil</t>
  </si>
  <si>
    <t>Weight of Manhole (Weight of Barrel Section, Lip, and Lid)</t>
  </si>
  <si>
    <t>R sliding</t>
  </si>
  <si>
    <t>lb/ft</t>
  </si>
  <si>
    <t>Total Height</t>
  </si>
  <si>
    <t>Total weight removed due to penetrations in barrel section</t>
  </si>
  <si>
    <t>Unit Weight of Soil</t>
  </si>
  <si>
    <t>Diameter of Penetration #3  (H3)  -  Enter a value of 0 if there is no Penetraion #3.</t>
  </si>
  <si>
    <t>Diameter of Penetration #2  (H2)  -  Enter a value of 0 if there is no Penetraion #2.</t>
  </si>
  <si>
    <t>Diameter of Penetration #1  (H1)  -  Enter a value of 0 if there is no Penetraion #1.</t>
  </si>
  <si>
    <t>Add Penetrations:</t>
  </si>
  <si>
    <t>Thickness of lip  (E)  -  This measurement is determined by the value entered for the base thickness.  The lip thickness is equal to that of the base.</t>
  </si>
  <si>
    <t>If yes, how much?  (P)  If no, enter a value of 0.</t>
  </si>
  <si>
    <t>Extend the base horizontally to create a lip?</t>
  </si>
  <si>
    <t>Customizations</t>
  </si>
  <si>
    <t>weight of base</t>
  </si>
  <si>
    <t>Depth of Manhole Not Submerged in Water</t>
  </si>
  <si>
    <t>weight of manhole walls</t>
  </si>
  <si>
    <t>Distance to Groundwater (GW)</t>
  </si>
  <si>
    <t>Volume of base</t>
  </si>
  <si>
    <t>Lid Hole Diameter (H4)</t>
  </si>
  <si>
    <t>Volume of hole in lid</t>
  </si>
  <si>
    <t>Lid Diameter  -  This value is the sum of D and 2*T.</t>
  </si>
  <si>
    <t>Volume of manhole</t>
  </si>
  <si>
    <t>Volume of lid with hole removed</t>
  </si>
  <si>
    <t>Area of outside of base</t>
  </si>
  <si>
    <t>weight of lid</t>
  </si>
  <si>
    <t>Height of Manhole Barrel Section From Top of Base to Bottom of Lid  (C)  -  This value is the height of the barrel section.</t>
  </si>
  <si>
    <t>Area of outside manhole/lid</t>
  </si>
  <si>
    <t>Height of Manhole From Top of Base to Top of Lid  -  This value includes the height of the lid plus the barrel section, but excludes the height of the base.</t>
  </si>
  <si>
    <t>Area of inside of manhole</t>
  </si>
  <si>
    <t>Volume of manhole walls</t>
  </si>
  <si>
    <t>Inside Diameter of Manhole  (D)</t>
  </si>
  <si>
    <t>Manhole</t>
  </si>
  <si>
    <r>
      <rPr>
        <b/>
        <sz val="10"/>
        <rFont val="Arial"/>
        <family val="2"/>
      </rPr>
      <t>Disclaimer:</t>
    </r>
    <r>
      <rPr>
        <sz val="10"/>
        <rFont val="Arial"/>
        <family val="2"/>
      </rPr>
      <t xml:space="preserve"> Use of this calculator does not guarantee the proper function or performance of any product manufactured in accordance with the data herein. It is the user's responsibility to ensure their product is designed and manufactured to resist all forces applied.</t>
    </r>
  </si>
  <si>
    <r>
      <rPr>
        <b/>
        <sz val="11"/>
        <color theme="1"/>
        <rFont val="Arial"/>
        <family val="2"/>
      </rPr>
      <t>Disclaimer:</t>
    </r>
    <r>
      <rPr>
        <sz val="11"/>
        <color theme="1"/>
        <rFont val="Arial"/>
        <family val="2"/>
      </rPr>
      <t xml:space="preserve">  Use of this calculator does not guarantee the proper function or performance of any product manufactured in accordance with the data herein. It is the user's responsibility to ensure their product is designed and manufactured to resist all forces applied.</t>
    </r>
  </si>
  <si>
    <r>
      <t>Weight of extra concrete inside</t>
    </r>
    <r>
      <rPr>
        <i/>
        <sz val="10"/>
        <rFont val="Arial"/>
        <family val="2"/>
      </rPr>
      <t xml:space="preserve"> </t>
    </r>
    <r>
      <rPr>
        <sz val="10"/>
        <rFont val="Arial"/>
        <family val="2"/>
      </rPr>
      <t xml:space="preserve">tank used to create thicker base (Weight of extra concrete due to U) </t>
    </r>
  </si>
  <si>
    <t>Lid Hole Diameter  (H1)</t>
  </si>
  <si>
    <t>Lid Hole Diameter  (H2)  -  If tank has only one hole, leave blank.</t>
  </si>
  <si>
    <t>Lid Hole Diameter  (H3)  -  If tank has only one hole, leave blank.</t>
  </si>
  <si>
    <t>To access Tables 1, 2 and 3, click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</si>
</sst>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
  </numFmts>
  <fonts count="19" x14ac:knownFonts="1">
    <font>
      <sz val="10"/>
      <name val="Arial"/>
    </font>
    <font>
      <sz val="11"/>
      <color theme="1"/>
      <name val="Calibri"/>
      <family val="2"/>
      <scheme val="minor"/>
    </font>
    <font>
      <sz val="11"/>
      <color theme="1"/>
      <name val="Calibri"/>
      <family val="2"/>
      <scheme val="minor"/>
    </font>
    <font>
      <sz val="8"/>
      <name val="Arial"/>
      <family val="2"/>
    </font>
    <font>
      <sz val="8"/>
      <name val="Arial"/>
      <family val="2"/>
    </font>
    <font>
      <sz val="10"/>
      <name val="Arial"/>
      <family val="2"/>
    </font>
    <font>
      <b/>
      <sz val="10"/>
      <name val="Arial"/>
      <family val="2"/>
    </font>
    <font>
      <i/>
      <sz val="10"/>
      <name val="Arial"/>
      <family val="2"/>
    </font>
    <font>
      <b/>
      <sz val="12"/>
      <name val="Arial"/>
      <family val="2"/>
    </font>
    <font>
      <b/>
      <sz val="16"/>
      <name val="Arial"/>
      <family val="2"/>
    </font>
    <font>
      <b/>
      <sz val="11"/>
      <color theme="1"/>
      <name val="Calibri"/>
      <family val="2"/>
      <scheme val="minor"/>
    </font>
    <font>
      <b/>
      <sz val="8"/>
      <name val="Arial"/>
      <family val="2"/>
    </font>
    <font>
      <vertAlign val="subscript"/>
      <sz val="10"/>
      <name val="Arial"/>
      <family val="2"/>
    </font>
    <font>
      <sz val="11"/>
      <color theme="1"/>
      <name val="Arial"/>
      <family val="2"/>
    </font>
    <font>
      <b/>
      <sz val="11"/>
      <color theme="1"/>
      <name val="Arial"/>
      <family val="2"/>
    </font>
    <font>
      <sz val="10"/>
      <color theme="0"/>
      <name val="Arial"/>
      <family val="2"/>
    </font>
    <font>
      <u/>
      <sz val="10"/>
      <color theme="10"/>
      <name val="Arial"/>
      <family val="2"/>
    </font>
    <font>
      <u/>
      <sz val="24"/>
      <color theme="10"/>
      <name val="Arial"/>
      <family val="2"/>
    </font>
    <font>
      <sz val="24"/>
      <name val="Arial"/>
      <family val="2"/>
    </font>
  </fonts>
  <fills count="8">
    <fill>
      <patternFill patternType="none"/>
    </fill>
    <fill>
      <patternFill patternType="gray125"/>
    </fill>
    <fill>
      <patternFill patternType="solid">
        <fgColor theme="3"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8">
    <border>
      <left/>
      <right/>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s>
  <cellStyleXfs count="5">
    <xf numFmtId="0" fontId="0" fillId="0" borderId="0"/>
    <xf numFmtId="0" fontId="5" fillId="0" borderId="0"/>
    <xf numFmtId="0" fontId="2" fillId="0" borderId="0"/>
    <xf numFmtId="0" fontId="1" fillId="0" borderId="0"/>
    <xf numFmtId="0" fontId="16" fillId="0" borderId="0" applyNumberFormat="0" applyFill="0" applyBorder="0" applyAlignment="0" applyProtection="0"/>
  </cellStyleXfs>
  <cellXfs count="179">
    <xf numFmtId="0" fontId="0" fillId="0" borderId="0" xfId="0"/>
    <xf numFmtId="0" fontId="3" fillId="0" borderId="0" xfId="0" applyFont="1"/>
    <xf numFmtId="2" fontId="0" fillId="0" borderId="0" xfId="0" applyNumberFormat="1"/>
    <xf numFmtId="0" fontId="5" fillId="0" borderId="0" xfId="0" applyFont="1"/>
    <xf numFmtId="2" fontId="5" fillId="0" borderId="0" xfId="0" applyNumberFormat="1" applyFont="1"/>
    <xf numFmtId="164" fontId="5" fillId="0" borderId="0" xfId="0" applyNumberFormat="1" applyFont="1"/>
    <xf numFmtId="2" fontId="5" fillId="0" borderId="0" xfId="0" applyNumberFormat="1" applyFont="1" applyAlignment="1" applyProtection="1">
      <alignment vertical="center" wrapText="1"/>
      <protection locked="0"/>
    </xf>
    <xf numFmtId="0" fontId="5" fillId="0" borderId="2" xfId="0" applyFont="1" applyBorder="1" applyAlignment="1">
      <alignment horizontal="left" vertical="center" wrapText="1"/>
    </xf>
    <xf numFmtId="1" fontId="5" fillId="0" borderId="0" xfId="0" applyNumberFormat="1" applyFont="1" applyAlignment="1">
      <alignment vertical="center" wrapText="1"/>
    </xf>
    <xf numFmtId="0" fontId="5" fillId="0" borderId="0" xfId="0" applyFont="1" applyAlignment="1">
      <alignment vertical="center" wrapText="1"/>
    </xf>
    <xf numFmtId="0" fontId="5" fillId="0" borderId="3" xfId="0" applyFont="1" applyBorder="1" applyAlignment="1">
      <alignment horizontal="left" vertical="center" wrapText="1"/>
    </xf>
    <xf numFmtId="2" fontId="5" fillId="0" borderId="0" xfId="0" applyNumberFormat="1" applyFont="1" applyAlignment="1">
      <alignment vertical="center"/>
    </xf>
    <xf numFmtId="0" fontId="5" fillId="0" borderId="0" xfId="0" applyFont="1" applyAlignment="1">
      <alignment vertical="center"/>
    </xf>
    <xf numFmtId="0" fontId="5" fillId="0" borderId="0" xfId="0" applyFont="1" applyAlignment="1">
      <alignment horizontal="right" vertical="center" wrapText="1"/>
    </xf>
    <xf numFmtId="2" fontId="5" fillId="0" borderId="0" xfId="0" applyNumberFormat="1" applyFont="1" applyAlignment="1" applyProtection="1">
      <alignment vertical="center"/>
      <protection locked="0"/>
    </xf>
    <xf numFmtId="0" fontId="5" fillId="0" borderId="0" xfId="0" applyFont="1" applyAlignment="1" applyProtection="1">
      <alignment horizontal="left" vertical="center" wrapText="1"/>
      <protection locked="0" hidden="1"/>
    </xf>
    <xf numFmtId="2" fontId="5" fillId="0" borderId="0" xfId="0" applyNumberFormat="1" applyFont="1" applyAlignment="1" applyProtection="1">
      <alignment vertical="center" wrapText="1"/>
      <protection locked="0" hidden="1"/>
    </xf>
    <xf numFmtId="0" fontId="5" fillId="0" borderId="0" xfId="0" applyFont="1" applyAlignment="1">
      <alignment horizontal="left" vertical="center" wrapText="1"/>
    </xf>
    <xf numFmtId="2" fontId="5" fillId="0" borderId="0" xfId="0" applyNumberFormat="1" applyFont="1" applyAlignment="1">
      <alignment vertical="center" wrapText="1"/>
    </xf>
    <xf numFmtId="0" fontId="5" fillId="0" borderId="5" xfId="0" applyFont="1" applyBorder="1" applyAlignment="1">
      <alignment horizontal="left" vertical="center" wrapText="1"/>
    </xf>
    <xf numFmtId="1" fontId="5" fillId="0" borderId="0" xfId="0" applyNumberFormat="1" applyFont="1" applyAlignment="1" applyProtection="1">
      <alignment vertical="center" wrapText="1"/>
      <protection locked="0"/>
    </xf>
    <xf numFmtId="0" fontId="5" fillId="0" borderId="0" xfId="0" applyFont="1" applyAlignment="1" applyProtection="1">
      <alignment vertical="center" wrapText="1"/>
      <protection locked="0" hidden="1"/>
    </xf>
    <xf numFmtId="0" fontId="5" fillId="0" borderId="13" xfId="0" applyFont="1" applyBorder="1" applyAlignment="1">
      <alignment horizontal="left" vertical="center" wrapText="1"/>
    </xf>
    <xf numFmtId="0" fontId="6" fillId="2" borderId="5" xfId="0" applyFont="1" applyFill="1" applyBorder="1" applyAlignment="1">
      <alignment horizontal="left" vertical="center" wrapText="1"/>
    </xf>
    <xf numFmtId="2" fontId="5" fillId="2" borderId="12" xfId="0" applyNumberFormat="1" applyFont="1" applyFill="1" applyBorder="1" applyAlignment="1">
      <alignment vertical="center" wrapText="1"/>
    </xf>
    <xf numFmtId="0" fontId="8" fillId="0" borderId="3" xfId="0" applyFont="1" applyBorder="1" applyAlignment="1">
      <alignment horizontal="left" vertical="center" wrapText="1"/>
    </xf>
    <xf numFmtId="2" fontId="5" fillId="0" borderId="11" xfId="0" applyNumberFormat="1" applyFont="1" applyBorder="1" applyAlignment="1">
      <alignment vertical="center" wrapText="1"/>
    </xf>
    <xf numFmtId="2" fontId="5" fillId="2" borderId="12" xfId="0" applyNumberFormat="1" applyFont="1" applyFill="1" applyBorder="1" applyAlignment="1" applyProtection="1">
      <alignment vertical="center" wrapText="1"/>
      <protection locked="0"/>
    </xf>
    <xf numFmtId="0" fontId="6" fillId="2" borderId="13" xfId="0" applyFont="1" applyFill="1" applyBorder="1" applyAlignment="1">
      <alignment horizontal="left" vertical="center" wrapText="1"/>
    </xf>
    <xf numFmtId="2" fontId="5" fillId="2" borderId="1" xfId="0" applyNumberFormat="1" applyFont="1" applyFill="1" applyBorder="1" applyAlignment="1">
      <alignment vertical="center" wrapText="1"/>
    </xf>
    <xf numFmtId="0" fontId="8" fillId="4" borderId="15" xfId="0" applyFont="1" applyFill="1" applyBorder="1" applyAlignment="1">
      <alignment horizontal="left" vertical="center" wrapText="1"/>
    </xf>
    <xf numFmtId="2" fontId="5" fillId="4" borderId="16" xfId="0" applyNumberFormat="1" applyFont="1" applyFill="1" applyBorder="1" applyAlignment="1">
      <alignment vertical="center" wrapText="1"/>
    </xf>
    <xf numFmtId="0" fontId="5" fillId="5" borderId="15" xfId="0" applyFont="1" applyFill="1" applyBorder="1" applyAlignment="1">
      <alignment horizontal="left" vertical="center" wrapText="1"/>
    </xf>
    <xf numFmtId="2" fontId="5" fillId="5" borderId="16" xfId="0" applyNumberFormat="1" applyFont="1" applyFill="1" applyBorder="1" applyAlignment="1">
      <alignment vertical="center" wrapText="1"/>
    </xf>
    <xf numFmtId="164" fontId="5" fillId="0" borderId="0" xfId="0" applyNumberFormat="1" applyFont="1" applyProtection="1">
      <protection hidden="1"/>
    </xf>
    <xf numFmtId="2" fontId="6" fillId="0" borderId="7" xfId="0" applyNumberFormat="1" applyFont="1" applyBorder="1" applyAlignment="1">
      <alignment horizontal="center" vertical="center" wrapText="1"/>
    </xf>
    <xf numFmtId="2" fontId="5" fillId="0" borderId="9" xfId="0" applyNumberFormat="1" applyFont="1" applyBorder="1" applyAlignment="1">
      <alignment vertical="center" wrapText="1"/>
    </xf>
    <xf numFmtId="0" fontId="0" fillId="0" borderId="0" xfId="0" applyProtection="1">
      <protection hidden="1"/>
    </xf>
    <xf numFmtId="164" fontId="4" fillId="0" borderId="0" xfId="0" applyNumberFormat="1" applyFont="1" applyProtection="1">
      <protection hidden="1"/>
    </xf>
    <xf numFmtId="164" fontId="0" fillId="0" borderId="0" xfId="0" applyNumberFormat="1" applyProtection="1">
      <protection hidden="1"/>
    </xf>
    <xf numFmtId="164" fontId="0" fillId="0" borderId="0" xfId="0" applyNumberFormat="1"/>
    <xf numFmtId="164" fontId="3" fillId="0" borderId="0" xfId="0" applyNumberFormat="1" applyFont="1" applyProtection="1">
      <protection hidden="1"/>
    </xf>
    <xf numFmtId="0" fontId="6" fillId="3" borderId="0" xfId="0" applyFont="1" applyFill="1" applyAlignment="1">
      <alignment vertical="center"/>
    </xf>
    <xf numFmtId="0" fontId="8" fillId="4" borderId="18" xfId="0" applyFont="1" applyFill="1" applyBorder="1" applyAlignment="1">
      <alignment horizontal="left" vertical="center" wrapText="1"/>
    </xf>
    <xf numFmtId="2" fontId="5" fillId="4" borderId="19" xfId="0" applyNumberFormat="1" applyFont="1" applyFill="1" applyBorder="1" applyAlignment="1">
      <alignment vertical="center" wrapText="1"/>
    </xf>
    <xf numFmtId="0" fontId="5" fillId="4" borderId="20" xfId="0" applyFont="1" applyFill="1" applyBorder="1" applyAlignment="1">
      <alignment vertical="center" wrapText="1"/>
    </xf>
    <xf numFmtId="2" fontId="5" fillId="3" borderId="9" xfId="0" applyNumberFormat="1" applyFont="1" applyFill="1" applyBorder="1" applyAlignment="1" applyProtection="1">
      <alignment vertical="center" wrapText="1"/>
      <protection locked="0"/>
    </xf>
    <xf numFmtId="0" fontId="5" fillId="0" borderId="21" xfId="0" applyFont="1" applyBorder="1" applyAlignment="1">
      <alignment horizontal="left" vertical="center" wrapText="1"/>
    </xf>
    <xf numFmtId="2" fontId="5" fillId="3" borderId="22" xfId="0" applyNumberFormat="1" applyFont="1" applyFill="1" applyBorder="1" applyAlignment="1" applyProtection="1">
      <alignment vertical="center" wrapText="1"/>
      <protection locked="0"/>
    </xf>
    <xf numFmtId="0" fontId="5" fillId="0" borderId="24" xfId="0" applyFont="1" applyBorder="1" applyAlignment="1">
      <alignment horizontal="left" vertical="center" wrapText="1"/>
    </xf>
    <xf numFmtId="0" fontId="5" fillId="0" borderId="26" xfId="0" applyFont="1" applyBorder="1" applyAlignment="1">
      <alignment horizontal="left" vertical="center" wrapText="1"/>
    </xf>
    <xf numFmtId="2" fontId="5" fillId="3" borderId="27" xfId="0" applyNumberFormat="1" applyFont="1" applyFill="1" applyBorder="1" applyAlignment="1" applyProtection="1">
      <alignment vertical="center" wrapText="1"/>
      <protection locked="0"/>
    </xf>
    <xf numFmtId="2" fontId="5" fillId="4" borderId="19" xfId="0" applyNumberFormat="1" applyFont="1" applyFill="1" applyBorder="1" applyAlignment="1" applyProtection="1">
      <alignment vertical="center" wrapText="1"/>
      <protection locked="0"/>
    </xf>
    <xf numFmtId="2" fontId="5" fillId="0" borderId="22" xfId="0" applyNumberFormat="1" applyFont="1" applyBorder="1" applyAlignment="1">
      <alignment vertical="center" wrapText="1"/>
    </xf>
    <xf numFmtId="2" fontId="5" fillId="0" borderId="27" xfId="0" applyNumberFormat="1" applyFont="1" applyBorder="1" applyAlignment="1">
      <alignment vertical="center" wrapText="1"/>
    </xf>
    <xf numFmtId="1" fontId="5" fillId="0" borderId="9" xfId="0" applyNumberFormat="1" applyFont="1" applyBorder="1" applyAlignment="1">
      <alignment vertical="center" wrapText="1"/>
    </xf>
    <xf numFmtId="1" fontId="5" fillId="0" borderId="22" xfId="0" applyNumberFormat="1" applyFont="1" applyBorder="1" applyAlignment="1">
      <alignment vertical="center" wrapText="1"/>
    </xf>
    <xf numFmtId="1" fontId="5" fillId="0" borderId="27" xfId="0" applyNumberFormat="1" applyFont="1" applyBorder="1" applyAlignment="1">
      <alignment vertical="center" wrapText="1"/>
    </xf>
    <xf numFmtId="1" fontId="5" fillId="4" borderId="19" xfId="0" applyNumberFormat="1" applyFont="1" applyFill="1" applyBorder="1" applyAlignment="1">
      <alignment vertical="center" wrapText="1"/>
    </xf>
    <xf numFmtId="0" fontId="5" fillId="0" borderId="23"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0" xfId="0" applyFont="1" applyAlignment="1" applyProtection="1">
      <alignment horizontal="center" vertical="center" wrapText="1"/>
      <protection locked="0" hidden="1"/>
    </xf>
    <xf numFmtId="0" fontId="5" fillId="0" borderId="0" xfId="0" applyFont="1" applyAlignment="1">
      <alignment horizontal="center" vertical="center" wrapText="1"/>
    </xf>
    <xf numFmtId="0" fontId="5" fillId="4"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4" borderId="20"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vertical="center"/>
    </xf>
    <xf numFmtId="2" fontId="5" fillId="3" borderId="0" xfId="0" applyNumberFormat="1" applyFont="1" applyFill="1" applyAlignment="1">
      <alignment vertical="center"/>
    </xf>
    <xf numFmtId="0" fontId="5" fillId="3" borderId="0" xfId="0" applyFont="1" applyFill="1" applyAlignment="1">
      <alignment vertical="center"/>
    </xf>
    <xf numFmtId="0" fontId="5" fillId="0" borderId="0" xfId="1" applyProtection="1">
      <protection locked="0"/>
    </xf>
    <xf numFmtId="0" fontId="3" fillId="0" borderId="0" xfId="1" applyFont="1"/>
    <xf numFmtId="0" fontId="3" fillId="0" borderId="0" xfId="1" applyFont="1" applyAlignment="1" applyProtection="1">
      <alignment horizontal="right"/>
      <protection locked="0"/>
    </xf>
    <xf numFmtId="0" fontId="3" fillId="0" borderId="0" xfId="1" applyFont="1" applyProtection="1">
      <protection locked="0"/>
    </xf>
    <xf numFmtId="164" fontId="5" fillId="0" borderId="0" xfId="1" applyNumberFormat="1" applyProtection="1">
      <protection locked="0"/>
    </xf>
    <xf numFmtId="164" fontId="5" fillId="0" borderId="0" xfId="1" applyNumberFormat="1"/>
    <xf numFmtId="0" fontId="5" fillId="0" borderId="0" xfId="1" applyAlignment="1" applyProtection="1">
      <alignment wrapText="1"/>
      <protection locked="0"/>
    </xf>
    <xf numFmtId="2" fontId="5" fillId="0" borderId="0" xfId="1" applyNumberFormat="1" applyProtection="1">
      <protection locked="0"/>
    </xf>
    <xf numFmtId="2" fontId="3" fillId="0" borderId="0" xfId="1" applyNumberFormat="1" applyFont="1" applyProtection="1">
      <protection locked="0"/>
    </xf>
    <xf numFmtId="164" fontId="3" fillId="0" borderId="0" xfId="1" applyNumberFormat="1" applyFont="1" applyProtection="1">
      <protection locked="0"/>
    </xf>
    <xf numFmtId="0" fontId="5" fillId="0" borderId="0" xfId="1" applyAlignment="1" applyProtection="1">
      <alignment vertical="center"/>
      <protection locked="0"/>
    </xf>
    <xf numFmtId="164" fontId="3" fillId="0" borderId="0" xfId="1" applyNumberFormat="1" applyFont="1"/>
    <xf numFmtId="1" fontId="5" fillId="0" borderId="0" xfId="1" applyNumberFormat="1" applyAlignment="1">
      <alignment vertical="center"/>
    </xf>
    <xf numFmtId="0" fontId="5" fillId="0" borderId="0" xfId="1" applyAlignment="1" applyProtection="1">
      <alignment horizontal="left" wrapText="1"/>
      <protection locked="0"/>
    </xf>
    <xf numFmtId="0" fontId="6" fillId="0" borderId="31" xfId="1" applyFont="1" applyBorder="1" applyAlignment="1" applyProtection="1">
      <alignment horizontal="center" vertical="center"/>
      <protection locked="0"/>
    </xf>
    <xf numFmtId="2" fontId="6" fillId="0" borderId="32" xfId="1" applyNumberFormat="1" applyFont="1" applyBorder="1" applyAlignment="1">
      <alignment horizontal="center" vertical="center"/>
    </xf>
    <xf numFmtId="0" fontId="8" fillId="0" borderId="33" xfId="1" applyFont="1" applyBorder="1" applyAlignment="1" applyProtection="1">
      <alignment horizontal="left" wrapText="1"/>
      <protection locked="0"/>
    </xf>
    <xf numFmtId="0" fontId="5" fillId="5" borderId="20" xfId="1" applyFill="1" applyBorder="1" applyAlignment="1" applyProtection="1">
      <alignment horizontal="center" vertical="center"/>
      <protection locked="0"/>
    </xf>
    <xf numFmtId="1" fontId="5" fillId="5" borderId="19" xfId="1" applyNumberFormat="1" applyFill="1" applyBorder="1" applyAlignment="1">
      <alignment vertical="center"/>
    </xf>
    <xf numFmtId="0" fontId="5" fillId="5" borderId="18" xfId="1" applyFill="1" applyBorder="1" applyAlignment="1" applyProtection="1">
      <alignment horizontal="left" wrapText="1"/>
      <protection locked="0"/>
    </xf>
    <xf numFmtId="0" fontId="5" fillId="0" borderId="0" xfId="1" applyAlignment="1" applyProtection="1">
      <alignment horizontal="center" vertical="center"/>
      <protection locked="0"/>
    </xf>
    <xf numFmtId="164" fontId="11" fillId="0" borderId="0" xfId="1" applyNumberFormat="1" applyFont="1" applyAlignment="1" applyProtection="1">
      <alignment horizontal="center"/>
      <protection locked="0"/>
    </xf>
    <xf numFmtId="0" fontId="5" fillId="0" borderId="28" xfId="1" applyBorder="1" applyAlignment="1" applyProtection="1">
      <alignment horizontal="center" vertical="center"/>
      <protection locked="0"/>
    </xf>
    <xf numFmtId="2" fontId="5" fillId="0" borderId="27" xfId="1" applyNumberFormat="1" applyBorder="1" applyAlignment="1">
      <alignment vertical="center"/>
    </xf>
    <xf numFmtId="0" fontId="5" fillId="0" borderId="26" xfId="1" applyBorder="1" applyAlignment="1" applyProtection="1">
      <alignment horizontal="left" wrapText="1"/>
      <protection locked="0"/>
    </xf>
    <xf numFmtId="0" fontId="5" fillId="0" borderId="25" xfId="1" applyBorder="1" applyAlignment="1" applyProtection="1">
      <alignment horizontal="center" vertical="center"/>
      <protection locked="0"/>
    </xf>
    <xf numFmtId="2" fontId="5" fillId="3" borderId="9" xfId="1" applyNumberFormat="1" applyFill="1" applyBorder="1" applyAlignment="1" applyProtection="1">
      <alignment vertical="center"/>
      <protection locked="0"/>
    </xf>
    <xf numFmtId="0" fontId="5" fillId="0" borderId="24" xfId="1" applyBorder="1" applyAlignment="1" applyProtection="1">
      <alignment horizontal="left" wrapText="1"/>
      <protection locked="0"/>
    </xf>
    <xf numFmtId="0" fontId="5" fillId="0" borderId="23" xfId="1" applyBorder="1" applyAlignment="1" applyProtection="1">
      <alignment horizontal="center" vertical="center"/>
      <protection locked="0"/>
    </xf>
    <xf numFmtId="2" fontId="5" fillId="0" borderId="22" xfId="1" applyNumberFormat="1" applyBorder="1" applyAlignment="1">
      <alignment vertical="center"/>
    </xf>
    <xf numFmtId="0" fontId="5" fillId="0" borderId="21" xfId="1" applyBorder="1" applyAlignment="1" applyProtection="1">
      <alignment horizontal="left" wrapText="1"/>
      <protection locked="0"/>
    </xf>
    <xf numFmtId="0" fontId="5" fillId="4" borderId="17" xfId="1" applyFill="1" applyBorder="1" applyAlignment="1" applyProtection="1">
      <alignment horizontal="center" vertical="center"/>
      <protection locked="0"/>
    </xf>
    <xf numFmtId="1" fontId="5" fillId="4" borderId="16" xfId="1" applyNumberFormat="1" applyFill="1" applyBorder="1" applyAlignment="1" applyProtection="1">
      <alignment vertical="center"/>
      <protection locked="0"/>
    </xf>
    <xf numFmtId="0" fontId="8" fillId="4" borderId="15" xfId="1" applyFont="1" applyFill="1" applyBorder="1" applyAlignment="1" applyProtection="1">
      <alignment wrapText="1"/>
      <protection locked="0"/>
    </xf>
    <xf numFmtId="1" fontId="5" fillId="0" borderId="0" xfId="1" applyNumberFormat="1" applyAlignment="1" applyProtection="1">
      <alignment vertical="center"/>
      <protection locked="0"/>
    </xf>
    <xf numFmtId="164" fontId="5" fillId="0" borderId="0" xfId="1" applyNumberFormat="1" applyAlignment="1" applyProtection="1">
      <alignment horizontal="center" vertical="center"/>
      <protection locked="0"/>
    </xf>
    <xf numFmtId="164" fontId="5" fillId="0" borderId="0" xfId="1" applyNumberFormat="1" applyAlignment="1" applyProtection="1">
      <alignment vertical="center"/>
      <protection locked="0"/>
    </xf>
    <xf numFmtId="164" fontId="5" fillId="0" borderId="0" xfId="1" applyNumberFormat="1" applyAlignment="1" applyProtection="1">
      <alignment vertical="center" wrapText="1"/>
      <protection locked="0"/>
    </xf>
    <xf numFmtId="164" fontId="8" fillId="0" borderId="0" xfId="1" applyNumberFormat="1" applyFont="1" applyProtection="1">
      <protection locked="0"/>
    </xf>
    <xf numFmtId="0" fontId="5" fillId="0" borderId="26" xfId="1" applyBorder="1" applyAlignment="1" applyProtection="1">
      <alignment wrapText="1"/>
      <protection locked="0"/>
    </xf>
    <xf numFmtId="2" fontId="5" fillId="0" borderId="9" xfId="1" applyNumberFormat="1" applyBorder="1" applyAlignment="1">
      <alignment vertical="center"/>
    </xf>
    <xf numFmtId="0" fontId="5" fillId="0" borderId="24" xfId="1" applyBorder="1" applyAlignment="1" applyProtection="1">
      <alignment wrapText="1"/>
      <protection locked="0"/>
    </xf>
    <xf numFmtId="0" fontId="5" fillId="0" borderId="21" xfId="1" applyBorder="1" applyAlignment="1" applyProtection="1">
      <alignment wrapText="1"/>
      <protection locked="0"/>
    </xf>
    <xf numFmtId="0" fontId="5" fillId="4" borderId="16" xfId="1" applyFill="1" applyBorder="1" applyAlignment="1" applyProtection="1">
      <alignment vertical="center"/>
      <protection locked="0"/>
    </xf>
    <xf numFmtId="0" fontId="8" fillId="4" borderId="15" xfId="1" applyFont="1" applyFill="1" applyBorder="1" applyProtection="1">
      <protection locked="0"/>
    </xf>
    <xf numFmtId="165" fontId="5" fillId="0" borderId="0" xfId="1" applyNumberFormat="1" applyAlignment="1">
      <alignment vertical="center"/>
    </xf>
    <xf numFmtId="0" fontId="6" fillId="0" borderId="0" xfId="1" applyFont="1" applyAlignment="1" applyProtection="1">
      <alignment horizontal="left" wrapText="1"/>
      <protection locked="0"/>
    </xf>
    <xf numFmtId="2" fontId="5" fillId="0" borderId="0" xfId="1" applyNumberFormat="1" applyAlignment="1">
      <alignment vertical="center"/>
    </xf>
    <xf numFmtId="165" fontId="5" fillId="4" borderId="16" xfId="1" applyNumberFormat="1" applyFill="1" applyBorder="1" applyAlignment="1">
      <alignment vertical="center"/>
    </xf>
    <xf numFmtId="0" fontId="8" fillId="4" borderId="15" xfId="1" applyFont="1" applyFill="1" applyBorder="1" applyAlignment="1" applyProtection="1">
      <alignment horizontal="left" wrapText="1"/>
      <protection locked="0"/>
    </xf>
    <xf numFmtId="2" fontId="5" fillId="0" borderId="0" xfId="1" applyNumberFormat="1"/>
    <xf numFmtId="2" fontId="3" fillId="0" borderId="0" xfId="1" applyNumberFormat="1" applyFont="1"/>
    <xf numFmtId="2" fontId="5" fillId="0" borderId="0" xfId="1" applyNumberFormat="1" applyAlignment="1" applyProtection="1">
      <alignment vertical="center"/>
      <protection locked="0"/>
    </xf>
    <xf numFmtId="2" fontId="5" fillId="3" borderId="27" xfId="1" applyNumberFormat="1" applyFill="1" applyBorder="1" applyAlignment="1" applyProtection="1">
      <alignment vertical="center"/>
      <protection locked="0"/>
    </xf>
    <xf numFmtId="2" fontId="5" fillId="3" borderId="22" xfId="1" applyNumberFormat="1" applyFill="1" applyBorder="1" applyAlignment="1" applyProtection="1">
      <alignment vertical="center"/>
      <protection locked="0"/>
    </xf>
    <xf numFmtId="2" fontId="5" fillId="3" borderId="9" xfId="1" applyNumberFormat="1" applyFill="1" applyBorder="1" applyAlignment="1" applyProtection="1">
      <alignment horizontal="right" vertical="center"/>
      <protection locked="0"/>
    </xf>
    <xf numFmtId="0" fontId="5" fillId="0" borderId="34" xfId="1" applyBorder="1" applyAlignment="1" applyProtection="1">
      <alignment horizontal="left" wrapText="1"/>
      <protection locked="0"/>
    </xf>
    <xf numFmtId="0" fontId="5" fillId="2" borderId="35" xfId="1" applyFill="1" applyBorder="1" applyAlignment="1" applyProtection="1">
      <alignment horizontal="center" vertical="center"/>
      <protection locked="0"/>
    </xf>
    <xf numFmtId="165" fontId="5" fillId="2" borderId="36" xfId="1" applyNumberFormat="1" applyFill="1" applyBorder="1" applyAlignment="1">
      <alignment vertical="center"/>
    </xf>
    <xf numFmtId="0" fontId="6" fillId="2" borderId="37" xfId="1" applyFont="1" applyFill="1" applyBorder="1" applyAlignment="1" applyProtection="1">
      <alignment horizontal="left" wrapText="1"/>
      <protection locked="0"/>
    </xf>
    <xf numFmtId="0" fontId="5" fillId="4" borderId="20" xfId="1" applyFill="1" applyBorder="1" applyAlignment="1" applyProtection="1">
      <alignment horizontal="center" vertical="center"/>
      <protection locked="0"/>
    </xf>
    <xf numFmtId="165" fontId="5" fillId="4" borderId="19" xfId="1" applyNumberFormat="1" applyFill="1" applyBorder="1" applyAlignment="1">
      <alignment vertical="center"/>
    </xf>
    <xf numFmtId="0" fontId="8" fillId="4" borderId="18" xfId="1" applyFont="1" applyFill="1" applyBorder="1" applyAlignment="1" applyProtection="1">
      <alignment horizontal="left" wrapText="1"/>
      <protection locked="0"/>
    </xf>
    <xf numFmtId="164" fontId="5" fillId="0" borderId="0" xfId="1" applyNumberFormat="1" applyAlignment="1">
      <alignment vertical="center"/>
    </xf>
    <xf numFmtId="164" fontId="5" fillId="0" borderId="0" xfId="1" applyNumberFormat="1" applyAlignment="1" applyProtection="1">
      <alignment horizontal="left" wrapText="1"/>
      <protection locked="0"/>
    </xf>
    <xf numFmtId="2" fontId="5" fillId="7" borderId="9" xfId="1" applyNumberFormat="1" applyFill="1" applyBorder="1" applyAlignment="1">
      <alignment vertical="center"/>
    </xf>
    <xf numFmtId="0" fontId="5" fillId="4" borderId="20" xfId="1" applyFill="1" applyBorder="1" applyProtection="1">
      <protection locked="0"/>
    </xf>
    <xf numFmtId="0" fontId="5" fillId="4" borderId="19" xfId="1" applyFill="1" applyBorder="1" applyProtection="1">
      <protection locked="0"/>
    </xf>
    <xf numFmtId="0" fontId="8" fillId="4" borderId="18" xfId="1" applyFont="1" applyFill="1" applyBorder="1" applyAlignment="1" applyProtection="1">
      <alignment wrapText="1"/>
      <protection locked="0"/>
    </xf>
    <xf numFmtId="0" fontId="6" fillId="0" borderId="0" xfId="1" applyFont="1" applyProtection="1">
      <protection locked="0"/>
    </xf>
    <xf numFmtId="0" fontId="5" fillId="0" borderId="0" xfId="1" applyAlignment="1" applyProtection="1">
      <alignment horizontal="right"/>
      <protection locked="0"/>
    </xf>
    <xf numFmtId="0" fontId="13" fillId="0" borderId="0" xfId="3" applyFont="1"/>
    <xf numFmtId="0" fontId="1" fillId="0" borderId="0" xfId="3"/>
    <xf numFmtId="0" fontId="10" fillId="3" borderId="0" xfId="3" applyFont="1" applyFill="1"/>
    <xf numFmtId="0" fontId="14" fillId="3" borderId="0" xfId="3" applyFont="1" applyFill="1"/>
    <xf numFmtId="0" fontId="15" fillId="0" borderId="0" xfId="0" applyFont="1" applyProtection="1">
      <protection hidden="1"/>
    </xf>
    <xf numFmtId="0" fontId="15" fillId="0" borderId="0" xfId="0" applyFont="1"/>
    <xf numFmtId="164" fontId="15" fillId="0" borderId="0" xfId="0" applyNumberFormat="1" applyFont="1"/>
    <xf numFmtId="164" fontId="15" fillId="0" borderId="0" xfId="0" applyNumberFormat="1" applyFont="1" applyProtection="1">
      <protection hidden="1"/>
    </xf>
    <xf numFmtId="0" fontId="9" fillId="4" borderId="0" xfId="0" applyFont="1" applyFill="1" applyAlignment="1">
      <alignment vertical="center"/>
    </xf>
    <xf numFmtId="0" fontId="0" fillId="4" borderId="0" xfId="0" applyFill="1" applyAlignment="1">
      <alignment vertical="center"/>
    </xf>
    <xf numFmtId="2" fontId="5" fillId="3" borderId="10" xfId="0" applyNumberFormat="1" applyFont="1" applyFill="1" applyBorder="1" applyAlignment="1" applyProtection="1">
      <alignment vertical="center" wrapText="1"/>
      <protection locked="0"/>
    </xf>
    <xf numFmtId="0" fontId="0" fillId="0" borderId="11" xfId="0" applyBorder="1" applyAlignment="1">
      <alignment vertical="center" wrapText="1"/>
    </xf>
    <xf numFmtId="0" fontId="0" fillId="0" borderId="7" xfId="0" applyBorder="1" applyAlignment="1">
      <alignment vertical="center" wrapText="1"/>
    </xf>
    <xf numFmtId="0" fontId="5" fillId="0" borderId="29" xfId="0" applyFont="1" applyBorder="1" applyAlignment="1">
      <alignment horizontal="center" vertical="center" wrapText="1"/>
    </xf>
    <xf numFmtId="0" fontId="0" fillId="0" borderId="30" xfId="0" applyBorder="1" applyAlignment="1">
      <alignment horizontal="center" vertical="center" wrapText="1"/>
    </xf>
    <xf numFmtId="0" fontId="0" fillId="0" borderId="8" xfId="0" applyBorder="1" applyAlignment="1">
      <alignment horizontal="center" vertical="center" wrapText="1"/>
    </xf>
    <xf numFmtId="0" fontId="5" fillId="6" borderId="0" xfId="0" applyFont="1" applyFill="1" applyAlignment="1">
      <alignment horizontal="left" vertical="center" wrapText="1"/>
    </xf>
    <xf numFmtId="0" fontId="0" fillId="6" borderId="0" xfId="0" applyFill="1" applyAlignment="1">
      <alignment horizontal="left" vertical="center"/>
    </xf>
    <xf numFmtId="164" fontId="11" fillId="0" borderId="0" xfId="1" applyNumberFormat="1" applyFont="1" applyAlignment="1" applyProtection="1">
      <alignment horizontal="center"/>
      <protection locked="0"/>
    </xf>
    <xf numFmtId="0" fontId="9" fillId="4" borderId="0" xfId="1" applyFont="1" applyFill="1" applyAlignment="1" applyProtection="1">
      <alignment horizontal="left" vertical="center"/>
      <protection locked="0"/>
    </xf>
    <xf numFmtId="0" fontId="1" fillId="4" borderId="0" xfId="3" applyFill="1" applyAlignment="1">
      <alignment horizontal="left" vertical="center"/>
    </xf>
    <xf numFmtId="2" fontId="5" fillId="3" borderId="10" xfId="1" applyNumberFormat="1" applyFill="1" applyBorder="1" applyAlignment="1" applyProtection="1">
      <alignment vertical="center"/>
      <protection locked="0"/>
    </xf>
    <xf numFmtId="0" fontId="1" fillId="0" borderId="11" xfId="3" applyBorder="1" applyAlignment="1" applyProtection="1">
      <alignment vertical="center"/>
      <protection locked="0"/>
    </xf>
    <xf numFmtId="0" fontId="5" fillId="0" borderId="29" xfId="1" applyBorder="1" applyAlignment="1" applyProtection="1">
      <alignment horizontal="center" vertical="center"/>
      <protection locked="0"/>
    </xf>
    <xf numFmtId="0" fontId="1" fillId="0" borderId="30" xfId="3" applyBorder="1" applyAlignment="1">
      <alignment horizontal="center" vertical="center"/>
    </xf>
    <xf numFmtId="0" fontId="6" fillId="2" borderId="13" xfId="1" applyFont="1" applyFill="1" applyBorder="1" applyAlignment="1" applyProtection="1">
      <alignment horizontal="left" wrapText="1"/>
      <protection locked="0"/>
    </xf>
    <xf numFmtId="0" fontId="1" fillId="2" borderId="12" xfId="3" applyFill="1" applyBorder="1"/>
    <xf numFmtId="0" fontId="1" fillId="2" borderId="14" xfId="3" applyFill="1" applyBorder="1"/>
    <xf numFmtId="0" fontId="13" fillId="6" borderId="0" xfId="3" applyFont="1" applyFill="1" applyAlignment="1">
      <alignment vertical="center" wrapText="1"/>
    </xf>
    <xf numFmtId="0" fontId="17" fillId="0" borderId="0" xfId="4" applyFont="1"/>
    <xf numFmtId="0" fontId="18" fillId="0" borderId="0" xfId="0" applyFont="1"/>
    <xf numFmtId="0" fontId="16" fillId="6" borderId="0" xfId="4" applyFill="1" applyAlignment="1">
      <alignment horizontal="left" vertical="center" wrapText="1"/>
    </xf>
    <xf numFmtId="0" fontId="16" fillId="6" borderId="0" xfId="4" applyFill="1" applyAlignment="1">
      <alignment vertical="center" wrapText="1"/>
    </xf>
  </cellXfs>
  <cellStyles count="5">
    <cellStyle name="Hyperlink" xfId="4" builtinId="8"/>
    <cellStyle name="Normal" xfId="0" builtinId="0"/>
    <cellStyle name="Normal 2" xfId="1" xr:uid="{00000000-0005-0000-0000-000001000000}"/>
    <cellStyle name="Normal 3" xfId="2" xr:uid="{00000000-0005-0000-0000-000002000000}"/>
    <cellStyle name="Normal 3 2" xfId="3" xr:uid="{00000000-0005-0000-0000-000003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5</xdr:col>
      <xdr:colOff>542923</xdr:colOff>
      <xdr:row>2</xdr:row>
      <xdr:rowOff>15240</xdr:rowOff>
    </xdr:from>
    <xdr:to>
      <xdr:col>16</xdr:col>
      <xdr:colOff>194328</xdr:colOff>
      <xdr:row>24</xdr:row>
      <xdr:rowOff>35000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900" t="5077" r="6656" b="3012"/>
        <a:stretch/>
      </xdr:blipFill>
      <xdr:spPr>
        <a:xfrm>
          <a:off x="6421209" y="603069"/>
          <a:ext cx="6357005" cy="5039435"/>
        </a:xfrm>
        <a:prstGeom prst="rect">
          <a:avLst/>
        </a:prstGeom>
      </xdr:spPr>
    </xdr:pic>
    <xdr:clientData/>
  </xdr:twoCellAnchor>
  <xdr:twoCellAnchor editAs="oneCell">
    <xdr:from>
      <xdr:col>5</xdr:col>
      <xdr:colOff>574221</xdr:colOff>
      <xdr:row>42</xdr:row>
      <xdr:rowOff>52593</xdr:rowOff>
    </xdr:from>
    <xdr:to>
      <xdr:col>13</xdr:col>
      <xdr:colOff>527134</xdr:colOff>
      <xdr:row>59</xdr:row>
      <xdr:rowOff>134916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355" t="2097" r="6659" b="2490"/>
        <a:stretch/>
      </xdr:blipFill>
      <xdr:spPr>
        <a:xfrm>
          <a:off x="6262007" y="10679772"/>
          <a:ext cx="4633770" cy="3837894"/>
        </a:xfrm>
        <a:prstGeom prst="rect">
          <a:avLst/>
        </a:prstGeom>
      </xdr:spPr>
    </xdr:pic>
    <xdr:clientData/>
  </xdr:twoCellAnchor>
  <xdr:twoCellAnchor editAs="oneCell">
    <xdr:from>
      <xdr:col>14</xdr:col>
      <xdr:colOff>543946</xdr:colOff>
      <xdr:row>41</xdr:row>
      <xdr:rowOff>483259</xdr:rowOff>
    </xdr:from>
    <xdr:to>
      <xdr:col>22</xdr:col>
      <xdr:colOff>515371</xdr:colOff>
      <xdr:row>60</xdr:row>
      <xdr:rowOff>101540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027" t="3494" r="14509" b="3369"/>
        <a:stretch/>
      </xdr:blipFill>
      <xdr:spPr>
        <a:xfrm>
          <a:off x="11497696" y="10457295"/>
          <a:ext cx="4652282" cy="4190281"/>
        </a:xfrm>
        <a:prstGeom prst="rect">
          <a:avLst/>
        </a:prstGeom>
      </xdr:spPr>
    </xdr:pic>
    <xdr:clientData/>
  </xdr:twoCellAnchor>
  <xdr:twoCellAnchor editAs="oneCell">
    <xdr:from>
      <xdr:col>14</xdr:col>
      <xdr:colOff>503465</xdr:colOff>
      <xdr:row>25</xdr:row>
      <xdr:rowOff>48646</xdr:rowOff>
    </xdr:from>
    <xdr:to>
      <xdr:col>22</xdr:col>
      <xdr:colOff>336777</xdr:colOff>
      <xdr:row>41</xdr:row>
      <xdr:rowOff>116225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755" t="2439" r="12618" b="2848"/>
        <a:stretch/>
      </xdr:blipFill>
      <xdr:spPr>
        <a:xfrm>
          <a:off x="11457215" y="5872503"/>
          <a:ext cx="4514169" cy="4217758"/>
        </a:xfrm>
        <a:prstGeom prst="rect">
          <a:avLst/>
        </a:prstGeom>
      </xdr:spPr>
    </xdr:pic>
    <xdr:clientData/>
  </xdr:twoCellAnchor>
  <xdr:twoCellAnchor editAs="oneCell">
    <xdr:from>
      <xdr:col>5</xdr:col>
      <xdr:colOff>557439</xdr:colOff>
      <xdr:row>26</xdr:row>
      <xdr:rowOff>98516</xdr:rowOff>
    </xdr:from>
    <xdr:to>
      <xdr:col>13</xdr:col>
      <xdr:colOff>519871</xdr:colOff>
      <xdr:row>41</xdr:row>
      <xdr:rowOff>250160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481" t="2259" r="9915" b="3203"/>
        <a:stretch/>
      </xdr:blipFill>
      <xdr:spPr>
        <a:xfrm>
          <a:off x="6245225" y="6085659"/>
          <a:ext cx="4643289" cy="4138537"/>
        </a:xfrm>
        <a:prstGeom prst="rect">
          <a:avLst/>
        </a:prstGeom>
      </xdr:spPr>
    </xdr:pic>
    <xdr:clientData/>
  </xdr:twoCellAnchor>
  <xdr:twoCellAnchor editAs="oneCell">
    <xdr:from>
      <xdr:col>10</xdr:col>
      <xdr:colOff>186717</xdr:colOff>
      <xdr:row>61</xdr:row>
      <xdr:rowOff>7760</xdr:rowOff>
    </xdr:from>
    <xdr:to>
      <xdr:col>17</xdr:col>
      <xdr:colOff>457893</xdr:colOff>
      <xdr:row>73</xdr:row>
      <xdr:rowOff>28850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687" t="23088" r="6611" b="2826"/>
        <a:stretch/>
      </xdr:blipFill>
      <xdr:spPr>
        <a:xfrm>
          <a:off x="8800038" y="14717081"/>
          <a:ext cx="4366926" cy="2878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476250</xdr:colOff>
      <xdr:row>2</xdr:row>
      <xdr:rowOff>33784</xdr:rowOff>
    </xdr:from>
    <xdr:ext cx="2933700" cy="4384570"/>
    <xdr:pic>
      <xdr:nvPicPr>
        <xdr:cNvPr id="2" name="Picture 1">
          <a:extLst>
            <a:ext uri="{FF2B5EF4-FFF2-40B4-BE49-F238E27FC236}">
              <a16:creationId xmlns:a16="http://schemas.microsoft.com/office/drawing/2014/main" id="{2235AB9C-D2C2-49DC-A551-D62220C084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99" t="3588" r="45042" b="2632"/>
        <a:stretch/>
      </xdr:blipFill>
      <xdr:spPr>
        <a:xfrm>
          <a:off x="4610100" y="357634"/>
          <a:ext cx="2933700" cy="4384570"/>
        </a:xfrm>
        <a:prstGeom prst="rect">
          <a:avLst/>
        </a:prstGeom>
      </xdr:spPr>
    </xdr:pic>
    <xdr:clientData/>
  </xdr:oneCellAnchor>
  <xdr:oneCellAnchor>
    <xdr:from>
      <xdr:col>5</xdr:col>
      <xdr:colOff>261938</xdr:colOff>
      <xdr:row>3</xdr:row>
      <xdr:rowOff>147118</xdr:rowOff>
    </xdr:from>
    <xdr:ext cx="3167062" cy="3872433"/>
    <xdr:pic>
      <xdr:nvPicPr>
        <xdr:cNvPr id="3" name="Picture 2">
          <a:extLst>
            <a:ext uri="{FF2B5EF4-FFF2-40B4-BE49-F238E27FC236}">
              <a16:creationId xmlns:a16="http://schemas.microsoft.com/office/drawing/2014/main" id="{F8665781-7A03-43CF-B4D4-6BAD5BC011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67" t="2901" r="35198" b="3080"/>
        <a:stretch/>
      </xdr:blipFill>
      <xdr:spPr>
        <a:xfrm>
          <a:off x="3214688" y="632893"/>
          <a:ext cx="3167062" cy="3872433"/>
        </a:xfrm>
        <a:prstGeom prst="rect">
          <a:avLst/>
        </a:prstGeom>
      </xdr:spPr>
    </xdr:pic>
    <xdr:clientData/>
  </xdr:oneCellAnchor>
  <xdr:oneCellAnchor>
    <xdr:from>
      <xdr:col>5</xdr:col>
      <xdr:colOff>304798</xdr:colOff>
      <xdr:row>25</xdr:row>
      <xdr:rowOff>4140</xdr:rowOff>
    </xdr:from>
    <xdr:ext cx="3067051" cy="4415459"/>
    <xdr:pic>
      <xdr:nvPicPr>
        <xdr:cNvPr id="4" name="Picture 3">
          <a:extLst>
            <a:ext uri="{FF2B5EF4-FFF2-40B4-BE49-F238E27FC236}">
              <a16:creationId xmlns:a16="http://schemas.microsoft.com/office/drawing/2014/main" id="{8031A185-3EA4-44F4-A37A-07E192846D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414" t="3167" r="42351" b="2209"/>
        <a:stretch/>
      </xdr:blipFill>
      <xdr:spPr>
        <a:xfrm>
          <a:off x="3257548" y="4052265"/>
          <a:ext cx="3067051" cy="4415459"/>
        </a:xfrm>
        <a:prstGeom prst="rect">
          <a:avLst/>
        </a:prstGeom>
      </xdr:spPr>
    </xdr:pic>
    <xdr:clientData/>
  </xdr:oneCellAnchor>
  <xdr:oneCellAnchor>
    <xdr:from>
      <xdr:col>6</xdr:col>
      <xdr:colOff>2438400</xdr:colOff>
      <xdr:row>22</xdr:row>
      <xdr:rowOff>54821</xdr:rowOff>
    </xdr:from>
    <xdr:ext cx="5333555" cy="5726855"/>
    <xdr:pic>
      <xdr:nvPicPr>
        <xdr:cNvPr id="5" name="Picture 4">
          <a:extLst>
            <a:ext uri="{FF2B5EF4-FFF2-40B4-BE49-F238E27FC236}">
              <a16:creationId xmlns:a16="http://schemas.microsoft.com/office/drawing/2014/main" id="{8C452EA5-EB50-4FFA-8D91-B02675A10C2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304" t="2479" r="26841" b="5048"/>
        <a:stretch/>
      </xdr:blipFill>
      <xdr:spPr>
        <a:xfrm>
          <a:off x="4133850" y="3617171"/>
          <a:ext cx="5333555" cy="5726855"/>
        </a:xfrm>
        <a:prstGeom prst="rect">
          <a:avLst/>
        </a:prstGeom>
      </xdr:spPr>
    </xdr:pic>
    <xdr:clientData/>
  </xdr:oneCellAnchor>
  <xdr:oneCellAnchor>
    <xdr:from>
      <xdr:col>4</xdr:col>
      <xdr:colOff>180974</xdr:colOff>
      <xdr:row>47</xdr:row>
      <xdr:rowOff>71076</xdr:rowOff>
    </xdr:from>
    <xdr:ext cx="4057651" cy="4338999"/>
    <xdr:pic>
      <xdr:nvPicPr>
        <xdr:cNvPr id="6" name="Picture 5">
          <a:extLst>
            <a:ext uri="{FF2B5EF4-FFF2-40B4-BE49-F238E27FC236}">
              <a16:creationId xmlns:a16="http://schemas.microsoft.com/office/drawing/2014/main" id="{EC1C83C5-88BF-4479-A53B-71597AAEE5F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895" t="2510" r="25684" b="2866"/>
        <a:stretch/>
      </xdr:blipFill>
      <xdr:spPr>
        <a:xfrm>
          <a:off x="2543174" y="7681551"/>
          <a:ext cx="4057651" cy="4338999"/>
        </a:xfrm>
        <a:prstGeom prst="rect">
          <a:avLst/>
        </a:prstGeom>
      </xdr:spPr>
    </xdr:pic>
    <xdr:clientData/>
  </xdr:oneCellAnchor>
  <xdr:oneCellAnchor>
    <xdr:from>
      <xdr:col>7</xdr:col>
      <xdr:colOff>99822</xdr:colOff>
      <xdr:row>53</xdr:row>
      <xdr:rowOff>19050</xdr:rowOff>
    </xdr:from>
    <xdr:ext cx="4405503" cy="2838450"/>
    <xdr:pic>
      <xdr:nvPicPr>
        <xdr:cNvPr id="7" name="Picture 6">
          <a:extLst>
            <a:ext uri="{FF2B5EF4-FFF2-40B4-BE49-F238E27FC236}">
              <a16:creationId xmlns:a16="http://schemas.microsoft.com/office/drawing/2014/main" id="{A6523481-68A0-43D6-9D67-DE943202404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892" t="26040" r="7641" b="2938"/>
        <a:stretch/>
      </xdr:blipFill>
      <xdr:spPr>
        <a:xfrm>
          <a:off x="4233672" y="8601075"/>
          <a:ext cx="4405503" cy="28384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ecast.org/wp-content/uploads/041224_Resources_Values-of-f-Ka-e-For-Use-in-Buoyancy-Calculato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precast.org/wp-content/uploads/041224_Resources_Values-of-f-Ka-e-For-Use-in-Buoyancy-Calculator.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25"/>
  <sheetViews>
    <sheetView showGridLines="0" zoomScale="70" zoomScaleNormal="70" zoomScalePageLayoutView="130" workbookViewId="0">
      <selection activeCell="B6" sqref="B6:D6"/>
    </sheetView>
  </sheetViews>
  <sheetFormatPr defaultColWidth="8.88671875" defaultRowHeight="13.2" x14ac:dyDescent="0.25"/>
  <cols>
    <col min="2" max="2" width="50.33203125" customWidth="1"/>
    <col min="3" max="3" width="13.6640625" style="2" customWidth="1"/>
    <col min="5" max="5" width="3.88671875" customWidth="1"/>
  </cols>
  <sheetData>
    <row r="1" spans="1:29" x14ac:dyDescent="0.25">
      <c r="A1" s="3"/>
      <c r="B1" s="3"/>
      <c r="C1" s="3"/>
      <c r="D1" s="4"/>
      <c r="E1" s="3"/>
      <c r="F1" s="3"/>
      <c r="G1" s="37"/>
      <c r="H1" s="37"/>
      <c r="I1" s="37"/>
      <c r="J1" s="37"/>
      <c r="K1" s="37"/>
      <c r="L1" s="37"/>
      <c r="M1" s="37"/>
      <c r="N1" s="37"/>
      <c r="O1" s="37"/>
    </row>
    <row r="2" spans="1:29" ht="33" customHeight="1" x14ac:dyDescent="0.25">
      <c r="A2" s="3"/>
      <c r="B2" s="154" t="s">
        <v>82</v>
      </c>
      <c r="C2" s="155"/>
      <c r="D2" s="155"/>
      <c r="E2" s="3"/>
      <c r="F2" s="34"/>
      <c r="G2" s="37"/>
      <c r="H2" s="37"/>
      <c r="I2" s="37"/>
      <c r="J2" s="37"/>
      <c r="K2" s="37"/>
      <c r="L2" s="37"/>
      <c r="M2" s="37"/>
      <c r="N2" s="37"/>
      <c r="O2" s="37"/>
      <c r="P2" s="39"/>
      <c r="Q2" s="40"/>
      <c r="R2" s="40"/>
      <c r="S2" s="40"/>
      <c r="T2" s="40"/>
      <c r="U2" s="40"/>
      <c r="V2" s="40"/>
      <c r="W2" s="40"/>
      <c r="X2" s="40"/>
      <c r="Y2" s="40"/>
      <c r="Z2" s="40"/>
      <c r="AA2" s="40"/>
      <c r="AB2" s="40"/>
      <c r="AC2" s="40"/>
    </row>
    <row r="3" spans="1:29" x14ac:dyDescent="0.25">
      <c r="A3" s="3"/>
      <c r="B3" s="3"/>
      <c r="C3" s="4"/>
      <c r="D3" s="3"/>
      <c r="E3" s="3"/>
      <c r="F3" s="34"/>
      <c r="G3" s="37"/>
      <c r="H3" s="37"/>
      <c r="I3" s="37"/>
      <c r="J3" s="37"/>
      <c r="K3" s="37"/>
      <c r="L3" s="37"/>
      <c r="M3" s="37"/>
      <c r="N3" s="37"/>
      <c r="O3" s="37"/>
      <c r="P3" s="39"/>
      <c r="Q3" s="40"/>
      <c r="R3" s="40"/>
      <c r="S3" s="40"/>
      <c r="T3" s="40"/>
      <c r="U3" s="40"/>
      <c r="V3" s="40"/>
      <c r="W3" s="40"/>
      <c r="X3" s="40"/>
      <c r="Y3" s="40"/>
      <c r="Z3" s="40"/>
      <c r="AA3" s="40"/>
      <c r="AB3" s="40"/>
      <c r="AC3" s="40"/>
    </row>
    <row r="4" spans="1:29" x14ac:dyDescent="0.25">
      <c r="A4" s="3"/>
      <c r="B4" s="42" t="s">
        <v>83</v>
      </c>
      <c r="C4" s="73"/>
      <c r="D4" s="74"/>
      <c r="E4" s="12"/>
      <c r="F4" s="34"/>
      <c r="G4" s="37" t="s">
        <v>0</v>
      </c>
      <c r="H4" s="37"/>
      <c r="I4" s="37"/>
      <c r="J4" s="37"/>
      <c r="K4" s="37">
        <f>IF(C22&lt;=C19, 0, IF(C22&gt;=(C19+C12), C12, (C22-C19)))</f>
        <v>0.5</v>
      </c>
      <c r="L4" s="37"/>
      <c r="M4" s="37"/>
      <c r="N4" s="37"/>
      <c r="O4" s="37"/>
      <c r="P4" s="37"/>
      <c r="R4" s="40"/>
      <c r="S4" s="40"/>
      <c r="T4" s="40"/>
      <c r="U4" s="40"/>
      <c r="V4" s="40"/>
      <c r="W4" s="40"/>
      <c r="X4" s="40"/>
      <c r="Y4" s="40"/>
      <c r="Z4" s="40"/>
      <c r="AA4" s="40"/>
      <c r="AB4" s="40"/>
      <c r="AC4" s="40"/>
    </row>
    <row r="5" spans="1:29" x14ac:dyDescent="0.25">
      <c r="A5" s="3"/>
      <c r="B5" s="72"/>
      <c r="C5" s="11"/>
      <c r="D5" s="12"/>
      <c r="E5" s="12"/>
      <c r="F5" s="34"/>
      <c r="G5" s="37"/>
      <c r="H5" s="37"/>
      <c r="I5" s="37"/>
      <c r="J5" s="37"/>
      <c r="K5" s="37"/>
      <c r="L5" s="37"/>
      <c r="M5" s="37"/>
      <c r="N5" s="37"/>
      <c r="O5" s="37"/>
      <c r="P5" s="37"/>
      <c r="R5" s="40"/>
      <c r="S5" s="40"/>
      <c r="T5" s="40"/>
      <c r="U5" s="40"/>
      <c r="V5" s="40"/>
      <c r="W5" s="40"/>
      <c r="X5" s="40"/>
      <c r="Y5" s="40"/>
      <c r="Z5" s="40"/>
      <c r="AA5" s="40"/>
      <c r="AB5" s="40"/>
      <c r="AC5" s="40"/>
    </row>
    <row r="6" spans="1:29" ht="25.5" customHeight="1" x14ac:dyDescent="0.25">
      <c r="A6" s="3"/>
      <c r="B6" s="177" t="s">
        <v>89</v>
      </c>
      <c r="C6" s="178"/>
      <c r="D6" s="178"/>
      <c r="E6" s="12"/>
      <c r="F6" s="34"/>
      <c r="G6" s="37" t="s">
        <v>4</v>
      </c>
      <c r="H6" s="37"/>
      <c r="I6" s="37"/>
      <c r="J6" s="37"/>
      <c r="K6" s="37">
        <f>IF(C22&gt;=(C19+C18), C21, IF(C22&lt;=(C19+C18-C21), 0, (C22-C19-(C18-C21))))</f>
        <v>0</v>
      </c>
      <c r="L6" s="37"/>
      <c r="M6" s="37"/>
      <c r="N6" s="37"/>
      <c r="O6" s="37"/>
      <c r="P6" s="37"/>
      <c r="R6" s="40"/>
      <c r="S6" s="40"/>
      <c r="T6" s="40"/>
      <c r="U6" s="40"/>
      <c r="V6" s="40"/>
      <c r="W6" s="40"/>
      <c r="X6" s="40"/>
      <c r="Y6" s="40"/>
      <c r="Z6" s="40"/>
      <c r="AA6" s="40"/>
      <c r="AB6" s="40"/>
      <c r="AC6" s="40"/>
    </row>
    <row r="7" spans="1:29" x14ac:dyDescent="0.25">
      <c r="A7" s="3"/>
      <c r="B7" s="13"/>
      <c r="C7" s="14"/>
      <c r="D7" s="12"/>
      <c r="E7" s="12"/>
      <c r="F7" s="34"/>
      <c r="G7" s="37" t="s">
        <v>3</v>
      </c>
      <c r="H7" s="37"/>
      <c r="I7" s="37"/>
      <c r="J7" s="37"/>
      <c r="K7" s="37">
        <f>IF(C22&gt;=(C19+C18+C32), C32, IF(C22&lt;=(C19+C18), 0, (C22-C19-C18)))</f>
        <v>0</v>
      </c>
      <c r="L7" s="37"/>
      <c r="M7" s="37"/>
      <c r="N7" s="37"/>
      <c r="O7" s="37"/>
      <c r="P7" s="37"/>
      <c r="R7" s="40"/>
      <c r="S7" s="40"/>
      <c r="T7" s="40"/>
      <c r="U7" s="40"/>
      <c r="V7" s="40"/>
      <c r="W7" s="40"/>
      <c r="X7" s="40"/>
      <c r="Y7" s="40"/>
      <c r="Z7" s="40"/>
      <c r="AA7" s="40"/>
      <c r="AB7" s="40"/>
      <c r="AC7" s="40"/>
    </row>
    <row r="8" spans="1:29" ht="57" customHeight="1" x14ac:dyDescent="0.25">
      <c r="A8" s="3"/>
      <c r="B8" s="162" t="s">
        <v>141</v>
      </c>
      <c r="C8" s="163"/>
      <c r="D8" s="163"/>
      <c r="E8" s="12"/>
      <c r="F8" s="34"/>
      <c r="G8" s="37"/>
      <c r="H8" s="37"/>
      <c r="I8" s="37"/>
      <c r="J8" s="37"/>
      <c r="K8" s="37"/>
      <c r="L8" s="37"/>
      <c r="M8" s="37"/>
      <c r="N8" s="37"/>
      <c r="O8" s="37"/>
      <c r="P8" s="37"/>
      <c r="R8" s="40"/>
      <c r="S8" s="40"/>
      <c r="T8" s="40"/>
      <c r="U8" s="40"/>
      <c r="V8" s="40"/>
      <c r="W8" s="40"/>
      <c r="X8" s="40"/>
      <c r="Y8" s="40"/>
      <c r="Z8" s="40"/>
      <c r="AA8" s="40"/>
      <c r="AB8" s="40"/>
      <c r="AC8" s="40"/>
    </row>
    <row r="9" spans="1:29" x14ac:dyDescent="0.25">
      <c r="A9" s="3"/>
      <c r="B9" s="13"/>
      <c r="C9" s="14"/>
      <c r="D9" s="12"/>
      <c r="E9" s="12"/>
      <c r="F9" s="34"/>
      <c r="G9" s="37"/>
      <c r="H9" s="37"/>
      <c r="I9" s="37"/>
      <c r="J9" s="37"/>
      <c r="K9" s="37"/>
      <c r="L9" s="37"/>
      <c r="M9" s="37"/>
      <c r="N9" s="37"/>
      <c r="O9" s="37"/>
      <c r="P9" s="37"/>
      <c r="R9" s="40"/>
      <c r="S9" s="40"/>
      <c r="T9" s="40"/>
      <c r="U9" s="40"/>
      <c r="V9" s="40"/>
      <c r="W9" s="40"/>
      <c r="X9" s="40"/>
      <c r="Y9" s="40"/>
      <c r="Z9" s="40"/>
      <c r="AA9" s="40"/>
      <c r="AB9" s="40"/>
      <c r="AC9" s="40"/>
    </row>
    <row r="10" spans="1:29" ht="13.8" thickBot="1" x14ac:dyDescent="0.3">
      <c r="A10" s="3"/>
      <c r="B10" s="13"/>
      <c r="C10" s="14"/>
      <c r="D10" s="12"/>
      <c r="E10" s="12"/>
      <c r="F10" s="34"/>
      <c r="G10" s="37"/>
      <c r="H10" s="37"/>
      <c r="I10" s="37"/>
      <c r="J10" s="37"/>
      <c r="K10" s="37"/>
      <c r="L10" s="37"/>
      <c r="M10" s="37"/>
      <c r="N10" s="37"/>
      <c r="O10" s="37"/>
      <c r="P10" s="37"/>
      <c r="R10" s="40"/>
      <c r="S10" s="40"/>
      <c r="T10" s="40"/>
      <c r="U10" s="40"/>
      <c r="V10" s="40"/>
      <c r="W10" s="40"/>
      <c r="X10" s="40"/>
      <c r="Y10" s="40"/>
      <c r="Z10" s="40"/>
      <c r="AA10" s="40"/>
      <c r="AB10" s="40"/>
      <c r="AC10" s="40"/>
    </row>
    <row r="11" spans="1:29" ht="16.2" thickBot="1" x14ac:dyDescent="0.3">
      <c r="A11" s="3"/>
      <c r="B11" s="43" t="s">
        <v>10</v>
      </c>
      <c r="C11" s="44"/>
      <c r="D11" s="45"/>
      <c r="E11" s="9"/>
      <c r="F11" s="34"/>
      <c r="G11" s="37"/>
      <c r="H11" s="37"/>
      <c r="I11" s="37"/>
      <c r="J11" s="37"/>
      <c r="K11" s="37"/>
      <c r="L11" s="37"/>
      <c r="M11" s="37"/>
      <c r="N11" s="37"/>
      <c r="O11" s="37"/>
      <c r="P11" s="37"/>
      <c r="R11" s="40"/>
      <c r="S11" s="40"/>
      <c r="T11" s="40"/>
      <c r="U11" s="40"/>
      <c r="V11" s="40"/>
      <c r="W11" s="40"/>
      <c r="X11" s="40"/>
      <c r="Y11" s="40"/>
      <c r="Z11" s="40"/>
      <c r="AA11" s="40"/>
      <c r="AB11" s="40"/>
      <c r="AC11" s="40"/>
    </row>
    <row r="12" spans="1:29" x14ac:dyDescent="0.25">
      <c r="A12" s="3"/>
      <c r="B12" s="47" t="s">
        <v>39</v>
      </c>
      <c r="C12" s="48">
        <v>0.5</v>
      </c>
      <c r="D12" s="59" t="s">
        <v>1</v>
      </c>
      <c r="E12" s="9"/>
      <c r="F12" s="34"/>
      <c r="G12" s="37"/>
      <c r="H12" s="37"/>
      <c r="I12" s="37"/>
      <c r="J12" s="37"/>
      <c r="K12" s="37"/>
      <c r="L12" s="37"/>
      <c r="M12" s="37"/>
      <c r="N12" s="37"/>
      <c r="O12" s="37"/>
      <c r="P12" s="37"/>
      <c r="R12" s="40"/>
      <c r="S12" s="40"/>
      <c r="T12" s="40"/>
      <c r="U12" s="40"/>
      <c r="V12" s="40"/>
      <c r="W12" s="40"/>
      <c r="X12" s="40"/>
      <c r="Y12" s="40"/>
      <c r="Z12" s="40"/>
      <c r="AA12" s="40"/>
      <c r="AB12" s="40"/>
      <c r="AC12" s="40"/>
    </row>
    <row r="13" spans="1:29" x14ac:dyDescent="0.25">
      <c r="A13" s="3"/>
      <c r="B13" s="49" t="s">
        <v>144</v>
      </c>
      <c r="C13" s="46">
        <v>12</v>
      </c>
      <c r="D13" s="60" t="s">
        <v>2</v>
      </c>
      <c r="E13" s="9"/>
      <c r="F13" s="34"/>
      <c r="G13" s="37"/>
      <c r="H13" s="37"/>
      <c r="I13" s="37"/>
      <c r="J13" s="37"/>
      <c r="K13" s="37"/>
      <c r="L13" s="37"/>
      <c r="M13" s="37"/>
      <c r="N13" s="37"/>
      <c r="O13" s="37"/>
      <c r="P13" s="37"/>
      <c r="R13" s="40"/>
      <c r="S13" s="40"/>
      <c r="T13" s="40"/>
      <c r="U13" s="40"/>
      <c r="V13" s="40"/>
      <c r="W13" s="40"/>
      <c r="X13" s="40"/>
      <c r="Y13" s="40"/>
      <c r="Z13" s="40"/>
      <c r="AA13" s="40"/>
      <c r="AB13" s="40"/>
      <c r="AC13" s="40"/>
    </row>
    <row r="14" spans="1:29" ht="26.4" x14ac:dyDescent="0.25">
      <c r="A14" s="3"/>
      <c r="B14" s="49" t="s">
        <v>145</v>
      </c>
      <c r="C14" s="46">
        <v>0</v>
      </c>
      <c r="D14" s="60" t="s">
        <v>2</v>
      </c>
      <c r="E14" s="9"/>
      <c r="F14" s="34"/>
      <c r="G14" s="37"/>
      <c r="H14" s="37"/>
      <c r="I14" s="37"/>
      <c r="J14" s="37"/>
      <c r="K14" s="37"/>
      <c r="L14" s="37"/>
      <c r="M14" s="37"/>
      <c r="N14" s="37"/>
      <c r="O14" s="37"/>
      <c r="P14" s="37"/>
      <c r="R14" s="40"/>
      <c r="S14" s="40"/>
      <c r="T14" s="40"/>
      <c r="U14" s="40"/>
      <c r="V14" s="40"/>
      <c r="W14" s="40"/>
      <c r="X14" s="40"/>
      <c r="Y14" s="40"/>
      <c r="Z14" s="40"/>
      <c r="AA14" s="40"/>
      <c r="AB14" s="40"/>
      <c r="AC14" s="40"/>
    </row>
    <row r="15" spans="1:29" ht="26.4" x14ac:dyDescent="0.25">
      <c r="A15" s="3"/>
      <c r="B15" s="49" t="s">
        <v>146</v>
      </c>
      <c r="C15" s="46">
        <v>0</v>
      </c>
      <c r="D15" s="60" t="s">
        <v>2</v>
      </c>
      <c r="E15" s="9"/>
      <c r="F15" s="34"/>
      <c r="G15" s="37"/>
      <c r="H15" s="37"/>
      <c r="I15" s="37"/>
      <c r="J15" s="37"/>
      <c r="K15" s="37"/>
      <c r="L15" s="37"/>
      <c r="M15" s="37"/>
      <c r="N15" s="37"/>
      <c r="O15" s="37"/>
      <c r="P15" s="37"/>
      <c r="R15" s="40"/>
      <c r="S15" s="40"/>
      <c r="T15" s="40"/>
      <c r="U15" s="40"/>
      <c r="V15" s="40"/>
      <c r="W15" s="40"/>
      <c r="X15" s="40"/>
      <c r="Y15" s="40"/>
      <c r="Z15" s="40"/>
      <c r="AA15" s="40"/>
      <c r="AB15" s="40"/>
      <c r="AC15" s="40"/>
    </row>
    <row r="16" spans="1:29" x14ac:dyDescent="0.25">
      <c r="A16" s="3"/>
      <c r="B16" s="49" t="s">
        <v>40</v>
      </c>
      <c r="C16" s="46">
        <v>5</v>
      </c>
      <c r="D16" s="60" t="s">
        <v>1</v>
      </c>
      <c r="E16" s="9"/>
      <c r="F16" s="34"/>
      <c r="G16" s="37"/>
      <c r="H16" s="37"/>
      <c r="I16" s="37"/>
      <c r="J16" s="37"/>
      <c r="K16" s="37"/>
      <c r="L16" s="37"/>
      <c r="M16" s="37"/>
      <c r="N16" s="37"/>
      <c r="O16" s="37"/>
      <c r="P16" s="37"/>
      <c r="R16" s="40"/>
      <c r="S16" s="40"/>
      <c r="T16" s="40"/>
      <c r="U16" s="40"/>
      <c r="V16" s="40"/>
      <c r="W16" s="40"/>
      <c r="X16" s="40"/>
      <c r="Y16" s="40"/>
      <c r="Z16" s="40"/>
      <c r="AA16" s="40"/>
      <c r="AB16" s="40"/>
      <c r="AC16" s="40"/>
    </row>
    <row r="17" spans="1:29" x14ac:dyDescent="0.25">
      <c r="A17" s="3"/>
      <c r="B17" s="49" t="s">
        <v>41</v>
      </c>
      <c r="C17" s="46">
        <v>3</v>
      </c>
      <c r="D17" s="60" t="s">
        <v>1</v>
      </c>
      <c r="E17" s="9"/>
      <c r="F17" s="34"/>
      <c r="G17" s="37"/>
      <c r="H17" s="37"/>
      <c r="I17" s="37"/>
      <c r="J17" s="37"/>
      <c r="K17" s="37"/>
      <c r="L17" s="37"/>
      <c r="M17" s="37"/>
      <c r="N17" s="37"/>
      <c r="O17" s="37"/>
      <c r="P17" s="37"/>
      <c r="R17" s="40"/>
      <c r="S17" s="40"/>
      <c r="T17" s="40"/>
      <c r="U17" s="40"/>
      <c r="V17" s="40"/>
      <c r="W17" s="40"/>
      <c r="X17" s="40"/>
      <c r="Y17" s="40"/>
      <c r="Z17" s="40"/>
      <c r="AA17" s="40"/>
      <c r="AB17" s="40"/>
      <c r="AC17" s="40"/>
    </row>
    <row r="18" spans="1:29" ht="25.5" customHeight="1" x14ac:dyDescent="0.25">
      <c r="A18" s="3"/>
      <c r="B18" s="49" t="s">
        <v>81</v>
      </c>
      <c r="C18" s="46">
        <v>3.5</v>
      </c>
      <c r="D18" s="60" t="s">
        <v>1</v>
      </c>
      <c r="E18" s="9"/>
      <c r="F18" s="34"/>
      <c r="G18" s="37"/>
      <c r="H18" s="37"/>
      <c r="I18" s="37"/>
      <c r="J18" s="37"/>
      <c r="K18" s="37"/>
      <c r="L18" s="37"/>
      <c r="M18" s="37"/>
      <c r="N18" s="37"/>
      <c r="O18" s="37"/>
      <c r="P18" s="37"/>
      <c r="R18" s="40"/>
      <c r="S18" s="40"/>
      <c r="T18" s="40"/>
      <c r="U18" s="40"/>
      <c r="V18" s="40"/>
      <c r="W18" s="40"/>
      <c r="X18" s="40"/>
      <c r="Y18" s="40"/>
      <c r="Z18" s="40"/>
      <c r="AA18" s="40"/>
      <c r="AB18" s="40"/>
      <c r="AC18" s="40"/>
    </row>
    <row r="19" spans="1:29" ht="25.5" customHeight="1" x14ac:dyDescent="0.25">
      <c r="A19" s="3"/>
      <c r="B19" s="49" t="s">
        <v>49</v>
      </c>
      <c r="C19" s="46">
        <v>2</v>
      </c>
      <c r="D19" s="60" t="s">
        <v>1</v>
      </c>
      <c r="E19" s="9"/>
      <c r="F19" s="34"/>
      <c r="G19" s="37"/>
      <c r="H19" s="37"/>
      <c r="I19" s="37"/>
      <c r="J19" s="37"/>
      <c r="K19" s="37"/>
      <c r="L19" s="37"/>
      <c r="M19" s="37"/>
      <c r="N19" s="37"/>
      <c r="O19" s="37"/>
      <c r="P19" s="37"/>
      <c r="R19" s="40"/>
      <c r="S19" s="40"/>
      <c r="T19" s="40"/>
      <c r="U19" s="40"/>
      <c r="V19" s="40"/>
      <c r="W19" s="40"/>
      <c r="X19" s="40"/>
      <c r="Y19" s="40"/>
      <c r="Z19" s="40"/>
      <c r="AA19" s="40"/>
      <c r="AB19" s="40"/>
      <c r="AC19" s="40"/>
    </row>
    <row r="20" spans="1:29" x14ac:dyDescent="0.25">
      <c r="A20" s="3"/>
      <c r="B20" s="49" t="s">
        <v>42</v>
      </c>
      <c r="C20" s="46">
        <v>0.5</v>
      </c>
      <c r="D20" s="60" t="s">
        <v>1</v>
      </c>
      <c r="E20" s="9"/>
      <c r="F20" s="34"/>
      <c r="G20" s="37"/>
      <c r="H20" s="37"/>
      <c r="I20" s="37"/>
      <c r="J20" s="37"/>
      <c r="K20" s="37"/>
      <c r="L20" s="37"/>
      <c r="M20" s="37"/>
      <c r="N20" s="37"/>
      <c r="O20" s="37"/>
      <c r="P20" s="37"/>
      <c r="R20" s="40"/>
      <c r="S20" s="40"/>
      <c r="T20" s="40"/>
      <c r="U20" s="40"/>
      <c r="V20" s="40"/>
      <c r="W20" s="40"/>
      <c r="X20" s="40"/>
      <c r="Y20" s="40"/>
      <c r="Z20" s="40"/>
      <c r="AA20" s="40"/>
      <c r="AB20" s="40"/>
      <c r="AC20" s="40"/>
    </row>
    <row r="21" spans="1:29" x14ac:dyDescent="0.25">
      <c r="A21" s="3"/>
      <c r="B21" s="49" t="s">
        <v>43</v>
      </c>
      <c r="C21" s="46">
        <v>0.5</v>
      </c>
      <c r="D21" s="60" t="s">
        <v>1</v>
      </c>
      <c r="E21" s="9"/>
      <c r="F21" s="34"/>
      <c r="G21" s="37"/>
      <c r="H21" s="37"/>
      <c r="I21" s="37"/>
      <c r="J21" s="37"/>
      <c r="K21" s="37"/>
      <c r="L21" s="37"/>
      <c r="M21" s="37"/>
      <c r="N21" s="37"/>
      <c r="O21" s="37"/>
      <c r="P21" s="37"/>
      <c r="R21" s="40"/>
      <c r="S21" s="40"/>
      <c r="T21" s="40"/>
      <c r="U21" s="40"/>
      <c r="V21" s="40"/>
      <c r="W21" s="40"/>
      <c r="X21" s="40"/>
      <c r="Y21" s="40"/>
      <c r="Z21" s="40"/>
      <c r="AA21" s="40"/>
      <c r="AB21" s="40"/>
      <c r="AC21" s="40"/>
    </row>
    <row r="22" spans="1:29" ht="12.75" customHeight="1" thickBot="1" x14ac:dyDescent="0.3">
      <c r="A22" s="3"/>
      <c r="B22" s="50" t="s">
        <v>44</v>
      </c>
      <c r="C22" s="51">
        <v>4</v>
      </c>
      <c r="D22" s="61" t="s">
        <v>1</v>
      </c>
      <c r="E22" s="9"/>
      <c r="F22" s="34"/>
      <c r="G22" s="37"/>
      <c r="H22" s="37"/>
      <c r="I22" s="37"/>
      <c r="J22" s="37"/>
      <c r="K22" s="37"/>
      <c r="L22" s="37"/>
      <c r="M22" s="37"/>
      <c r="N22" s="37"/>
      <c r="O22" s="37"/>
      <c r="P22" s="37"/>
      <c r="R22" s="40"/>
      <c r="S22" s="40"/>
      <c r="T22" s="40"/>
      <c r="U22" s="40"/>
      <c r="V22" s="40"/>
      <c r="W22" s="40"/>
      <c r="X22" s="40"/>
      <c r="Y22" s="40"/>
      <c r="Z22" s="40"/>
      <c r="AA22" s="40"/>
      <c r="AB22" s="40"/>
      <c r="AC22" s="40"/>
    </row>
    <row r="23" spans="1:29" x14ac:dyDescent="0.25">
      <c r="A23" s="3"/>
      <c r="B23" s="15"/>
      <c r="C23" s="16"/>
      <c r="D23" s="62"/>
      <c r="E23" s="21"/>
      <c r="F23" s="34"/>
      <c r="G23" s="37"/>
      <c r="H23" s="37"/>
      <c r="I23" s="37"/>
      <c r="J23" s="37"/>
      <c r="K23" s="37"/>
      <c r="L23" s="37"/>
      <c r="M23" s="37"/>
      <c r="N23" s="37"/>
      <c r="O23" s="37"/>
      <c r="P23" s="37"/>
      <c r="R23" s="40"/>
      <c r="S23" s="40"/>
      <c r="T23" s="40"/>
      <c r="U23" s="40"/>
      <c r="V23" s="40"/>
      <c r="W23" s="40"/>
      <c r="X23" s="40"/>
      <c r="Y23" s="40"/>
      <c r="Z23" s="40"/>
      <c r="AA23" s="40"/>
      <c r="AB23" s="40"/>
      <c r="AC23" s="40"/>
    </row>
    <row r="24" spans="1:29" ht="13.8" thickBot="1" x14ac:dyDescent="0.3">
      <c r="A24" s="3"/>
      <c r="B24" s="17"/>
      <c r="C24" s="18"/>
      <c r="D24" s="63"/>
      <c r="E24" s="9"/>
      <c r="F24" s="34"/>
      <c r="G24" s="37"/>
      <c r="H24" s="37"/>
      <c r="I24" s="37"/>
      <c r="J24" s="37"/>
      <c r="K24" s="37"/>
      <c r="L24" s="37"/>
      <c r="M24" s="37"/>
      <c r="N24" s="37"/>
      <c r="O24" s="37"/>
      <c r="P24" s="37"/>
      <c r="R24" s="40"/>
      <c r="S24" s="40"/>
      <c r="T24" s="40"/>
      <c r="U24" s="40"/>
      <c r="V24" s="40"/>
      <c r="W24" s="40"/>
      <c r="X24" s="40"/>
      <c r="Y24" s="40"/>
      <c r="Z24" s="40"/>
      <c r="AA24" s="40"/>
      <c r="AB24" s="40"/>
      <c r="AC24" s="40"/>
    </row>
    <row r="25" spans="1:29" ht="16.2" thickBot="1" x14ac:dyDescent="0.3">
      <c r="A25" s="3"/>
      <c r="B25" s="30" t="s">
        <v>76</v>
      </c>
      <c r="C25" s="31"/>
      <c r="D25" s="64"/>
      <c r="E25" s="9"/>
      <c r="F25" s="34"/>
      <c r="G25" s="37"/>
      <c r="H25" s="37"/>
      <c r="I25" s="37"/>
      <c r="J25" s="37"/>
      <c r="K25" s="37"/>
      <c r="L25" s="37"/>
      <c r="M25" s="37"/>
      <c r="N25" s="37"/>
      <c r="O25" s="37"/>
      <c r="P25" s="37"/>
      <c r="R25" s="40"/>
      <c r="S25" s="40"/>
      <c r="T25" s="40"/>
      <c r="U25" s="40"/>
      <c r="V25" s="40"/>
      <c r="W25" s="40"/>
      <c r="X25" s="40"/>
      <c r="Y25" s="40"/>
      <c r="Z25" s="40"/>
      <c r="AA25" s="40"/>
      <c r="AB25" s="40"/>
      <c r="AC25" s="40"/>
    </row>
    <row r="26" spans="1:29" x14ac:dyDescent="0.25">
      <c r="A26" s="3"/>
      <c r="B26" s="23" t="s">
        <v>77</v>
      </c>
      <c r="C26" s="29"/>
      <c r="D26" s="65"/>
      <c r="E26" s="9"/>
      <c r="F26" s="34"/>
      <c r="G26" s="37"/>
      <c r="H26" s="37"/>
      <c r="I26" s="37"/>
      <c r="J26" s="37"/>
      <c r="K26" s="37"/>
      <c r="L26" s="37"/>
      <c r="M26" s="37"/>
      <c r="N26" s="37"/>
      <c r="O26" s="37"/>
      <c r="P26" s="37"/>
      <c r="R26" s="40"/>
      <c r="S26" s="40"/>
      <c r="T26" s="40"/>
      <c r="U26" s="40"/>
      <c r="V26" s="40"/>
      <c r="W26" s="40"/>
      <c r="X26" s="40"/>
      <c r="Y26" s="40"/>
      <c r="Z26" s="40"/>
      <c r="AA26" s="40"/>
      <c r="AB26" s="40"/>
      <c r="AC26" s="40"/>
    </row>
    <row r="27" spans="1:29" ht="26.4" x14ac:dyDescent="0.25">
      <c r="A27" s="3"/>
      <c r="B27" s="22" t="s">
        <v>54</v>
      </c>
      <c r="C27" s="36">
        <f>C18-C21</f>
        <v>3</v>
      </c>
      <c r="D27" s="66" t="s">
        <v>1</v>
      </c>
      <c r="E27" s="9"/>
      <c r="F27" s="34"/>
      <c r="G27" s="37"/>
      <c r="H27" s="37"/>
      <c r="I27" s="37"/>
      <c r="J27" s="37"/>
      <c r="K27" s="37"/>
      <c r="L27" s="37"/>
      <c r="M27" s="37"/>
      <c r="N27" s="37"/>
      <c r="O27" s="37"/>
      <c r="P27" s="37"/>
      <c r="R27" s="40"/>
      <c r="S27" s="40"/>
      <c r="T27" s="40"/>
      <c r="U27" s="40"/>
      <c r="V27" s="40"/>
      <c r="W27" s="40"/>
      <c r="X27" s="40"/>
      <c r="Y27" s="40"/>
      <c r="Z27" s="40"/>
      <c r="AA27" s="40"/>
      <c r="AB27" s="40"/>
      <c r="AC27" s="40"/>
    </row>
    <row r="28" spans="1:29" ht="12.75" customHeight="1" x14ac:dyDescent="0.25">
      <c r="A28" s="3"/>
      <c r="B28" s="49" t="s">
        <v>45</v>
      </c>
      <c r="C28" s="156">
        <v>0</v>
      </c>
      <c r="D28" s="159" t="s">
        <v>1</v>
      </c>
      <c r="E28" s="9"/>
      <c r="F28" s="34"/>
      <c r="G28" s="37"/>
      <c r="H28" s="37"/>
      <c r="I28" s="37"/>
      <c r="J28" s="37"/>
      <c r="K28" s="37"/>
      <c r="L28" s="37"/>
      <c r="M28" s="37"/>
      <c r="N28" s="37"/>
      <c r="O28" s="37"/>
      <c r="P28" s="37"/>
      <c r="R28" s="40"/>
      <c r="S28" s="40"/>
      <c r="T28" s="40"/>
      <c r="U28" s="40"/>
      <c r="V28" s="40"/>
      <c r="W28" s="40"/>
      <c r="X28" s="40"/>
      <c r="Y28" s="40"/>
      <c r="Z28" s="40"/>
      <c r="AA28" s="40"/>
      <c r="AB28" s="40"/>
      <c r="AC28" s="40"/>
    </row>
    <row r="29" spans="1:29" ht="39.6" x14ac:dyDescent="0.25">
      <c r="A29" s="3"/>
      <c r="B29" s="7" t="s">
        <v>59</v>
      </c>
      <c r="C29" s="157"/>
      <c r="D29" s="160"/>
      <c r="E29" s="9"/>
      <c r="F29" s="34"/>
      <c r="G29" s="37"/>
      <c r="H29" s="37"/>
      <c r="I29" s="37"/>
      <c r="J29" s="37"/>
      <c r="K29" s="37"/>
      <c r="L29" s="37"/>
      <c r="M29" s="37"/>
      <c r="N29" s="37"/>
      <c r="O29" s="37"/>
      <c r="P29" s="37"/>
      <c r="R29" s="40"/>
      <c r="S29" s="40"/>
      <c r="T29" s="40"/>
      <c r="U29" s="40"/>
      <c r="V29" s="40"/>
      <c r="W29" s="40"/>
      <c r="X29" s="40"/>
      <c r="Y29" s="40"/>
      <c r="Z29" s="40"/>
      <c r="AA29" s="40"/>
      <c r="AB29" s="40"/>
      <c r="AC29" s="40"/>
    </row>
    <row r="30" spans="1:29" x14ac:dyDescent="0.25">
      <c r="A30" s="3"/>
      <c r="B30" s="28" t="s">
        <v>78</v>
      </c>
      <c r="C30" s="24"/>
      <c r="D30" s="67"/>
      <c r="E30" s="9"/>
      <c r="F30" s="34"/>
      <c r="G30" s="37"/>
      <c r="H30" s="37"/>
      <c r="I30" s="37"/>
      <c r="J30" s="37"/>
      <c r="K30" s="37"/>
      <c r="L30" s="37"/>
      <c r="M30" s="37"/>
      <c r="N30" s="37"/>
      <c r="O30" s="37"/>
      <c r="P30" s="37"/>
      <c r="R30" s="40"/>
      <c r="S30" s="40"/>
      <c r="T30" s="40"/>
      <c r="U30" s="40"/>
      <c r="V30" s="40"/>
      <c r="W30" s="40"/>
      <c r="X30" s="40"/>
      <c r="Y30" s="40"/>
      <c r="Z30" s="40"/>
      <c r="AA30" s="40"/>
      <c r="AB30" s="40"/>
      <c r="AC30" s="40"/>
    </row>
    <row r="31" spans="1:29" ht="26.4" x14ac:dyDescent="0.25">
      <c r="A31" s="3"/>
      <c r="B31" s="19" t="s">
        <v>56</v>
      </c>
      <c r="C31" s="26">
        <f>C21</f>
        <v>0.5</v>
      </c>
      <c r="D31" s="68" t="s">
        <v>1</v>
      </c>
      <c r="E31" s="9"/>
      <c r="F31" s="34"/>
      <c r="G31" s="37"/>
      <c r="H31" s="37"/>
      <c r="I31" s="37"/>
      <c r="J31" s="37"/>
      <c r="K31" s="37"/>
      <c r="L31" s="37"/>
      <c r="M31" s="37"/>
      <c r="N31" s="37"/>
      <c r="O31" s="37"/>
      <c r="P31" s="37"/>
      <c r="R31" s="40"/>
      <c r="S31" s="40"/>
      <c r="T31" s="40"/>
      <c r="U31" s="40"/>
      <c r="V31" s="40"/>
      <c r="W31" s="40"/>
      <c r="X31" s="40"/>
      <c r="Y31" s="40"/>
      <c r="Z31" s="40"/>
      <c r="AA31" s="40"/>
      <c r="AB31" s="40"/>
      <c r="AC31" s="40"/>
    </row>
    <row r="32" spans="1:29" ht="26.4" x14ac:dyDescent="0.25">
      <c r="A32" s="3"/>
      <c r="B32" s="49" t="s">
        <v>46</v>
      </c>
      <c r="C32" s="156">
        <v>0</v>
      </c>
      <c r="D32" s="159" t="s">
        <v>1</v>
      </c>
      <c r="E32" s="9"/>
      <c r="F32" s="34"/>
      <c r="G32" s="150"/>
      <c r="H32" s="150"/>
      <c r="I32" s="150"/>
      <c r="J32" s="150"/>
      <c r="K32" s="150"/>
      <c r="L32" s="150"/>
      <c r="M32" s="150"/>
      <c r="N32" s="150"/>
      <c r="O32" s="150"/>
      <c r="P32" s="150"/>
      <c r="Q32" s="151"/>
      <c r="R32" s="152"/>
      <c r="S32" s="152"/>
      <c r="T32" s="152"/>
      <c r="U32" s="152"/>
      <c r="V32" s="152"/>
      <c r="W32" s="152"/>
      <c r="X32" s="152"/>
      <c r="Y32" s="40"/>
      <c r="Z32" s="40"/>
      <c r="AA32" s="40"/>
      <c r="AB32" s="40"/>
      <c r="AC32" s="40"/>
    </row>
    <row r="33" spans="1:29" x14ac:dyDescent="0.25">
      <c r="A33" s="3"/>
      <c r="B33" s="7" t="s">
        <v>48</v>
      </c>
      <c r="C33" s="157"/>
      <c r="D33" s="160"/>
      <c r="E33" s="9"/>
      <c r="F33" s="34"/>
      <c r="G33" s="150"/>
      <c r="H33" s="150"/>
      <c r="I33" s="150"/>
      <c r="J33" s="150"/>
      <c r="K33" s="150"/>
      <c r="L33" s="150"/>
      <c r="M33" s="150"/>
      <c r="N33" s="150"/>
      <c r="O33" s="150"/>
      <c r="P33" s="150"/>
      <c r="Q33" s="151"/>
      <c r="R33" s="152"/>
      <c r="S33" s="152"/>
      <c r="T33" s="152"/>
      <c r="U33" s="152"/>
      <c r="V33" s="152"/>
      <c r="W33" s="152"/>
      <c r="X33" s="152"/>
      <c r="Y33" s="40"/>
      <c r="Z33" s="40"/>
      <c r="AA33" s="40"/>
      <c r="AB33" s="40"/>
      <c r="AC33" s="40"/>
    </row>
    <row r="34" spans="1:29" x14ac:dyDescent="0.25">
      <c r="A34" s="3"/>
      <c r="B34" s="28" t="s">
        <v>79</v>
      </c>
      <c r="C34" s="27"/>
      <c r="D34" s="67"/>
      <c r="E34" s="9"/>
      <c r="F34" s="34"/>
      <c r="G34" s="150"/>
      <c r="H34" s="150"/>
      <c r="I34" s="150"/>
      <c r="J34" s="150"/>
      <c r="K34" s="150"/>
      <c r="L34" s="150"/>
      <c r="M34" s="150"/>
      <c r="N34" s="150"/>
      <c r="O34" s="150"/>
      <c r="P34" s="150"/>
      <c r="Q34" s="151"/>
      <c r="R34" s="152"/>
      <c r="S34" s="152"/>
      <c r="T34" s="152"/>
      <c r="U34" s="152"/>
      <c r="V34" s="152"/>
      <c r="W34" s="152"/>
      <c r="X34" s="152"/>
      <c r="Y34" s="40"/>
      <c r="Z34" s="40"/>
      <c r="AA34" s="40"/>
      <c r="AB34" s="40"/>
      <c r="AC34" s="40"/>
    </row>
    <row r="35" spans="1:29" ht="38.25" customHeight="1" x14ac:dyDescent="0.25">
      <c r="A35" s="3"/>
      <c r="B35" s="49" t="s">
        <v>91</v>
      </c>
      <c r="C35" s="156">
        <v>0</v>
      </c>
      <c r="D35" s="159" t="s">
        <v>1</v>
      </c>
      <c r="E35" s="9"/>
      <c r="F35" s="34"/>
      <c r="G35" s="150"/>
      <c r="H35" s="150"/>
      <c r="I35" s="150"/>
      <c r="J35" s="150"/>
      <c r="K35" s="150"/>
      <c r="L35" s="150"/>
      <c r="M35" s="150"/>
      <c r="N35" s="150"/>
      <c r="O35" s="150"/>
      <c r="P35" s="150"/>
      <c r="Q35" s="151"/>
      <c r="R35" s="152"/>
      <c r="S35" s="152"/>
      <c r="T35" s="152"/>
      <c r="U35" s="152"/>
      <c r="V35" s="152"/>
      <c r="W35" s="152"/>
      <c r="X35" s="152"/>
      <c r="Y35" s="40"/>
      <c r="Z35" s="40"/>
      <c r="AA35" s="40"/>
      <c r="AB35" s="40"/>
      <c r="AC35" s="40"/>
    </row>
    <row r="36" spans="1:29" ht="12.75" customHeight="1" thickBot="1" x14ac:dyDescent="0.3">
      <c r="A36" s="3"/>
      <c r="B36" s="10" t="s">
        <v>47</v>
      </c>
      <c r="C36" s="158"/>
      <c r="D36" s="161"/>
      <c r="E36" s="9"/>
      <c r="F36" s="34"/>
      <c r="G36" s="150"/>
      <c r="H36" s="150"/>
      <c r="I36" s="150"/>
      <c r="J36" s="150"/>
      <c r="K36" s="150"/>
      <c r="L36" s="150"/>
      <c r="M36" s="150"/>
      <c r="N36" s="150"/>
      <c r="O36" s="150"/>
      <c r="P36" s="150"/>
      <c r="Q36" s="151"/>
      <c r="R36" s="152"/>
      <c r="S36" s="152"/>
      <c r="T36" s="152"/>
      <c r="U36" s="152"/>
      <c r="V36" s="152"/>
      <c r="W36" s="152"/>
      <c r="X36" s="152"/>
      <c r="Y36" s="40"/>
      <c r="Z36" s="40"/>
      <c r="AA36" s="40"/>
      <c r="AB36" s="40"/>
      <c r="AC36" s="40"/>
    </row>
    <row r="37" spans="1:29" x14ac:dyDescent="0.25">
      <c r="A37" s="3"/>
      <c r="B37" s="17"/>
      <c r="C37" s="6"/>
      <c r="D37" s="63"/>
      <c r="E37" s="9"/>
      <c r="F37" s="34"/>
      <c r="G37" s="150"/>
      <c r="H37" s="150"/>
      <c r="I37" s="150"/>
      <c r="J37" s="150"/>
      <c r="K37" s="150"/>
      <c r="L37" s="150"/>
      <c r="M37" s="150"/>
      <c r="N37" s="150"/>
      <c r="O37" s="150"/>
      <c r="P37" s="150"/>
      <c r="Q37" s="151"/>
      <c r="R37" s="152"/>
      <c r="S37" s="152"/>
      <c r="T37" s="152"/>
      <c r="U37" s="152"/>
      <c r="V37" s="152"/>
      <c r="W37" s="152"/>
      <c r="X37" s="152"/>
      <c r="Y37" s="40"/>
      <c r="Z37" s="40"/>
      <c r="AA37" s="40"/>
      <c r="AB37" s="40"/>
      <c r="AC37" s="40"/>
    </row>
    <row r="38" spans="1:29" ht="12.75" customHeight="1" thickBot="1" x14ac:dyDescent="0.3">
      <c r="A38" s="3"/>
      <c r="B38" s="17"/>
      <c r="C38" s="6"/>
      <c r="D38" s="63"/>
      <c r="E38" s="9"/>
      <c r="F38" s="34"/>
      <c r="G38" s="150"/>
      <c r="H38" s="150"/>
      <c r="I38" s="150"/>
      <c r="J38" s="150"/>
      <c r="K38" s="150"/>
      <c r="L38" s="150"/>
      <c r="M38" s="150"/>
      <c r="N38" s="150"/>
      <c r="O38" s="150"/>
      <c r="P38" s="150"/>
      <c r="Q38" s="151"/>
      <c r="R38" s="152"/>
      <c r="S38" s="152"/>
      <c r="T38" s="152"/>
      <c r="U38" s="152"/>
      <c r="V38" s="152"/>
      <c r="W38" s="152"/>
      <c r="X38" s="152"/>
      <c r="Y38" s="40"/>
      <c r="Z38" s="40"/>
      <c r="AA38" s="40"/>
      <c r="AB38" s="40"/>
      <c r="AC38" s="40"/>
    </row>
    <row r="39" spans="1:29" ht="31.5" customHeight="1" thickBot="1" x14ac:dyDescent="0.3">
      <c r="A39" s="3"/>
      <c r="B39" s="43" t="s">
        <v>80</v>
      </c>
      <c r="C39" s="52"/>
      <c r="D39" s="69"/>
      <c r="E39" s="9"/>
      <c r="F39" s="34"/>
      <c r="G39" s="150"/>
      <c r="H39" s="150"/>
      <c r="I39" s="150"/>
      <c r="J39" s="150"/>
      <c r="K39" s="150"/>
      <c r="L39" s="150"/>
      <c r="M39" s="150"/>
      <c r="N39" s="150"/>
      <c r="O39" s="150"/>
      <c r="P39" s="150"/>
      <c r="Q39" s="151"/>
      <c r="R39" s="152"/>
      <c r="S39" s="152"/>
      <c r="T39" s="152"/>
      <c r="U39" s="152"/>
      <c r="V39" s="152"/>
      <c r="W39" s="152"/>
      <c r="X39" s="152"/>
      <c r="Y39" s="40"/>
      <c r="Z39" s="40"/>
      <c r="AA39" s="40"/>
      <c r="AB39" s="40"/>
      <c r="AC39" s="40"/>
    </row>
    <row r="40" spans="1:29" ht="25.5" customHeight="1" x14ac:dyDescent="0.25">
      <c r="A40" s="3"/>
      <c r="B40" s="47" t="s">
        <v>57</v>
      </c>
      <c r="C40" s="53">
        <f>C21+C32</f>
        <v>0.5</v>
      </c>
      <c r="D40" s="59" t="s">
        <v>1</v>
      </c>
      <c r="E40" s="9"/>
      <c r="F40" s="34"/>
      <c r="G40" s="150"/>
      <c r="H40" s="150"/>
      <c r="I40" s="150"/>
      <c r="J40" s="150"/>
      <c r="K40" s="150"/>
      <c r="L40" s="150"/>
      <c r="M40" s="150"/>
      <c r="N40" s="150"/>
      <c r="O40" s="150"/>
      <c r="P40" s="150"/>
      <c r="Q40" s="151"/>
      <c r="R40" s="152"/>
      <c r="S40" s="152"/>
      <c r="T40" s="152"/>
      <c r="U40" s="152"/>
      <c r="V40" s="152"/>
      <c r="W40" s="152"/>
      <c r="X40" s="152"/>
      <c r="Y40" s="40"/>
      <c r="Z40" s="40"/>
      <c r="AA40" s="40"/>
      <c r="AB40" s="40"/>
      <c r="AC40" s="40"/>
    </row>
    <row r="41" spans="1:29" ht="12.75" customHeight="1" x14ac:dyDescent="0.25">
      <c r="A41" s="3"/>
      <c r="B41" s="49" t="s">
        <v>50</v>
      </c>
      <c r="C41" s="36">
        <f>C21+C32</f>
        <v>0.5</v>
      </c>
      <c r="D41" s="60" t="s">
        <v>1</v>
      </c>
      <c r="E41" s="9"/>
      <c r="F41" s="34"/>
      <c r="G41" s="150"/>
      <c r="H41" s="150"/>
      <c r="I41" s="150"/>
      <c r="J41" s="150"/>
      <c r="K41" s="150"/>
      <c r="L41" s="150"/>
      <c r="M41" s="150"/>
      <c r="N41" s="150"/>
      <c r="O41" s="150"/>
      <c r="P41" s="150"/>
      <c r="Q41" s="151"/>
      <c r="R41" s="152"/>
      <c r="S41" s="152"/>
      <c r="T41" s="152"/>
      <c r="U41" s="152"/>
      <c r="V41" s="152"/>
      <c r="W41" s="152"/>
      <c r="X41" s="152"/>
      <c r="Y41" s="40"/>
      <c r="Z41" s="40"/>
      <c r="AA41" s="40"/>
      <c r="AB41" s="40"/>
      <c r="AC41" s="40"/>
    </row>
    <row r="42" spans="1:29" ht="39.6" x14ac:dyDescent="0.25">
      <c r="A42" s="3"/>
      <c r="B42" s="49" t="s">
        <v>53</v>
      </c>
      <c r="C42" s="36">
        <f>C12+C18+C32</f>
        <v>4</v>
      </c>
      <c r="D42" s="60" t="s">
        <v>1</v>
      </c>
      <c r="E42" s="9"/>
      <c r="F42" s="34"/>
      <c r="G42" s="150"/>
      <c r="H42" s="150"/>
      <c r="I42" s="150"/>
      <c r="J42" s="150"/>
      <c r="K42" s="150"/>
      <c r="L42" s="150"/>
      <c r="M42" s="150"/>
      <c r="N42" s="150"/>
      <c r="O42" s="150"/>
      <c r="P42" s="150"/>
      <c r="Q42" s="151"/>
      <c r="R42" s="152"/>
      <c r="S42" s="152"/>
      <c r="T42" s="152"/>
      <c r="U42" s="152"/>
      <c r="V42" s="152"/>
      <c r="W42" s="152"/>
      <c r="X42" s="152"/>
      <c r="Y42" s="40"/>
      <c r="Z42" s="40"/>
      <c r="AA42" s="40"/>
      <c r="AB42" s="40"/>
      <c r="AC42" s="40"/>
    </row>
    <row r="43" spans="1:29" ht="26.25" customHeight="1" x14ac:dyDescent="0.25">
      <c r="A43" s="3"/>
      <c r="B43" s="49" t="s">
        <v>55</v>
      </c>
      <c r="C43" s="36">
        <f>C18-C21-C28</f>
        <v>3</v>
      </c>
      <c r="D43" s="60" t="s">
        <v>1</v>
      </c>
      <c r="E43" s="9"/>
      <c r="F43" s="34"/>
      <c r="G43" s="150"/>
      <c r="H43" s="150"/>
      <c r="I43" s="150"/>
      <c r="J43" s="150"/>
      <c r="K43" s="150"/>
      <c r="L43" s="150"/>
      <c r="M43" s="150"/>
      <c r="N43" s="150"/>
      <c r="O43" s="150"/>
      <c r="P43" s="150"/>
      <c r="Q43" s="151"/>
      <c r="R43" s="152"/>
      <c r="S43" s="152"/>
      <c r="T43" s="152"/>
      <c r="U43" s="152"/>
      <c r="V43" s="152"/>
      <c r="W43" s="152"/>
      <c r="X43" s="152"/>
      <c r="Y43" s="40"/>
      <c r="Z43" s="40"/>
      <c r="AA43" s="40"/>
      <c r="AB43" s="40"/>
      <c r="AC43" s="40"/>
    </row>
    <row r="44" spans="1:29" ht="12.75" customHeight="1" x14ac:dyDescent="0.25">
      <c r="A44" s="3"/>
      <c r="B44" s="49" t="s">
        <v>58</v>
      </c>
      <c r="C44" s="36">
        <f>((C16-(2*C20))*(C17-(2*C20)))*C43</f>
        <v>24</v>
      </c>
      <c r="D44" s="60" t="s">
        <v>51</v>
      </c>
      <c r="E44" s="9"/>
      <c r="F44" s="34"/>
      <c r="G44" s="150"/>
      <c r="H44" s="150"/>
      <c r="I44" s="150"/>
      <c r="J44" s="150"/>
      <c r="K44" s="150"/>
      <c r="L44" s="150"/>
      <c r="M44" s="150"/>
      <c r="N44" s="150"/>
      <c r="O44" s="150"/>
      <c r="P44" s="150"/>
      <c r="Q44" s="151"/>
      <c r="R44" s="152"/>
      <c r="S44" s="152"/>
      <c r="T44" s="152"/>
      <c r="U44" s="152"/>
      <c r="V44" s="152"/>
      <c r="W44" s="152"/>
      <c r="X44" s="152"/>
      <c r="Y44" s="40"/>
      <c r="Z44" s="40"/>
      <c r="AA44" s="40"/>
      <c r="AB44" s="40"/>
      <c r="AC44" s="40"/>
    </row>
    <row r="45" spans="1:29" ht="12.75" customHeight="1" thickBot="1" x14ac:dyDescent="0.3">
      <c r="A45" s="3"/>
      <c r="B45" s="50" t="s">
        <v>58</v>
      </c>
      <c r="C45" s="54">
        <f>C44*7.48052</f>
        <v>179.53248000000002</v>
      </c>
      <c r="D45" s="61" t="s">
        <v>52</v>
      </c>
      <c r="E45" s="9"/>
      <c r="F45" s="34"/>
      <c r="G45" s="150"/>
      <c r="H45" s="150"/>
      <c r="I45" s="150"/>
      <c r="J45" s="150"/>
      <c r="K45" s="150"/>
      <c r="L45" s="150"/>
      <c r="M45" s="150"/>
      <c r="N45" s="150"/>
      <c r="O45" s="150"/>
      <c r="P45" s="150"/>
      <c r="Q45" s="151"/>
      <c r="R45" s="152"/>
      <c r="S45" s="152"/>
      <c r="T45" s="152"/>
      <c r="U45" s="152"/>
      <c r="V45" s="152"/>
      <c r="W45" s="152"/>
      <c r="X45" s="152"/>
      <c r="Y45" s="40"/>
      <c r="Z45" s="40"/>
      <c r="AA45" s="40"/>
      <c r="AB45" s="40"/>
      <c r="AC45" s="40"/>
    </row>
    <row r="46" spans="1:29" ht="13.5" customHeight="1" x14ac:dyDescent="0.25">
      <c r="A46" s="3"/>
      <c r="B46" s="17"/>
      <c r="C46" s="6"/>
      <c r="D46" s="63"/>
      <c r="E46" s="9"/>
      <c r="F46" s="34"/>
      <c r="G46" s="150"/>
      <c r="H46" s="150"/>
      <c r="I46" s="150"/>
      <c r="J46" s="150"/>
      <c r="K46" s="150"/>
      <c r="L46" s="150"/>
      <c r="M46" s="150"/>
      <c r="N46" s="150"/>
      <c r="O46" s="150"/>
      <c r="P46" s="150"/>
      <c r="Q46" s="151"/>
      <c r="R46" s="152"/>
      <c r="S46" s="152"/>
      <c r="T46" s="152"/>
      <c r="U46" s="152"/>
      <c r="V46" s="152"/>
      <c r="W46" s="152"/>
      <c r="X46" s="152"/>
      <c r="Y46" s="40"/>
      <c r="Z46" s="40"/>
      <c r="AA46" s="40"/>
      <c r="AB46" s="40"/>
      <c r="AC46" s="40"/>
    </row>
    <row r="47" spans="1:29" ht="13.5" customHeight="1" thickBot="1" x14ac:dyDescent="0.3">
      <c r="A47" s="3"/>
      <c r="B47" s="17"/>
      <c r="C47" s="6"/>
      <c r="D47" s="63"/>
      <c r="E47" s="9"/>
      <c r="F47" s="34"/>
      <c r="G47" s="150"/>
      <c r="H47" s="150"/>
      <c r="I47" s="150"/>
      <c r="J47" s="150"/>
      <c r="K47" s="150"/>
      <c r="L47" s="150"/>
      <c r="M47" s="150"/>
      <c r="N47" s="150"/>
      <c r="O47" s="150"/>
      <c r="P47" s="150"/>
      <c r="Q47" s="151"/>
      <c r="R47" s="152"/>
      <c r="S47" s="152"/>
      <c r="T47" s="152"/>
      <c r="U47" s="152"/>
      <c r="V47" s="152"/>
      <c r="W47" s="152"/>
      <c r="X47" s="152"/>
      <c r="Y47" s="40"/>
      <c r="Z47" s="40"/>
      <c r="AA47" s="40"/>
      <c r="AB47" s="40"/>
      <c r="AC47" s="40"/>
    </row>
    <row r="48" spans="1:29" ht="16.2" thickBot="1" x14ac:dyDescent="0.3">
      <c r="A48" s="3"/>
      <c r="B48" s="43" t="s">
        <v>12</v>
      </c>
      <c r="C48" s="52"/>
      <c r="D48" s="69"/>
      <c r="E48" s="9"/>
      <c r="F48" s="34"/>
      <c r="G48" s="150"/>
      <c r="H48" s="150"/>
      <c r="I48" s="150"/>
      <c r="J48" s="150"/>
      <c r="K48" s="150"/>
      <c r="L48" s="150"/>
      <c r="M48" s="150"/>
      <c r="N48" s="150"/>
      <c r="O48" s="150"/>
      <c r="P48" s="150"/>
      <c r="Q48" s="151"/>
      <c r="R48" s="152"/>
      <c r="S48" s="152"/>
      <c r="T48" s="152"/>
      <c r="U48" s="152"/>
      <c r="V48" s="152"/>
      <c r="W48" s="152"/>
      <c r="X48" s="152"/>
      <c r="Y48" s="40"/>
      <c r="Z48" s="40"/>
      <c r="AA48" s="40"/>
      <c r="AB48" s="40"/>
      <c r="AC48" s="40"/>
    </row>
    <row r="49" spans="1:29" ht="12.75" customHeight="1" x14ac:dyDescent="0.25">
      <c r="A49" s="3"/>
      <c r="B49" s="47" t="s">
        <v>62</v>
      </c>
      <c r="C49" s="48">
        <v>62.4</v>
      </c>
      <c r="D49" s="59" t="s">
        <v>6</v>
      </c>
      <c r="E49" s="9"/>
      <c r="F49" s="34"/>
      <c r="G49" s="150"/>
      <c r="H49" s="150"/>
      <c r="I49" s="150"/>
      <c r="J49" s="150"/>
      <c r="K49" s="150"/>
      <c r="L49" s="150"/>
      <c r="M49" s="150"/>
      <c r="N49" s="150"/>
      <c r="O49" s="150"/>
      <c r="P49" s="150"/>
      <c r="Q49" s="151"/>
      <c r="R49" s="152"/>
      <c r="S49" s="152"/>
      <c r="T49" s="152"/>
      <c r="U49" s="152"/>
      <c r="V49" s="152"/>
      <c r="W49" s="152"/>
      <c r="X49" s="152"/>
      <c r="Y49" s="40"/>
      <c r="Z49" s="40"/>
      <c r="AA49" s="40"/>
      <c r="AB49" s="40"/>
      <c r="AC49" s="40"/>
    </row>
    <row r="50" spans="1:29" ht="12.75" customHeight="1" x14ac:dyDescent="0.25">
      <c r="A50" s="3"/>
      <c r="B50" s="49" t="s">
        <v>63</v>
      </c>
      <c r="C50" s="46">
        <v>110</v>
      </c>
      <c r="D50" s="60" t="s">
        <v>6</v>
      </c>
      <c r="E50" s="9"/>
      <c r="F50" s="34"/>
      <c r="G50" s="150"/>
      <c r="H50" s="150"/>
      <c r="I50" s="150"/>
      <c r="J50" s="150"/>
      <c r="K50" s="150"/>
      <c r="L50" s="150"/>
      <c r="M50" s="150"/>
      <c r="N50" s="150"/>
      <c r="O50" s="150"/>
      <c r="P50" s="150"/>
      <c r="Q50" s="151"/>
      <c r="R50" s="152"/>
      <c r="S50" s="152"/>
      <c r="T50" s="152"/>
      <c r="U50" s="152"/>
      <c r="V50" s="152"/>
      <c r="W50" s="152"/>
      <c r="X50" s="152"/>
      <c r="Y50" s="40"/>
      <c r="Z50" s="40"/>
      <c r="AA50" s="40"/>
      <c r="AB50" s="40"/>
      <c r="AC50" s="40"/>
    </row>
    <row r="51" spans="1:29" ht="13.5" customHeight="1" x14ac:dyDescent="0.25">
      <c r="A51" s="3"/>
      <c r="B51" s="49" t="s">
        <v>64</v>
      </c>
      <c r="C51" s="36">
        <f>C50-C49</f>
        <v>47.6</v>
      </c>
      <c r="D51" s="60" t="s">
        <v>6</v>
      </c>
      <c r="E51" s="9"/>
      <c r="F51" s="34"/>
      <c r="G51" s="150" t="s">
        <v>38</v>
      </c>
      <c r="H51" s="150"/>
      <c r="I51" s="150"/>
      <c r="J51" s="150"/>
      <c r="K51" s="150">
        <f>IF(C22&gt;=(C18+C19+C32+C12), (C18+C32+C12), IF(C22&lt;=C19,0,(C22-C19)))</f>
        <v>2</v>
      </c>
      <c r="L51" s="150"/>
      <c r="M51" s="150"/>
      <c r="N51" s="150"/>
      <c r="O51" s="150"/>
      <c r="P51" s="150"/>
      <c r="Q51" s="151"/>
      <c r="R51" s="152"/>
      <c r="S51" s="152"/>
      <c r="T51" s="152"/>
      <c r="U51" s="152"/>
      <c r="V51" s="152"/>
      <c r="W51" s="152"/>
      <c r="X51" s="152"/>
      <c r="Y51" s="40"/>
      <c r="Z51" s="40"/>
      <c r="AA51" s="40"/>
      <c r="AB51" s="40"/>
      <c r="AC51" s="40"/>
    </row>
    <row r="52" spans="1:29" ht="12.75" customHeight="1" x14ac:dyDescent="0.25">
      <c r="A52" s="3"/>
      <c r="B52" s="49" t="s">
        <v>65</v>
      </c>
      <c r="C52" s="46">
        <v>120</v>
      </c>
      <c r="D52" s="60" t="s">
        <v>6</v>
      </c>
      <c r="E52" s="9"/>
      <c r="F52" s="34"/>
      <c r="G52" s="150" t="s">
        <v>37</v>
      </c>
      <c r="H52" s="150"/>
      <c r="I52" s="150"/>
      <c r="J52" s="150"/>
      <c r="K52" s="150">
        <f>((2*C17*C35)+(2*C16*C35)+(4*(C35^2)))</f>
        <v>0</v>
      </c>
      <c r="L52" s="150"/>
      <c r="M52" s="150"/>
      <c r="N52" s="150"/>
      <c r="O52" s="150"/>
      <c r="P52" s="150"/>
      <c r="Q52" s="151"/>
      <c r="R52" s="152"/>
      <c r="S52" s="152"/>
      <c r="T52" s="152"/>
      <c r="U52" s="152"/>
      <c r="V52" s="152"/>
      <c r="W52" s="152"/>
      <c r="X52" s="152"/>
      <c r="Y52" s="40"/>
      <c r="Z52" s="40"/>
      <c r="AA52" s="40"/>
      <c r="AB52" s="40"/>
      <c r="AC52" s="40"/>
    </row>
    <row r="53" spans="1:29" ht="12.75" customHeight="1" thickBot="1" x14ac:dyDescent="0.3">
      <c r="A53" s="3"/>
      <c r="B53" s="50" t="s">
        <v>66</v>
      </c>
      <c r="C53" s="51">
        <v>145</v>
      </c>
      <c r="D53" s="61" t="s">
        <v>6</v>
      </c>
      <c r="E53" s="9"/>
      <c r="F53" s="34"/>
      <c r="G53" s="150" t="s">
        <v>34</v>
      </c>
      <c r="H53" s="150"/>
      <c r="I53" s="150"/>
      <c r="J53" s="150"/>
      <c r="K53" s="150">
        <f>K54-K51</f>
        <v>2</v>
      </c>
      <c r="L53" s="150"/>
      <c r="M53" s="150"/>
      <c r="N53" s="150"/>
      <c r="O53" s="150"/>
      <c r="P53" s="150"/>
      <c r="Q53" s="151"/>
      <c r="R53" s="152"/>
      <c r="S53" s="152"/>
      <c r="T53" s="152"/>
      <c r="U53" s="152"/>
      <c r="V53" s="152"/>
      <c r="W53" s="152"/>
      <c r="X53" s="152"/>
      <c r="Y53" s="40"/>
      <c r="Z53" s="40"/>
      <c r="AA53" s="40"/>
      <c r="AB53" s="40"/>
      <c r="AC53" s="40"/>
    </row>
    <row r="54" spans="1:29" ht="12.75" customHeight="1" x14ac:dyDescent="0.25">
      <c r="A54" s="3"/>
      <c r="B54" s="17"/>
      <c r="C54" s="18"/>
      <c r="D54" s="63"/>
      <c r="E54" s="9"/>
      <c r="F54" s="34"/>
      <c r="G54" s="150" t="s">
        <v>35</v>
      </c>
      <c r="H54" s="150"/>
      <c r="I54" s="150"/>
      <c r="J54" s="150"/>
      <c r="K54" s="150">
        <f>(C12+C18+C32)</f>
        <v>4</v>
      </c>
      <c r="L54" s="150"/>
      <c r="M54" s="150"/>
      <c r="N54" s="150"/>
      <c r="O54" s="150"/>
      <c r="P54" s="150"/>
      <c r="Q54" s="151"/>
      <c r="R54" s="152"/>
      <c r="S54" s="152"/>
      <c r="T54" s="152"/>
      <c r="U54" s="152"/>
      <c r="V54" s="152"/>
      <c r="W54" s="152"/>
      <c r="X54" s="152"/>
      <c r="Y54" s="40"/>
      <c r="Z54" s="40"/>
      <c r="AA54" s="40"/>
      <c r="AB54" s="40"/>
      <c r="AC54" s="40"/>
    </row>
    <row r="55" spans="1:29" ht="12.75" customHeight="1" thickBot="1" x14ac:dyDescent="0.3">
      <c r="A55" s="3"/>
      <c r="B55" s="17"/>
      <c r="C55" s="18"/>
      <c r="D55" s="63"/>
      <c r="E55" s="9"/>
      <c r="F55" s="34"/>
      <c r="G55" s="150"/>
      <c r="H55" s="150"/>
      <c r="I55" s="150"/>
      <c r="J55" s="150"/>
      <c r="K55" s="150"/>
      <c r="L55" s="150"/>
      <c r="M55" s="150"/>
      <c r="N55" s="150"/>
      <c r="O55" s="150"/>
      <c r="P55" s="150"/>
      <c r="Q55" s="151"/>
      <c r="R55" s="152"/>
      <c r="S55" s="152"/>
      <c r="T55" s="152"/>
      <c r="U55" s="152"/>
      <c r="V55" s="152"/>
      <c r="W55" s="152"/>
      <c r="X55" s="152"/>
      <c r="Y55" s="40"/>
      <c r="Z55" s="40"/>
      <c r="AA55" s="40"/>
      <c r="AB55" s="40"/>
      <c r="AC55" s="40"/>
    </row>
    <row r="56" spans="1:29" ht="30.75" customHeight="1" thickBot="1" x14ac:dyDescent="0.3">
      <c r="A56" s="3"/>
      <c r="B56" s="43" t="s">
        <v>21</v>
      </c>
      <c r="C56" s="52"/>
      <c r="D56" s="69"/>
      <c r="E56" s="9"/>
      <c r="F56" s="34"/>
      <c r="G56" s="150" t="s">
        <v>32</v>
      </c>
      <c r="H56" s="150"/>
      <c r="I56" s="150"/>
      <c r="J56" s="150">
        <f>C19+C12+C18+C32-C22</f>
        <v>2</v>
      </c>
      <c r="K56" s="150"/>
      <c r="L56" s="150"/>
      <c r="M56" s="150"/>
      <c r="N56" s="150"/>
      <c r="O56" s="150"/>
      <c r="P56" s="150"/>
      <c r="Q56" s="151"/>
      <c r="R56" s="152"/>
      <c r="S56" s="152"/>
      <c r="T56" s="152"/>
      <c r="U56" s="152"/>
      <c r="V56" s="152"/>
      <c r="W56" s="152"/>
      <c r="X56" s="152"/>
      <c r="Y56" s="40"/>
      <c r="Z56" s="40"/>
      <c r="AA56" s="40"/>
      <c r="AB56" s="40"/>
      <c r="AC56" s="40"/>
    </row>
    <row r="57" spans="1:29" ht="25.5" customHeight="1" x14ac:dyDescent="0.25">
      <c r="A57" s="3"/>
      <c r="B57" s="47" t="s">
        <v>143</v>
      </c>
      <c r="C57" s="56">
        <f>IF(C28&gt;0, ((C16-(2*C20))*(C17-(2*C20))*C28)*C53, 0)</f>
        <v>0</v>
      </c>
      <c r="D57" s="59" t="s">
        <v>5</v>
      </c>
      <c r="E57" s="9"/>
      <c r="F57" s="34"/>
      <c r="G57" s="150" t="s">
        <v>31</v>
      </c>
      <c r="H57" s="150"/>
      <c r="I57" s="150"/>
      <c r="J57" s="150">
        <f>C12+C18+C32-C23</f>
        <v>4</v>
      </c>
      <c r="K57" s="150"/>
      <c r="L57" s="150"/>
      <c r="M57" s="150"/>
      <c r="N57" s="150">
        <f>K52*C41*C53</f>
        <v>0</v>
      </c>
      <c r="O57" s="150"/>
      <c r="P57" s="150"/>
      <c r="Q57" s="151"/>
      <c r="R57" s="152"/>
      <c r="S57" s="152"/>
      <c r="T57" s="152"/>
      <c r="U57" s="152"/>
      <c r="V57" s="152"/>
      <c r="W57" s="152"/>
      <c r="X57" s="152"/>
      <c r="Y57" s="40"/>
      <c r="Z57" s="40"/>
      <c r="AA57" s="40"/>
      <c r="AB57" s="40"/>
      <c r="AC57" s="40"/>
    </row>
    <row r="58" spans="1:29" ht="25.5" customHeight="1" x14ac:dyDescent="0.25">
      <c r="A58" s="3"/>
      <c r="B58" s="49" t="s">
        <v>8</v>
      </c>
      <c r="C58" s="55">
        <f>IF(C32&gt;0,((C16+(2*C35))*(C17+(2*C35))*C32*C53),0)</f>
        <v>0</v>
      </c>
      <c r="D58" s="60" t="s">
        <v>5</v>
      </c>
      <c r="E58" s="9"/>
      <c r="F58" s="34"/>
      <c r="G58" s="150"/>
      <c r="H58" s="150"/>
      <c r="I58" s="150"/>
      <c r="J58" s="150"/>
      <c r="K58" s="150"/>
      <c r="L58" s="150"/>
      <c r="M58" s="150"/>
      <c r="N58" s="150"/>
      <c r="O58" s="150"/>
      <c r="P58" s="150"/>
      <c r="Q58" s="151"/>
      <c r="R58" s="152"/>
      <c r="S58" s="152"/>
      <c r="T58" s="152"/>
      <c r="U58" s="152"/>
      <c r="V58" s="152"/>
      <c r="W58" s="152"/>
      <c r="X58" s="152"/>
      <c r="Y58" s="40"/>
      <c r="Z58" s="40"/>
      <c r="AA58" s="40"/>
      <c r="AB58" s="40"/>
      <c r="AC58" s="40"/>
    </row>
    <row r="59" spans="1:29" ht="26.4" x14ac:dyDescent="0.25">
      <c r="A59" s="3"/>
      <c r="B59" s="49" t="s">
        <v>9</v>
      </c>
      <c r="C59" s="55">
        <f>IF(C35&gt;0, ((((C16+(2*C35))*(C17+(2*C35)))-(C16*C17))*(C21+C32)*C53),0)</f>
        <v>0</v>
      </c>
      <c r="D59" s="60" t="s">
        <v>5</v>
      </c>
      <c r="E59" s="9"/>
      <c r="F59" s="34"/>
      <c r="G59" s="150" t="s">
        <v>29</v>
      </c>
      <c r="H59" s="150"/>
      <c r="I59" s="150"/>
      <c r="J59" s="150">
        <f>J60-C22</f>
        <v>2</v>
      </c>
      <c r="K59" s="150" t="s">
        <v>1</v>
      </c>
      <c r="L59" s="150"/>
      <c r="M59" s="150"/>
      <c r="N59" s="150"/>
      <c r="O59" s="150"/>
      <c r="P59" s="150"/>
      <c r="Q59" s="151"/>
      <c r="R59" s="152"/>
      <c r="S59" s="152"/>
      <c r="T59" s="152"/>
      <c r="U59" s="152"/>
      <c r="V59" s="152"/>
      <c r="W59" s="152"/>
      <c r="X59" s="152"/>
      <c r="Y59" s="40"/>
      <c r="Z59" s="40"/>
      <c r="AA59" s="40"/>
      <c r="AB59" s="40"/>
      <c r="AC59" s="40"/>
    </row>
    <row r="60" spans="1:29" ht="12.75" customHeight="1" thickBot="1" x14ac:dyDescent="0.3">
      <c r="A60" s="3"/>
      <c r="B60" s="50" t="s">
        <v>22</v>
      </c>
      <c r="C60" s="57">
        <f>((((C13/24)^2)+(C14/24)^2)+(C15/24)^2)*PI()*C12*C53</f>
        <v>56.941366846314999</v>
      </c>
      <c r="D60" s="61" t="s">
        <v>5</v>
      </c>
      <c r="E60" s="9"/>
      <c r="F60" s="34"/>
      <c r="G60" s="150" t="s">
        <v>28</v>
      </c>
      <c r="H60" s="150"/>
      <c r="I60" s="150"/>
      <c r="J60" s="150">
        <f>C18+C19+C12+C32</f>
        <v>6</v>
      </c>
      <c r="K60" s="150" t="s">
        <v>1</v>
      </c>
      <c r="L60" s="150"/>
      <c r="M60" s="150"/>
      <c r="N60" s="150"/>
      <c r="O60" s="150"/>
      <c r="P60" s="150"/>
      <c r="Q60" s="151"/>
      <c r="R60" s="152"/>
      <c r="S60" s="152"/>
      <c r="T60" s="152"/>
      <c r="U60" s="152"/>
      <c r="V60" s="152"/>
      <c r="W60" s="152"/>
      <c r="X60" s="152"/>
      <c r="Y60" s="40"/>
      <c r="Z60" s="40"/>
      <c r="AA60" s="40"/>
      <c r="AB60" s="40"/>
      <c r="AC60" s="40"/>
    </row>
    <row r="61" spans="1:29" ht="12.75" customHeight="1" x14ac:dyDescent="0.25">
      <c r="A61" s="3"/>
      <c r="B61" s="17"/>
      <c r="C61" s="8"/>
      <c r="D61" s="63"/>
      <c r="E61" s="9"/>
      <c r="F61" s="34"/>
      <c r="G61" s="150"/>
      <c r="H61" s="150"/>
      <c r="I61" s="150"/>
      <c r="J61" s="150"/>
      <c r="K61" s="150"/>
      <c r="L61" s="150"/>
      <c r="M61" s="150"/>
      <c r="N61" s="150"/>
      <c r="O61" s="150"/>
      <c r="P61" s="150"/>
      <c r="Q61" s="151"/>
      <c r="R61" s="152"/>
      <c r="S61" s="152"/>
      <c r="T61" s="152"/>
      <c r="U61" s="152"/>
      <c r="V61" s="152"/>
      <c r="W61" s="152"/>
      <c r="X61" s="152"/>
      <c r="Y61" s="40"/>
      <c r="Z61" s="40"/>
      <c r="AA61" s="40"/>
      <c r="AB61" s="40"/>
      <c r="AC61" s="40"/>
    </row>
    <row r="62" spans="1:29" ht="12.75" customHeight="1" thickBot="1" x14ac:dyDescent="0.3">
      <c r="A62" s="3"/>
      <c r="B62" s="17"/>
      <c r="C62" s="8"/>
      <c r="D62" s="63"/>
      <c r="E62" s="9"/>
      <c r="F62" s="34"/>
      <c r="G62" s="150"/>
      <c r="H62" s="150"/>
      <c r="I62" s="150"/>
      <c r="J62" s="150"/>
      <c r="K62" s="150"/>
      <c r="L62" s="150"/>
      <c r="M62" s="150"/>
      <c r="N62" s="150"/>
      <c r="O62" s="150"/>
      <c r="P62" s="150"/>
      <c r="Q62" s="151"/>
      <c r="R62" s="152"/>
      <c r="S62" s="152"/>
      <c r="T62" s="152"/>
      <c r="U62" s="152"/>
      <c r="V62" s="152"/>
      <c r="W62" s="152"/>
      <c r="X62" s="152"/>
      <c r="Y62" s="40"/>
      <c r="Z62" s="40"/>
      <c r="AA62" s="40"/>
      <c r="AB62" s="40"/>
      <c r="AC62" s="40"/>
    </row>
    <row r="63" spans="1:29" ht="16.2" thickBot="1" x14ac:dyDescent="0.3">
      <c r="A63" s="3"/>
      <c r="B63" s="43" t="s">
        <v>20</v>
      </c>
      <c r="C63" s="58"/>
      <c r="D63" s="69"/>
      <c r="E63" s="9"/>
      <c r="F63" s="34"/>
      <c r="G63" s="150" t="s">
        <v>23</v>
      </c>
      <c r="H63" s="150"/>
      <c r="I63" s="150"/>
      <c r="J63" s="150">
        <f>(2*C16) + (2*C17)</f>
        <v>16</v>
      </c>
      <c r="K63" s="150" t="s">
        <v>1</v>
      </c>
      <c r="L63" s="150"/>
      <c r="M63" s="150"/>
      <c r="N63" s="150">
        <f>(C16*C17*K53)+(K52*K53)</f>
        <v>30</v>
      </c>
      <c r="O63" s="150"/>
      <c r="P63" s="150"/>
      <c r="Q63" s="151"/>
      <c r="R63" s="152"/>
      <c r="S63" s="152"/>
      <c r="T63" s="152"/>
      <c r="U63" s="152"/>
      <c r="V63" s="152"/>
      <c r="W63" s="152"/>
      <c r="X63" s="152"/>
      <c r="Y63" s="40"/>
      <c r="Z63" s="40"/>
      <c r="AA63" s="40"/>
      <c r="AB63" s="40"/>
      <c r="AC63" s="40"/>
    </row>
    <row r="64" spans="1:29" x14ac:dyDescent="0.25">
      <c r="A64" s="3"/>
      <c r="B64" s="47" t="s">
        <v>67</v>
      </c>
      <c r="C64" s="56">
        <f>IF(C22&gt;=C19, (C16*C17*C19*C50), ((C16*C17*C22*C50) + (C16*C17*(C19-C22)*C51)))</f>
        <v>3300</v>
      </c>
      <c r="D64" s="59" t="s">
        <v>5</v>
      </c>
      <c r="E64" s="9"/>
      <c r="F64" s="34"/>
      <c r="G64" s="150" t="s">
        <v>24</v>
      </c>
      <c r="H64" s="150"/>
      <c r="I64" s="150"/>
      <c r="J64" s="150">
        <f>IF(C22=0, 0, IF((C22&lt;=(C19+C18+C12+C32)), (0.5*((C22)^2)*C85*C50), (0.5*((C18+C19+C12+C32)^2)*C85*C50)))</f>
        <v>290.40000000000003</v>
      </c>
      <c r="K64" s="150" t="s">
        <v>25</v>
      </c>
      <c r="L64" s="150"/>
      <c r="M64" s="150"/>
      <c r="N64" s="150"/>
      <c r="O64" s="150"/>
      <c r="P64" s="150"/>
      <c r="Q64" s="151"/>
      <c r="R64" s="152"/>
      <c r="S64" s="152"/>
      <c r="T64" s="152"/>
      <c r="U64" s="152"/>
      <c r="V64" s="152"/>
      <c r="W64" s="152"/>
      <c r="X64" s="152"/>
      <c r="Y64" s="40"/>
      <c r="Z64" s="40"/>
      <c r="AA64" s="40"/>
      <c r="AB64" s="40"/>
      <c r="AC64" s="40"/>
    </row>
    <row r="65" spans="1:29" x14ac:dyDescent="0.25">
      <c r="A65" s="3"/>
      <c r="B65" s="49" t="s">
        <v>68</v>
      </c>
      <c r="C65" s="55">
        <f>IF(C22&lt;=(C19+C12+C18-C21), ((K52*C22*C50)+(K52*(C19+C12+C18-C21-C22)*C51)), (K52*(C19+C12+C18-C21)*C50))</f>
        <v>0</v>
      </c>
      <c r="D65" s="60" t="s">
        <v>5</v>
      </c>
      <c r="E65" s="9"/>
      <c r="F65" s="34"/>
      <c r="G65" s="150" t="s">
        <v>26</v>
      </c>
      <c r="H65" s="150"/>
      <c r="I65" s="150"/>
      <c r="J65" s="150">
        <f>IF(C22=0, ((((J60)^2)*C52*C85)-(0.5*((J60)^2)*C49)), IF((C22&lt;=(J60)), ((((J59)^2)*C52*C85)-(0.5*((J59)^2)*C49)), 0))</f>
        <v>33.600000000000009</v>
      </c>
      <c r="K65" s="150" t="s">
        <v>25</v>
      </c>
      <c r="L65" s="150"/>
      <c r="M65" s="150"/>
      <c r="N65" s="150"/>
      <c r="O65" s="150"/>
      <c r="P65" s="150"/>
      <c r="Q65" s="151"/>
      <c r="R65" s="152"/>
      <c r="S65" s="152"/>
      <c r="T65" s="152"/>
      <c r="U65" s="152"/>
      <c r="V65" s="152"/>
      <c r="W65" s="152"/>
      <c r="X65" s="152"/>
      <c r="Y65" s="40"/>
      <c r="Z65" s="40"/>
      <c r="AA65" s="40"/>
      <c r="AB65" s="40"/>
      <c r="AC65" s="40"/>
    </row>
    <row r="66" spans="1:29" x14ac:dyDescent="0.25">
      <c r="A66" s="3"/>
      <c r="B66" s="49" t="s">
        <v>69</v>
      </c>
      <c r="C66" s="55">
        <f>(C16*C17*C12*C53)-C60</f>
        <v>1030.5586331536849</v>
      </c>
      <c r="D66" s="60" t="s">
        <v>5</v>
      </c>
      <c r="E66" s="9"/>
      <c r="F66" s="34"/>
      <c r="G66" s="150" t="s">
        <v>27</v>
      </c>
      <c r="H66" s="150"/>
      <c r="I66" s="150"/>
      <c r="J66" s="150">
        <f>IF(C22&gt;=(C19+C12+C18+C32), (((C19+C12+C18+C32)^2)*0.5*C50*C85), IF(C22&gt;C19, (((C19+C23)*C50*C85*0.5*(C19+C23))+((C19+C23)*C50*C85*J57)+(J57*C51*C85*0.5*J57)+(J57*C49*0.5*J57)), ((C22*C50*C85*0.5*C22)+(C22*C50*C85*J56)+(J56*C51*C85*0.5*J56)+(J56*C49*0.5*J56))))</f>
        <v>987.86400000000003</v>
      </c>
      <c r="K66" s="150" t="s">
        <v>25</v>
      </c>
      <c r="L66" s="150"/>
      <c r="M66" s="150"/>
      <c r="N66" s="150"/>
      <c r="O66" s="150"/>
      <c r="P66" s="150"/>
      <c r="Q66" s="151"/>
      <c r="R66" s="152"/>
      <c r="S66" s="152"/>
      <c r="T66" s="152"/>
      <c r="U66" s="152"/>
      <c r="V66" s="152"/>
      <c r="W66" s="152"/>
      <c r="X66" s="152"/>
      <c r="Y66" s="40"/>
      <c r="Z66" s="40"/>
      <c r="AA66" s="40"/>
      <c r="AB66" s="40"/>
      <c r="AC66" s="40"/>
    </row>
    <row r="67" spans="1:29" ht="63.75" customHeight="1" thickBot="1" x14ac:dyDescent="0.3">
      <c r="A67" s="3"/>
      <c r="B67" s="50" t="s">
        <v>70</v>
      </c>
      <c r="C67" s="57">
        <f>(((C16*C17*C18)-((C16-(2*C20))*(C17-(2*C20))*(C43)))*C53)+C59+C58+C57+C66</f>
        <v>5163.0586331536852</v>
      </c>
      <c r="D67" s="61" t="s">
        <v>5</v>
      </c>
      <c r="E67" s="9"/>
      <c r="F67" s="34"/>
      <c r="G67" s="150" t="s">
        <v>30</v>
      </c>
      <c r="H67" s="150"/>
      <c r="I67" s="150"/>
      <c r="J67" s="150">
        <f>J66*C83*J63</f>
        <v>4741.7471999999998</v>
      </c>
      <c r="K67" s="150" t="s">
        <v>5</v>
      </c>
      <c r="L67" s="150"/>
      <c r="M67" s="150"/>
      <c r="N67" s="150"/>
      <c r="O67" s="150"/>
      <c r="P67" s="150"/>
      <c r="Q67" s="151"/>
      <c r="R67" s="152"/>
      <c r="S67" s="152"/>
      <c r="T67" s="152"/>
      <c r="U67" s="152"/>
      <c r="V67" s="152"/>
      <c r="W67" s="152"/>
      <c r="X67" s="152"/>
      <c r="Y67" s="40"/>
      <c r="Z67" s="40"/>
      <c r="AA67" s="40"/>
      <c r="AB67" s="40"/>
      <c r="AC67" s="40"/>
    </row>
    <row r="68" spans="1:29" ht="12" customHeight="1" x14ac:dyDescent="0.25">
      <c r="A68" s="3"/>
      <c r="B68" s="17"/>
      <c r="C68" s="20"/>
      <c r="D68" s="63"/>
      <c r="E68" s="9"/>
      <c r="F68" s="34"/>
      <c r="G68" s="153"/>
      <c r="H68" s="153"/>
      <c r="I68" s="153"/>
      <c r="J68" s="153"/>
      <c r="K68" s="153"/>
      <c r="L68" s="153"/>
      <c r="M68" s="153"/>
      <c r="N68" s="153"/>
      <c r="O68" s="153"/>
      <c r="P68" s="153"/>
      <c r="Q68" s="152"/>
      <c r="R68" s="152"/>
      <c r="S68" s="152"/>
      <c r="T68" s="152"/>
      <c r="U68" s="152"/>
      <c r="V68" s="152"/>
      <c r="W68" s="152"/>
      <c r="X68" s="152"/>
      <c r="Y68" s="40"/>
      <c r="Z68" s="40"/>
      <c r="AA68" s="40"/>
      <c r="AB68" s="40"/>
      <c r="AC68" s="40"/>
    </row>
    <row r="69" spans="1:29" ht="13.5" customHeight="1" thickBot="1" x14ac:dyDescent="0.3">
      <c r="A69" s="3"/>
      <c r="B69" s="17"/>
      <c r="C69" s="20"/>
      <c r="D69" s="63"/>
      <c r="E69" s="9"/>
      <c r="F69" s="34"/>
      <c r="G69" s="153"/>
      <c r="H69" s="153"/>
      <c r="I69" s="153"/>
      <c r="J69" s="153"/>
      <c r="K69" s="153"/>
      <c r="L69" s="153"/>
      <c r="M69" s="153"/>
      <c r="N69" s="153"/>
      <c r="O69" s="153"/>
      <c r="P69" s="153"/>
      <c r="Q69" s="152"/>
      <c r="R69" s="152"/>
      <c r="S69" s="152"/>
      <c r="T69" s="152"/>
      <c r="U69" s="152"/>
      <c r="V69" s="152"/>
      <c r="W69" s="152"/>
      <c r="X69" s="152"/>
      <c r="Y69" s="40"/>
      <c r="Z69" s="40"/>
      <c r="AA69" s="40"/>
      <c r="AB69" s="40"/>
      <c r="AC69" s="40"/>
    </row>
    <row r="70" spans="1:29" ht="16.2" thickBot="1" x14ac:dyDescent="0.3">
      <c r="A70" s="3"/>
      <c r="B70" s="43" t="s">
        <v>11</v>
      </c>
      <c r="C70" s="58"/>
      <c r="D70" s="69"/>
      <c r="E70" s="9"/>
      <c r="F70" s="34"/>
      <c r="G70" s="153"/>
      <c r="H70" s="153"/>
      <c r="I70" s="153"/>
      <c r="J70" s="153"/>
      <c r="K70" s="153"/>
      <c r="L70" s="153"/>
      <c r="M70" s="153"/>
      <c r="N70" s="153"/>
      <c r="O70" s="153"/>
      <c r="P70" s="153"/>
      <c r="Q70" s="152"/>
      <c r="R70" s="152"/>
      <c r="S70" s="152"/>
      <c r="T70" s="152"/>
      <c r="U70" s="152"/>
      <c r="V70" s="152"/>
      <c r="W70" s="152"/>
      <c r="X70" s="152"/>
      <c r="Y70" s="40"/>
      <c r="Z70" s="40"/>
      <c r="AA70" s="40"/>
      <c r="AB70" s="40"/>
      <c r="AC70" s="40"/>
    </row>
    <row r="71" spans="1:29" ht="26.4" x14ac:dyDescent="0.25">
      <c r="A71" s="3"/>
      <c r="B71" s="47" t="s">
        <v>60</v>
      </c>
      <c r="C71" s="48">
        <v>0</v>
      </c>
      <c r="D71" s="59" t="s">
        <v>1</v>
      </c>
      <c r="E71" s="9"/>
      <c r="F71" s="34"/>
      <c r="G71" s="153"/>
      <c r="H71" s="153"/>
      <c r="I71" s="153"/>
      <c r="J71" s="153"/>
      <c r="K71" s="153"/>
      <c r="L71" s="153"/>
      <c r="M71" s="153"/>
      <c r="N71" s="153"/>
      <c r="O71" s="153"/>
      <c r="P71" s="153"/>
      <c r="Q71" s="152"/>
      <c r="R71" s="152"/>
      <c r="S71" s="152"/>
      <c r="T71" s="152"/>
      <c r="U71" s="152"/>
      <c r="V71" s="152"/>
      <c r="W71" s="152"/>
      <c r="X71" s="152"/>
      <c r="Y71" s="40"/>
      <c r="Z71" s="40"/>
      <c r="AA71" s="40"/>
      <c r="AB71" s="40"/>
      <c r="AC71" s="40"/>
    </row>
    <row r="72" spans="1:29" ht="12.75" customHeight="1" thickBot="1" x14ac:dyDescent="0.3">
      <c r="A72" s="3"/>
      <c r="B72" s="50" t="s">
        <v>61</v>
      </c>
      <c r="C72" s="57">
        <f>(C16-(C20*2))*(C17-(C20*2))*C71*C49</f>
        <v>0</v>
      </c>
      <c r="D72" s="61" t="s">
        <v>5</v>
      </c>
      <c r="E72" s="9"/>
      <c r="F72" s="34"/>
      <c r="G72" s="153"/>
      <c r="H72" s="153"/>
      <c r="I72" s="153"/>
      <c r="J72" s="153"/>
      <c r="K72" s="153"/>
      <c r="L72" s="153"/>
      <c r="M72" s="153"/>
      <c r="N72" s="153"/>
      <c r="O72" s="152"/>
      <c r="P72" s="152"/>
      <c r="Q72" s="152"/>
      <c r="R72" s="152"/>
      <c r="S72" s="152"/>
      <c r="T72" s="152"/>
      <c r="U72" s="152"/>
      <c r="V72" s="152"/>
      <c r="W72" s="152"/>
      <c r="X72" s="152"/>
      <c r="Y72" s="40"/>
      <c r="Z72" s="40"/>
      <c r="AA72" s="40"/>
      <c r="AB72" s="40"/>
      <c r="AC72" s="40"/>
    </row>
    <row r="73" spans="1:29" x14ac:dyDescent="0.25">
      <c r="A73" s="3"/>
      <c r="B73" s="9"/>
      <c r="C73" s="8"/>
      <c r="D73" s="63"/>
      <c r="E73" s="9"/>
      <c r="F73" s="34"/>
      <c r="G73" s="153"/>
      <c r="H73" s="153"/>
      <c r="I73" s="153"/>
      <c r="J73" s="153"/>
      <c r="K73" s="153"/>
      <c r="L73" s="153"/>
      <c r="M73" s="153"/>
      <c r="N73" s="153"/>
      <c r="O73" s="152"/>
      <c r="P73" s="152"/>
      <c r="Q73" s="152"/>
      <c r="R73" s="152"/>
      <c r="S73" s="152"/>
      <c r="T73" s="152"/>
      <c r="U73" s="152"/>
      <c r="V73" s="152"/>
      <c r="W73" s="152"/>
      <c r="X73" s="152"/>
      <c r="Y73" s="40"/>
      <c r="Z73" s="40"/>
      <c r="AA73" s="40"/>
      <c r="AB73" s="40"/>
      <c r="AC73" s="40"/>
    </row>
    <row r="74" spans="1:29" ht="13.5" customHeight="1" thickBot="1" x14ac:dyDescent="0.3">
      <c r="A74" s="3"/>
      <c r="B74" s="17"/>
      <c r="C74" s="8"/>
      <c r="D74" s="63"/>
      <c r="E74" s="9"/>
      <c r="F74" s="34" t="s">
        <v>17</v>
      </c>
      <c r="G74" s="153"/>
      <c r="H74" s="153">
        <v>2.75</v>
      </c>
      <c r="I74" s="153"/>
      <c r="J74" s="153"/>
      <c r="K74" s="153"/>
      <c r="L74" s="153"/>
      <c r="M74" s="153"/>
      <c r="N74" s="153"/>
      <c r="O74" s="152"/>
      <c r="P74" s="152"/>
      <c r="Q74" s="152"/>
      <c r="R74" s="152"/>
      <c r="S74" s="152"/>
      <c r="T74" s="152"/>
      <c r="U74" s="152"/>
      <c r="V74" s="152"/>
      <c r="W74" s="152"/>
      <c r="X74" s="152"/>
      <c r="Y74" s="40"/>
      <c r="Z74" s="40"/>
      <c r="AA74" s="40"/>
      <c r="AB74" s="40"/>
      <c r="AC74" s="40"/>
    </row>
    <row r="75" spans="1:29" ht="16.2" thickBot="1" x14ac:dyDescent="0.3">
      <c r="A75" s="3"/>
      <c r="B75" s="43" t="s">
        <v>19</v>
      </c>
      <c r="C75" s="58"/>
      <c r="D75" s="69"/>
      <c r="E75" s="9"/>
      <c r="F75" s="34" t="s">
        <v>14</v>
      </c>
      <c r="G75" s="153"/>
      <c r="H75" s="153">
        <v>0.85</v>
      </c>
      <c r="I75" s="153"/>
      <c r="J75" s="153"/>
      <c r="K75" s="153"/>
      <c r="L75" s="153"/>
      <c r="M75" s="153"/>
      <c r="N75" s="153"/>
      <c r="O75" s="152"/>
      <c r="P75" s="152"/>
      <c r="Q75" s="152"/>
      <c r="R75" s="152"/>
      <c r="S75" s="152"/>
      <c r="T75" s="152"/>
      <c r="U75" s="152"/>
      <c r="V75" s="152"/>
      <c r="W75" s="152"/>
      <c r="X75" s="152"/>
      <c r="Y75" s="40"/>
      <c r="Z75" s="40"/>
      <c r="AA75" s="40"/>
      <c r="AB75" s="40"/>
      <c r="AC75" s="40"/>
    </row>
    <row r="76" spans="1:29" x14ac:dyDescent="0.25">
      <c r="A76" s="3"/>
      <c r="B76" s="47" t="s">
        <v>71</v>
      </c>
      <c r="C76" s="56">
        <f>C64+C65</f>
        <v>3300</v>
      </c>
      <c r="D76" s="59" t="s">
        <v>5</v>
      </c>
      <c r="E76" s="9"/>
      <c r="F76" s="34" t="s">
        <v>18</v>
      </c>
      <c r="G76" s="153"/>
      <c r="H76" s="153">
        <f>((H74+H75)*C49)/(1+H75)</f>
        <v>121.42702702702701</v>
      </c>
      <c r="I76" s="153"/>
      <c r="J76" s="153"/>
      <c r="K76" s="153"/>
      <c r="L76" s="153"/>
      <c r="M76" s="153"/>
      <c r="N76" s="153"/>
      <c r="O76" s="152"/>
      <c r="P76" s="152"/>
      <c r="Q76" s="152"/>
      <c r="R76" s="152"/>
      <c r="S76" s="152"/>
      <c r="T76" s="152"/>
      <c r="U76" s="152"/>
      <c r="V76" s="152"/>
      <c r="W76" s="152"/>
      <c r="X76" s="152"/>
      <c r="Y76" s="40"/>
      <c r="Z76" s="40"/>
      <c r="AA76" s="40"/>
      <c r="AB76" s="40"/>
      <c r="AC76" s="40"/>
    </row>
    <row r="77" spans="1:29" x14ac:dyDescent="0.25">
      <c r="A77" s="3"/>
      <c r="B77" s="49" t="s">
        <v>72</v>
      </c>
      <c r="C77" s="55">
        <f>C67</f>
        <v>5163.0586331536852</v>
      </c>
      <c r="D77" s="60" t="s">
        <v>5</v>
      </c>
      <c r="E77" s="9"/>
      <c r="F77" s="34"/>
      <c r="G77" s="153"/>
      <c r="H77" s="153"/>
      <c r="I77" s="153"/>
      <c r="J77" s="153"/>
      <c r="K77" s="153"/>
      <c r="L77" s="153"/>
      <c r="M77" s="153"/>
      <c r="N77" s="153"/>
      <c r="O77" s="152"/>
      <c r="P77" s="152"/>
      <c r="Q77" s="152"/>
      <c r="R77" s="152"/>
      <c r="S77" s="152"/>
      <c r="T77" s="152"/>
      <c r="U77" s="152"/>
      <c r="V77" s="152"/>
      <c r="W77" s="152"/>
      <c r="X77" s="152"/>
      <c r="Y77" s="40"/>
      <c r="Z77" s="40"/>
      <c r="AA77" s="40"/>
      <c r="AB77" s="40"/>
      <c r="AC77" s="40"/>
    </row>
    <row r="78" spans="1:29" ht="12.75" customHeight="1" thickBot="1" x14ac:dyDescent="0.3">
      <c r="A78" s="3"/>
      <c r="B78" s="50" t="s">
        <v>73</v>
      </c>
      <c r="C78" s="57">
        <f>C67+C76+C72</f>
        <v>8463.0586331536852</v>
      </c>
      <c r="D78" s="61" t="s">
        <v>5</v>
      </c>
      <c r="E78" s="9"/>
      <c r="F78" s="34"/>
      <c r="G78" s="153"/>
      <c r="H78" s="153"/>
      <c r="I78" s="153"/>
      <c r="J78" s="153"/>
      <c r="K78" s="153"/>
      <c r="L78" s="153"/>
      <c r="M78" s="153"/>
      <c r="N78" s="153"/>
      <c r="O78" s="152"/>
      <c r="P78" s="152"/>
      <c r="Q78" s="152"/>
      <c r="R78" s="152"/>
      <c r="S78" s="152"/>
      <c r="T78" s="152"/>
      <c r="U78" s="152"/>
      <c r="V78" s="152"/>
      <c r="W78" s="152"/>
      <c r="X78" s="152"/>
      <c r="Y78" s="40"/>
      <c r="Z78" s="40"/>
      <c r="AA78" s="40"/>
      <c r="AB78" s="40"/>
      <c r="AC78" s="40"/>
    </row>
    <row r="79" spans="1:29" ht="12.75" customHeight="1" x14ac:dyDescent="0.25">
      <c r="A79" s="3"/>
      <c r="B79" s="17"/>
      <c r="C79" s="8"/>
      <c r="D79" s="63"/>
      <c r="E79" s="9"/>
      <c r="F79" s="34"/>
      <c r="G79" s="153"/>
      <c r="H79" s="153"/>
      <c r="I79" s="153"/>
      <c r="J79" s="153"/>
      <c r="K79" s="153"/>
      <c r="L79" s="153"/>
      <c r="M79" s="153"/>
      <c r="N79" s="153"/>
      <c r="O79" s="152"/>
      <c r="P79" s="152"/>
      <c r="Q79" s="152"/>
      <c r="R79" s="152"/>
      <c r="S79" s="152"/>
      <c r="T79" s="152"/>
      <c r="U79" s="152"/>
      <c r="V79" s="152"/>
      <c r="W79" s="152"/>
      <c r="X79" s="152"/>
      <c r="Y79" s="40"/>
      <c r="Z79" s="40"/>
      <c r="AA79" s="40"/>
      <c r="AB79" s="40"/>
      <c r="AC79" s="40"/>
    </row>
    <row r="80" spans="1:29" ht="13.5" customHeight="1" thickBot="1" x14ac:dyDescent="0.3">
      <c r="A80" s="3"/>
      <c r="B80" s="17"/>
      <c r="C80" s="18"/>
      <c r="D80" s="63"/>
      <c r="E80" s="9"/>
      <c r="F80" s="34"/>
      <c r="G80" s="153" t="s">
        <v>85</v>
      </c>
      <c r="H80" s="153"/>
      <c r="I80" s="153"/>
      <c r="J80" s="153"/>
      <c r="K80" s="153"/>
      <c r="L80" s="153"/>
      <c r="M80" s="153"/>
      <c r="N80" s="153"/>
      <c r="O80" s="152"/>
      <c r="P80" s="152"/>
      <c r="Q80" s="152"/>
      <c r="R80" s="152"/>
      <c r="S80" s="152"/>
      <c r="T80" s="152"/>
      <c r="U80" s="152"/>
      <c r="V80" s="152"/>
      <c r="W80" s="152"/>
      <c r="X80" s="152"/>
      <c r="Y80" s="40"/>
      <c r="Z80" s="40"/>
      <c r="AA80" s="40"/>
      <c r="AB80" s="40"/>
      <c r="AC80" s="40"/>
    </row>
    <row r="81" spans="1:29" ht="16.2" thickBot="1" x14ac:dyDescent="0.3">
      <c r="A81" s="3"/>
      <c r="B81" s="43" t="s">
        <v>13</v>
      </c>
      <c r="C81" s="44"/>
      <c r="D81" s="69"/>
      <c r="E81" s="9"/>
      <c r="F81" s="34"/>
      <c r="G81" s="153"/>
      <c r="H81" s="153"/>
      <c r="I81" s="153"/>
      <c r="J81" s="153"/>
      <c r="K81" s="153"/>
      <c r="L81" s="153"/>
      <c r="M81" s="153"/>
      <c r="N81" s="153"/>
      <c r="O81" s="152"/>
      <c r="P81" s="152"/>
      <c r="Q81" s="152"/>
      <c r="R81" s="152"/>
      <c r="S81" s="152"/>
      <c r="T81" s="152"/>
      <c r="U81" s="152"/>
      <c r="V81" s="152"/>
      <c r="W81" s="152"/>
      <c r="X81" s="152"/>
      <c r="Y81" s="40"/>
      <c r="Z81" s="40"/>
      <c r="AA81" s="40"/>
      <c r="AB81" s="40"/>
      <c r="AC81" s="40"/>
    </row>
    <row r="82" spans="1:29" x14ac:dyDescent="0.25">
      <c r="A82" s="3"/>
      <c r="B82" s="47" t="s">
        <v>84</v>
      </c>
      <c r="C82" s="48">
        <v>2.75</v>
      </c>
      <c r="D82" s="59"/>
      <c r="E82" s="9"/>
      <c r="F82" s="34"/>
      <c r="G82" s="153"/>
      <c r="H82" s="153"/>
      <c r="I82" s="153"/>
      <c r="J82" s="153"/>
      <c r="K82" s="153"/>
      <c r="L82" s="153"/>
      <c r="M82" s="153"/>
      <c r="N82" s="153"/>
      <c r="O82" s="152"/>
      <c r="P82" s="152"/>
      <c r="Q82" s="152"/>
      <c r="R82" s="152"/>
      <c r="S82" s="152"/>
      <c r="T82" s="152"/>
      <c r="U82" s="152"/>
      <c r="V82" s="152"/>
      <c r="W82" s="152"/>
      <c r="X82" s="152"/>
      <c r="Y82" s="40"/>
      <c r="Z82" s="40"/>
      <c r="AA82" s="40"/>
      <c r="AB82" s="40"/>
      <c r="AC82" s="40"/>
    </row>
    <row r="83" spans="1:29" x14ac:dyDescent="0.25">
      <c r="A83" s="3"/>
      <c r="B83" s="49" t="s">
        <v>86</v>
      </c>
      <c r="C83" s="46">
        <v>0.3</v>
      </c>
      <c r="D83" s="60"/>
      <c r="E83" s="9"/>
      <c r="F83" s="34"/>
      <c r="G83" s="153"/>
      <c r="H83" s="153"/>
      <c r="I83" s="153"/>
      <c r="J83" s="153"/>
      <c r="K83" s="153"/>
      <c r="L83" s="153"/>
      <c r="M83" s="153"/>
      <c r="N83" s="153"/>
      <c r="O83" s="152"/>
      <c r="P83" s="152"/>
      <c r="Q83" s="152"/>
      <c r="R83" s="152"/>
      <c r="S83" s="152"/>
      <c r="T83" s="152"/>
      <c r="U83" s="152"/>
      <c r="V83" s="152"/>
      <c r="W83" s="152"/>
      <c r="X83" s="152"/>
      <c r="Y83" s="40"/>
      <c r="Z83" s="40"/>
      <c r="AA83" s="40"/>
      <c r="AB83" s="40"/>
      <c r="AC83" s="40"/>
    </row>
    <row r="84" spans="1:29" x14ac:dyDescent="0.25">
      <c r="A84" s="3"/>
      <c r="B84" s="49" t="s">
        <v>88</v>
      </c>
      <c r="C84" s="46">
        <v>0.85</v>
      </c>
      <c r="D84" s="60"/>
      <c r="E84" s="9"/>
      <c r="F84" s="34"/>
      <c r="G84" s="153"/>
      <c r="H84" s="153"/>
      <c r="I84" s="153"/>
      <c r="J84" s="153"/>
      <c r="K84" s="153"/>
      <c r="L84" s="153"/>
      <c r="M84" s="153"/>
      <c r="N84" s="153"/>
      <c r="O84" s="152"/>
      <c r="P84" s="152"/>
      <c r="Q84" s="152"/>
      <c r="R84" s="152"/>
      <c r="S84" s="152"/>
      <c r="T84" s="152"/>
      <c r="U84" s="152"/>
      <c r="V84" s="152"/>
      <c r="W84" s="152"/>
      <c r="X84" s="152"/>
      <c r="Y84" s="40"/>
      <c r="Z84" s="40"/>
      <c r="AA84" s="40"/>
      <c r="AB84" s="40"/>
      <c r="AC84" s="40"/>
    </row>
    <row r="85" spans="1:29" ht="26.4" x14ac:dyDescent="0.25">
      <c r="A85" s="3"/>
      <c r="B85" s="49" t="s">
        <v>87</v>
      </c>
      <c r="C85" s="46">
        <v>0.33</v>
      </c>
      <c r="D85" s="60"/>
      <c r="E85" s="9"/>
      <c r="F85" s="34" t="s">
        <v>15</v>
      </c>
      <c r="G85" s="153"/>
      <c r="H85" s="153"/>
      <c r="I85" s="153"/>
      <c r="J85" s="153"/>
      <c r="K85" s="153"/>
      <c r="L85" s="153"/>
      <c r="M85" s="153"/>
      <c r="N85" s="153"/>
      <c r="O85" s="152"/>
      <c r="P85" s="152"/>
      <c r="Q85" s="152"/>
      <c r="R85" s="152"/>
      <c r="S85" s="152"/>
      <c r="T85" s="152"/>
      <c r="U85" s="152"/>
      <c r="V85" s="152"/>
      <c r="W85" s="152"/>
      <c r="X85" s="152"/>
      <c r="Y85" s="40"/>
      <c r="Z85" s="40"/>
      <c r="AA85" s="40"/>
      <c r="AB85" s="40"/>
      <c r="AC85" s="40"/>
    </row>
    <row r="86" spans="1:29" ht="13.5" customHeight="1" thickBot="1" x14ac:dyDescent="0.3">
      <c r="A86" s="3"/>
      <c r="B86" s="50" t="s">
        <v>13</v>
      </c>
      <c r="C86" s="57">
        <f>J67</f>
        <v>4741.7471999999998</v>
      </c>
      <c r="D86" s="61" t="s">
        <v>5</v>
      </c>
      <c r="E86" s="9"/>
      <c r="F86" s="34"/>
      <c r="G86" s="153"/>
      <c r="H86" s="153"/>
      <c r="I86" s="153"/>
      <c r="J86" s="153"/>
      <c r="K86" s="153"/>
      <c r="L86" s="153"/>
      <c r="M86" s="153"/>
      <c r="N86" s="153"/>
      <c r="O86" s="151"/>
      <c r="P86" s="151"/>
      <c r="Q86" s="151"/>
      <c r="R86" s="151"/>
      <c r="S86" s="151"/>
      <c r="T86" s="151"/>
      <c r="U86" s="151"/>
      <c r="V86" s="151"/>
      <c r="W86" s="151"/>
      <c r="X86" s="151"/>
    </row>
    <row r="87" spans="1:29" ht="13.5" customHeight="1" x14ac:dyDescent="0.25">
      <c r="A87" s="3"/>
      <c r="B87" s="17"/>
      <c r="C87" s="8"/>
      <c r="D87" s="63"/>
      <c r="E87" s="9"/>
      <c r="F87" s="34"/>
      <c r="G87" s="153"/>
      <c r="H87" s="153"/>
      <c r="I87" s="153"/>
      <c r="J87" s="153"/>
      <c r="K87" s="153"/>
      <c r="L87" s="153"/>
      <c r="M87" s="153"/>
      <c r="N87" s="153"/>
      <c r="O87" s="151"/>
      <c r="P87" s="151"/>
      <c r="Q87" s="151"/>
      <c r="R87" s="151"/>
      <c r="S87" s="151"/>
      <c r="T87" s="151"/>
      <c r="U87" s="151"/>
      <c r="V87" s="151"/>
      <c r="W87" s="151"/>
      <c r="X87" s="151"/>
    </row>
    <row r="88" spans="1:29" ht="12.75" customHeight="1" thickBot="1" x14ac:dyDescent="0.3">
      <c r="A88" s="3"/>
      <c r="B88" s="17"/>
      <c r="C88" s="18"/>
      <c r="D88" s="63"/>
      <c r="E88" s="9"/>
      <c r="F88" s="34"/>
      <c r="G88" s="153"/>
      <c r="H88" s="153"/>
      <c r="I88" s="153"/>
      <c r="J88" s="153"/>
      <c r="K88" s="153"/>
      <c r="L88" s="153"/>
      <c r="M88" s="153"/>
      <c r="N88" s="153"/>
      <c r="O88" s="151"/>
      <c r="P88" s="151"/>
      <c r="Q88" s="151"/>
      <c r="R88" s="151"/>
      <c r="S88" s="151"/>
      <c r="T88" s="151"/>
      <c r="U88" s="151"/>
      <c r="V88" s="151"/>
      <c r="W88" s="151"/>
      <c r="X88" s="151"/>
    </row>
    <row r="89" spans="1:29" ht="16.2" thickBot="1" x14ac:dyDescent="0.3">
      <c r="A89" s="3"/>
      <c r="B89" s="43" t="s">
        <v>7</v>
      </c>
      <c r="C89" s="44"/>
      <c r="D89" s="69"/>
      <c r="E89" s="9"/>
      <c r="F89" s="34"/>
      <c r="G89" s="153"/>
      <c r="H89" s="153"/>
      <c r="I89" s="153"/>
      <c r="J89" s="153"/>
      <c r="K89" s="153"/>
      <c r="L89" s="153"/>
      <c r="M89" s="153"/>
      <c r="N89" s="153"/>
      <c r="O89" s="151"/>
      <c r="P89" s="151"/>
      <c r="Q89" s="151"/>
      <c r="R89" s="151"/>
      <c r="S89" s="151"/>
      <c r="T89" s="151"/>
      <c r="U89" s="151"/>
      <c r="V89" s="151"/>
      <c r="W89" s="151"/>
      <c r="X89" s="151"/>
    </row>
    <row r="90" spans="1:29" x14ac:dyDescent="0.25">
      <c r="A90" s="3"/>
      <c r="B90" s="47" t="s">
        <v>7</v>
      </c>
      <c r="C90" s="53">
        <f>(IF(C22&lt;=(C19+C12+C18-C21), ((C16*C17*K53)+((K52)*(C21+C32))), IF((C22&lt;=(K54+C19)), ((C16*C17*K53)+(K52*K53)), 0)))*C49</f>
        <v>1872</v>
      </c>
      <c r="D90" s="59" t="s">
        <v>5</v>
      </c>
      <c r="E90" s="9"/>
      <c r="F90" s="34" t="s">
        <v>16</v>
      </c>
      <c r="G90" s="153"/>
      <c r="H90" s="153"/>
      <c r="I90" s="153"/>
      <c r="J90" s="153"/>
      <c r="K90" s="153"/>
      <c r="L90" s="153"/>
      <c r="M90" s="153"/>
      <c r="N90" s="153"/>
      <c r="O90" s="151"/>
      <c r="P90" s="151"/>
      <c r="Q90" s="151"/>
      <c r="R90" s="151"/>
      <c r="S90" s="151"/>
      <c r="T90" s="151"/>
      <c r="U90" s="151"/>
      <c r="V90" s="151"/>
      <c r="W90" s="151"/>
      <c r="X90" s="151"/>
    </row>
    <row r="91" spans="1:29" x14ac:dyDescent="0.25">
      <c r="A91" s="3"/>
      <c r="B91" s="49" t="s">
        <v>74</v>
      </c>
      <c r="C91" s="46">
        <v>2</v>
      </c>
      <c r="D91" s="60"/>
      <c r="E91" s="9"/>
      <c r="F91" s="34"/>
      <c r="G91" s="34"/>
      <c r="H91" s="34"/>
      <c r="I91" s="34"/>
      <c r="J91" s="34"/>
      <c r="K91" s="34"/>
      <c r="L91" s="34"/>
      <c r="M91" s="34"/>
      <c r="N91" s="34"/>
    </row>
    <row r="92" spans="1:29" ht="12.75" customHeight="1" thickBot="1" x14ac:dyDescent="0.3">
      <c r="A92" s="3"/>
      <c r="B92" s="50" t="s">
        <v>75</v>
      </c>
      <c r="C92" s="54">
        <f>C91*C90</f>
        <v>3744</v>
      </c>
      <c r="D92" s="61" t="s">
        <v>5</v>
      </c>
      <c r="E92" s="9"/>
      <c r="F92" s="34"/>
      <c r="G92" s="34"/>
      <c r="H92" s="34"/>
      <c r="I92" s="34"/>
      <c r="J92" s="34"/>
      <c r="K92" s="34"/>
      <c r="L92" s="34"/>
      <c r="M92" s="34"/>
      <c r="N92" s="34"/>
    </row>
    <row r="93" spans="1:29" ht="12.75" customHeight="1" x14ac:dyDescent="0.25">
      <c r="A93" s="3"/>
      <c r="B93" s="17"/>
      <c r="C93" s="18"/>
      <c r="D93" s="63"/>
      <c r="E93" s="9"/>
      <c r="F93" s="34"/>
      <c r="G93" s="34"/>
      <c r="H93" s="34"/>
      <c r="I93" s="34"/>
      <c r="J93" s="34"/>
      <c r="K93" s="34"/>
      <c r="L93" s="34"/>
      <c r="M93" s="34"/>
      <c r="N93" s="34"/>
    </row>
    <row r="94" spans="1:29" ht="12.75" customHeight="1" thickBot="1" x14ac:dyDescent="0.3">
      <c r="A94" s="3"/>
      <c r="B94" s="9"/>
      <c r="C94" s="18"/>
      <c r="D94" s="63"/>
      <c r="E94" s="9"/>
      <c r="F94" s="34"/>
      <c r="G94" s="34"/>
      <c r="H94" s="34"/>
      <c r="I94" s="34"/>
      <c r="J94" s="34"/>
      <c r="K94" s="34"/>
      <c r="L94" s="34"/>
      <c r="M94" s="34"/>
      <c r="N94" s="34"/>
    </row>
    <row r="95" spans="1:29" ht="13.8" thickBot="1" x14ac:dyDescent="0.3">
      <c r="A95" s="3"/>
      <c r="B95" s="32"/>
      <c r="C95" s="33"/>
      <c r="D95" s="70"/>
      <c r="E95" s="9"/>
      <c r="F95" s="34"/>
      <c r="G95" s="34"/>
      <c r="H95" s="34"/>
      <c r="I95" s="34"/>
      <c r="J95" s="34"/>
      <c r="K95" s="34"/>
      <c r="L95" s="34"/>
      <c r="M95" s="34"/>
      <c r="N95" s="34"/>
    </row>
    <row r="96" spans="1:29" ht="15.75" customHeight="1" thickBot="1" x14ac:dyDescent="0.3">
      <c r="A96" s="3"/>
      <c r="B96" s="25" t="s">
        <v>90</v>
      </c>
      <c r="C96" s="35" t="str">
        <f>IF((C92-(C78+C86))&gt;0, (C92-C78-C86),"NONE")</f>
        <v>NONE</v>
      </c>
      <c r="D96" s="71" t="s">
        <v>5</v>
      </c>
      <c r="E96" s="9"/>
      <c r="F96" s="34"/>
      <c r="G96" s="34"/>
      <c r="H96" s="34"/>
      <c r="I96" s="34"/>
      <c r="J96" s="34"/>
      <c r="K96" s="34"/>
      <c r="L96" s="34"/>
      <c r="M96" s="34"/>
      <c r="N96" s="34"/>
    </row>
    <row r="97" spans="1:14" x14ac:dyDescent="0.25">
      <c r="A97" s="3"/>
      <c r="B97" s="3"/>
      <c r="C97" s="4"/>
      <c r="D97" s="3"/>
      <c r="E97" s="3"/>
      <c r="F97" s="5"/>
      <c r="G97" s="5"/>
      <c r="H97" s="5"/>
      <c r="I97" s="5"/>
      <c r="J97" s="5"/>
      <c r="K97" s="5"/>
      <c r="L97" s="5"/>
      <c r="M97" s="5"/>
      <c r="N97" s="5"/>
    </row>
    <row r="98" spans="1:14" x14ac:dyDescent="0.25">
      <c r="A98" s="3"/>
      <c r="B98" s="3"/>
      <c r="C98" s="4"/>
      <c r="D98" s="3"/>
      <c r="E98" s="3"/>
      <c r="F98" s="5"/>
      <c r="G98" s="5"/>
      <c r="H98" s="5"/>
      <c r="I98" s="5"/>
      <c r="J98" s="5"/>
      <c r="K98" s="5"/>
      <c r="L98" s="5"/>
      <c r="M98" s="5"/>
      <c r="N98" s="5"/>
    </row>
    <row r="99" spans="1:14" x14ac:dyDescent="0.25">
      <c r="A99" s="3"/>
      <c r="B99" s="5"/>
      <c r="C99" s="34"/>
      <c r="D99" s="34"/>
      <c r="E99" s="34"/>
      <c r="F99" s="34"/>
      <c r="G99" s="34"/>
      <c r="H99" s="34"/>
      <c r="I99" s="34"/>
      <c r="J99" s="34"/>
      <c r="K99" s="34"/>
      <c r="L99" s="34"/>
      <c r="M99" s="5"/>
      <c r="N99" s="5"/>
    </row>
    <row r="100" spans="1:14" x14ac:dyDescent="0.25">
      <c r="A100" s="3"/>
      <c r="B100" s="5"/>
      <c r="C100" s="34"/>
      <c r="D100" s="34"/>
      <c r="E100" s="34"/>
      <c r="F100" s="34"/>
      <c r="G100" s="34"/>
      <c r="H100" s="34"/>
      <c r="I100" s="34"/>
      <c r="J100" s="34"/>
      <c r="K100" s="34"/>
      <c r="L100" s="34"/>
      <c r="M100" s="5"/>
      <c r="N100" s="5"/>
    </row>
    <row r="101" spans="1:14" x14ac:dyDescent="0.25">
      <c r="B101" s="40"/>
      <c r="C101" s="39">
        <f>IF(C22&lt;=C19,(((C16*C17*(C12+C18-C21))+((C16+(2*C35))*(C17+(2*C35))*(C21+C32)))*C49), IF(C22&gt;=(C19+C12+C18+C32), 0, IF(C22&gt;=(C18+C12+C19), (((C16+(2*C35))*(C17+(2*C35))*(C32-K7))*C49), IF(C22&gt;=(C19+C12+C18-C21), (((C16+(2*C35))*(C17+(2*C35))*(C21+C32-K6))*C49), IF(C22&gt;=(C19+C12), ((((C16+(2*C35))*(C17+(2*C35))*(C21+C32)) + (C16*C17*(C18-C21-C23)))*C49), ((((C16+(2*C35))*(C17+(2*C35))*(C21+C32)) + (C16*C17*(C18-C21+C12-K4)))*C49))))))</f>
        <v>3276</v>
      </c>
      <c r="D101" s="39" t="s">
        <v>33</v>
      </c>
      <c r="E101" s="39"/>
      <c r="F101" s="38"/>
      <c r="G101" s="38"/>
      <c r="H101" s="38"/>
      <c r="I101" s="38"/>
      <c r="J101" s="38"/>
      <c r="K101" s="38"/>
      <c r="L101" s="39"/>
      <c r="M101" s="40"/>
      <c r="N101" s="40"/>
    </row>
    <row r="102" spans="1:14" x14ac:dyDescent="0.25">
      <c r="B102" s="40"/>
      <c r="C102" s="39">
        <f>(IF(C22&lt;=C19,(C16*C17*(C12+C18+C32))+(C35*(C21+C32))*((C16+(2*C35))+(C35*C17*2)), IF(C22&lt;=(C19+C12), (C16*C17*(C18+C32+C12+C19-C22))+(C35*(C21+C32))*((C16+(2*C35))+(C35*C17*2)), IF(C22&lt;=(C19+C12+C18-C21), (C16*C17*(C32+C21+(C19+C12+C18-C21-C22)))+(C35*(C21+C32))*((C16+(2*C35))+(C35*C17*2)), IF(C22&lt;=(C19+C12+C18), (C16*C17*(C32+(C19+C12+C18-C22)))+((C35*C32+(C19+C12+C18-C22))*((C16+(2*C35))+(C35*C17*2))), IF(C22&lt;=(C19+C12+C18+C32), (C16*C17*(C19+C12+C18+C32-C22))+(((C35)*(C19+C12+C18+C32-C22)*((C16+(2*C35))+(C35*C17*2)))), 0))))))*C49</f>
        <v>1872</v>
      </c>
      <c r="D102" s="39" t="s">
        <v>36</v>
      </c>
      <c r="E102" s="39"/>
      <c r="F102" s="38"/>
      <c r="G102" s="38"/>
      <c r="H102" s="38"/>
      <c r="I102" s="38"/>
      <c r="J102" s="38"/>
      <c r="K102" s="38"/>
      <c r="L102" s="39"/>
      <c r="M102" s="40"/>
      <c r="N102" s="40"/>
    </row>
    <row r="103" spans="1:14" x14ac:dyDescent="0.25">
      <c r="B103" s="40"/>
      <c r="C103" s="39"/>
      <c r="D103" s="39"/>
      <c r="E103" s="39"/>
      <c r="F103" s="38"/>
      <c r="G103" s="38"/>
      <c r="H103" s="38"/>
      <c r="I103" s="38"/>
      <c r="J103" s="38"/>
      <c r="K103" s="38"/>
      <c r="L103" s="39"/>
      <c r="M103" s="40"/>
      <c r="N103" s="40"/>
    </row>
    <row r="104" spans="1:14" x14ac:dyDescent="0.25">
      <c r="B104" s="40"/>
      <c r="C104" s="39"/>
      <c r="D104" s="39"/>
      <c r="E104" s="39"/>
      <c r="F104" s="38"/>
      <c r="G104" s="38"/>
      <c r="H104" s="38"/>
      <c r="I104" s="38"/>
      <c r="J104" s="38"/>
      <c r="K104" s="38"/>
      <c r="L104" s="39"/>
      <c r="M104" s="40"/>
      <c r="N104" s="40"/>
    </row>
    <row r="105" spans="1:14" x14ac:dyDescent="0.25">
      <c r="B105" s="40"/>
      <c r="C105" s="39"/>
      <c r="D105" s="39"/>
      <c r="E105" s="41"/>
      <c r="F105" s="38"/>
      <c r="G105" s="38"/>
      <c r="H105" s="38"/>
      <c r="I105" s="38"/>
      <c r="J105" s="38"/>
      <c r="K105" s="38"/>
      <c r="L105" s="39"/>
      <c r="M105" s="40"/>
      <c r="N105" s="40"/>
    </row>
    <row r="106" spans="1:14" x14ac:dyDescent="0.25">
      <c r="B106" s="40"/>
      <c r="C106" s="39"/>
      <c r="D106" s="39"/>
      <c r="E106" s="41"/>
      <c r="F106" s="38"/>
      <c r="G106" s="38"/>
      <c r="H106" s="38"/>
      <c r="I106" s="38"/>
      <c r="J106" s="38"/>
      <c r="K106" s="38"/>
      <c r="L106" s="39"/>
      <c r="M106" s="40"/>
      <c r="N106" s="40"/>
    </row>
    <row r="107" spans="1:14" x14ac:dyDescent="0.25">
      <c r="B107" s="40"/>
      <c r="C107" s="39"/>
      <c r="D107" s="39"/>
      <c r="E107" s="41"/>
      <c r="F107" s="39"/>
      <c r="G107" s="39"/>
      <c r="H107" s="39"/>
      <c r="I107" s="39"/>
      <c r="J107" s="39"/>
      <c r="K107" s="39"/>
      <c r="L107" s="39"/>
      <c r="M107" s="40"/>
      <c r="N107" s="40"/>
    </row>
    <row r="108" spans="1:14" x14ac:dyDescent="0.25">
      <c r="B108" s="40"/>
      <c r="C108" s="39"/>
      <c r="D108" s="39"/>
      <c r="E108" s="41"/>
      <c r="F108" s="39"/>
      <c r="G108" s="39"/>
      <c r="H108" s="39"/>
      <c r="I108" s="39"/>
      <c r="J108" s="39"/>
      <c r="K108" s="39"/>
      <c r="L108" s="39"/>
      <c r="M108" s="40"/>
      <c r="N108" s="40"/>
    </row>
    <row r="109" spans="1:14" x14ac:dyDescent="0.25">
      <c r="B109" s="40"/>
      <c r="C109" s="39"/>
      <c r="D109" s="39"/>
      <c r="E109" s="41"/>
      <c r="F109" s="39"/>
      <c r="G109" s="39"/>
      <c r="H109" s="39"/>
      <c r="I109" s="39"/>
      <c r="J109" s="39"/>
      <c r="K109" s="39"/>
      <c r="L109" s="39"/>
      <c r="M109" s="40"/>
      <c r="N109" s="40"/>
    </row>
    <row r="110" spans="1:14" x14ac:dyDescent="0.25">
      <c r="B110" s="40"/>
      <c r="C110" s="39"/>
      <c r="D110" s="39"/>
      <c r="E110" s="41"/>
      <c r="F110" s="39"/>
      <c r="G110" s="39"/>
      <c r="H110" s="39"/>
      <c r="I110" s="39"/>
      <c r="J110" s="39"/>
      <c r="K110" s="39"/>
      <c r="L110" s="39"/>
      <c r="M110" s="40"/>
      <c r="N110" s="40"/>
    </row>
    <row r="111" spans="1:14" x14ac:dyDescent="0.25">
      <c r="B111" s="40"/>
      <c r="C111" s="39"/>
      <c r="D111" s="39"/>
      <c r="E111" s="41"/>
      <c r="F111" s="39"/>
      <c r="G111" s="39"/>
      <c r="H111" s="39"/>
      <c r="I111" s="39"/>
      <c r="J111" s="39"/>
      <c r="K111" s="39"/>
      <c r="L111" s="39"/>
      <c r="M111" s="40"/>
      <c r="N111" s="40"/>
    </row>
    <row r="112" spans="1:14" x14ac:dyDescent="0.25">
      <c r="B112" s="40"/>
      <c r="C112" s="39"/>
      <c r="D112" s="39"/>
      <c r="E112" s="41"/>
      <c r="F112" s="39"/>
      <c r="G112" s="39"/>
      <c r="H112" s="39"/>
      <c r="I112" s="39"/>
      <c r="J112" s="37"/>
      <c r="K112" s="37"/>
      <c r="L112" s="37"/>
    </row>
    <row r="113" spans="2:12" x14ac:dyDescent="0.25">
      <c r="B113" s="40"/>
      <c r="C113" s="39"/>
      <c r="D113" s="39"/>
      <c r="E113" s="41"/>
      <c r="F113" s="39"/>
      <c r="G113" s="39"/>
      <c r="H113" s="39"/>
      <c r="I113" s="39"/>
      <c r="J113" s="37"/>
      <c r="K113" s="37"/>
      <c r="L113" s="37"/>
    </row>
    <row r="114" spans="2:12" x14ac:dyDescent="0.25">
      <c r="E114" s="1"/>
    </row>
    <row r="115" spans="2:12" x14ac:dyDescent="0.25">
      <c r="E115" s="1"/>
    </row>
    <row r="116" spans="2:12" x14ac:dyDescent="0.25">
      <c r="E116" s="1"/>
    </row>
    <row r="117" spans="2:12" x14ac:dyDescent="0.25">
      <c r="E117" s="1"/>
    </row>
    <row r="118" spans="2:12" x14ac:dyDescent="0.25">
      <c r="E118" s="1"/>
    </row>
    <row r="119" spans="2:12" x14ac:dyDescent="0.25">
      <c r="E119" s="1"/>
    </row>
    <row r="120" spans="2:12" x14ac:dyDescent="0.25">
      <c r="E120" s="1"/>
    </row>
    <row r="121" spans="2:12" x14ac:dyDescent="0.25">
      <c r="E121" s="1"/>
    </row>
    <row r="122" spans="2:12" x14ac:dyDescent="0.25">
      <c r="E122" s="1"/>
    </row>
    <row r="123" spans="2:12" x14ac:dyDescent="0.25">
      <c r="E123" s="1"/>
    </row>
    <row r="124" spans="2:12" x14ac:dyDescent="0.25">
      <c r="E124" s="1"/>
    </row>
    <row r="125" spans="2:12" x14ac:dyDescent="0.25">
      <c r="E125" s="1"/>
    </row>
  </sheetData>
  <sheetProtection sheet="1" objects="1" scenarios="1"/>
  <protectedRanges>
    <protectedRange sqref="C12:C22 C28 C32 C35 C49 C50 C52 C53 C71 C82 C83 C84 C85 C91" name="Range1"/>
  </protectedRanges>
  <mergeCells count="9">
    <mergeCell ref="B2:D2"/>
    <mergeCell ref="C28:C29"/>
    <mergeCell ref="C32:C33"/>
    <mergeCell ref="C35:C36"/>
    <mergeCell ref="D28:D29"/>
    <mergeCell ref="D32:D33"/>
    <mergeCell ref="D35:D36"/>
    <mergeCell ref="B8:D8"/>
    <mergeCell ref="B6:D6"/>
  </mergeCells>
  <phoneticPr fontId="3" type="noConversion"/>
  <hyperlinks>
    <hyperlink ref="B6:D6" r:id="rId1" display="Values for f, Ka, and e can be found in Tables 1, 2, and 3 in the accompanying document." xr:uid="{9C7E76E2-B477-49B3-9661-6B66CC1B5E22}"/>
  </hyperlinks>
  <pageMargins left="0.75" right="0.75" top="1" bottom="1" header="0.5" footer="0.5"/>
  <pageSetup orientation="portrait" horizontalDpi="0" verticalDpi="0" r:id="rId2"/>
  <headerFooter alignWithMargins="0"/>
  <drawing r:id="rId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J104"/>
  <sheetViews>
    <sheetView showGridLines="0" zoomScaleNormal="100" zoomScaleSheetLayoutView="40" zoomScalePageLayoutView="120" workbookViewId="0">
      <selection activeCell="B10" sqref="B10:D10"/>
    </sheetView>
  </sheetViews>
  <sheetFormatPr defaultColWidth="8.88671875" defaultRowHeight="13.2" x14ac:dyDescent="0.25"/>
  <cols>
    <col min="1" max="1" width="6.5546875" style="75" customWidth="1"/>
    <col min="2" max="2" width="56.44140625" style="75" customWidth="1"/>
    <col min="3" max="3" width="13.88671875" style="75" customWidth="1"/>
    <col min="4" max="4" width="11.88671875" style="75" customWidth="1"/>
    <col min="5" max="5" width="7.6640625" style="75" customWidth="1"/>
    <col min="6" max="6" width="21.44140625" style="75" customWidth="1"/>
    <col min="7" max="7" width="47.6640625" style="75" customWidth="1"/>
    <col min="8" max="8" width="24.6640625" style="75" customWidth="1"/>
    <col min="9" max="10" width="8.88671875" style="75"/>
    <col min="11" max="11" width="11.33203125" style="75" customWidth="1"/>
    <col min="12" max="12" width="17.88671875" style="75" customWidth="1"/>
    <col min="13" max="16384" width="8.88671875" style="75"/>
  </cols>
  <sheetData>
    <row r="5" spans="2:4" ht="18.75" customHeight="1" x14ac:dyDescent="0.25">
      <c r="B5" s="165" t="s">
        <v>140</v>
      </c>
      <c r="C5" s="166"/>
      <c r="D5" s="166"/>
    </row>
    <row r="6" spans="2:4" x14ac:dyDescent="0.25">
      <c r="B6" s="166"/>
      <c r="C6" s="166"/>
      <c r="D6" s="166"/>
    </row>
    <row r="7" spans="2:4" ht="14.4" x14ac:dyDescent="0.3">
      <c r="B7" s="147"/>
      <c r="C7" s="147"/>
      <c r="D7" s="147"/>
    </row>
    <row r="8" spans="2:4" ht="14.4" x14ac:dyDescent="0.3">
      <c r="B8" s="149" t="s">
        <v>83</v>
      </c>
      <c r="C8" s="148"/>
      <c r="D8" s="148"/>
    </row>
    <row r="9" spans="2:4" ht="14.4" x14ac:dyDescent="0.3">
      <c r="B9" s="147"/>
      <c r="C9" s="147"/>
      <c r="D9" s="147"/>
    </row>
    <row r="10" spans="2:4" ht="30.75" customHeight="1" x14ac:dyDescent="0.25">
      <c r="B10" s="174" t="s">
        <v>89</v>
      </c>
      <c r="C10" s="174"/>
      <c r="D10" s="174"/>
    </row>
    <row r="11" spans="2:4" ht="13.8" x14ac:dyDescent="0.25">
      <c r="B11" s="146"/>
      <c r="C11" s="146"/>
      <c r="D11" s="146"/>
    </row>
    <row r="12" spans="2:4" ht="58.5" customHeight="1" x14ac:dyDescent="0.25">
      <c r="B12" s="174" t="s">
        <v>142</v>
      </c>
      <c r="C12" s="174"/>
      <c r="D12" s="174"/>
    </row>
    <row r="13" spans="2:4" x14ac:dyDescent="0.25">
      <c r="B13" s="144"/>
    </row>
    <row r="14" spans="2:4" x14ac:dyDescent="0.25">
      <c r="B14" s="145"/>
      <c r="C14" s="144"/>
    </row>
    <row r="15" spans="2:4" ht="13.8" thickBot="1" x14ac:dyDescent="0.3">
      <c r="B15" s="81"/>
    </row>
    <row r="16" spans="2:4" ht="16.2" thickBot="1" x14ac:dyDescent="0.35">
      <c r="B16" s="143" t="s">
        <v>10</v>
      </c>
      <c r="C16" s="142"/>
      <c r="D16" s="141"/>
    </row>
    <row r="17" spans="2:10" x14ac:dyDescent="0.25">
      <c r="B17" s="105" t="s">
        <v>139</v>
      </c>
      <c r="C17" s="129">
        <v>5</v>
      </c>
      <c r="D17" s="103" t="s">
        <v>1</v>
      </c>
      <c r="F17" s="86" t="s">
        <v>138</v>
      </c>
      <c r="G17" s="80">
        <f>((G19-G18)*(C19-(C18/12)))</f>
        <v>43.196898986859651</v>
      </c>
    </row>
    <row r="18" spans="2:10" x14ac:dyDescent="0.25">
      <c r="B18" s="102" t="s">
        <v>39</v>
      </c>
      <c r="C18" s="101">
        <v>12</v>
      </c>
      <c r="D18" s="100" t="s">
        <v>2</v>
      </c>
      <c r="F18" s="86" t="s">
        <v>137</v>
      </c>
      <c r="G18" s="80">
        <f>(PI()*C17^2)/4</f>
        <v>19.634954084936208</v>
      </c>
      <c r="H18" s="79"/>
    </row>
    <row r="19" spans="2:10" ht="39.6" x14ac:dyDescent="0.25">
      <c r="B19" s="102" t="s">
        <v>136</v>
      </c>
      <c r="C19" s="101">
        <v>6</v>
      </c>
      <c r="D19" s="100" t="s">
        <v>1</v>
      </c>
      <c r="F19" s="86" t="s">
        <v>135</v>
      </c>
      <c r="G19" s="80">
        <f>(PI()*(C17+(2*(C22/12)))^2)/4</f>
        <v>28.274333882308138</v>
      </c>
      <c r="H19" s="79"/>
      <c r="I19" s="82"/>
      <c r="J19" s="82"/>
    </row>
    <row r="20" spans="2:10" ht="26.4" x14ac:dyDescent="0.25">
      <c r="B20" s="102" t="s">
        <v>134</v>
      </c>
      <c r="C20" s="115">
        <f>C19-(C18/12)</f>
        <v>5</v>
      </c>
      <c r="D20" s="100" t="s">
        <v>1</v>
      </c>
      <c r="F20" s="86" t="s">
        <v>133</v>
      </c>
      <c r="G20" s="80">
        <f>G22*C44</f>
        <v>3523.2470736157406</v>
      </c>
      <c r="H20" s="79"/>
      <c r="I20" s="82"/>
      <c r="J20" s="82"/>
    </row>
    <row r="21" spans="2:10" ht="26.4" x14ac:dyDescent="0.25">
      <c r="B21" s="102" t="s">
        <v>49</v>
      </c>
      <c r="C21" s="101">
        <v>4</v>
      </c>
      <c r="D21" s="100" t="s">
        <v>1</v>
      </c>
      <c r="F21" s="86" t="s">
        <v>132</v>
      </c>
      <c r="G21" s="80">
        <f>(PI()*(C17+(2*(C22/12))+(2*(C31/12)))^2)/4</f>
        <v>28.274333882308138</v>
      </c>
      <c r="H21" s="79"/>
      <c r="I21" s="82"/>
      <c r="J21" s="82"/>
    </row>
    <row r="22" spans="2:10" x14ac:dyDescent="0.25">
      <c r="B22" s="102" t="s">
        <v>42</v>
      </c>
      <c r="C22" s="101">
        <v>6</v>
      </c>
      <c r="D22" s="100" t="s">
        <v>2</v>
      </c>
      <c r="F22" s="86" t="s">
        <v>131</v>
      </c>
      <c r="G22" s="80">
        <f>(G19*(C18/12))-G24</f>
        <v>24.298255680108557</v>
      </c>
      <c r="H22" s="79"/>
      <c r="I22" s="82"/>
      <c r="J22" s="82"/>
    </row>
    <row r="23" spans="2:10" x14ac:dyDescent="0.25">
      <c r="B23" s="102" t="s">
        <v>43</v>
      </c>
      <c r="C23" s="101">
        <v>12</v>
      </c>
      <c r="D23" s="100" t="s">
        <v>2</v>
      </c>
      <c r="F23" s="86" t="s">
        <v>130</v>
      </c>
      <c r="G23" s="80">
        <f>G19*C19</f>
        <v>169.64600329384882</v>
      </c>
      <c r="H23" s="79"/>
      <c r="I23" s="82"/>
      <c r="J23" s="82"/>
    </row>
    <row r="24" spans="2:10" x14ac:dyDescent="0.25">
      <c r="B24" s="102" t="s">
        <v>129</v>
      </c>
      <c r="C24" s="140">
        <f>C17+(2*(C22/12))</f>
        <v>6</v>
      </c>
      <c r="D24" s="100" t="s">
        <v>1</v>
      </c>
      <c r="F24" s="86" t="s">
        <v>128</v>
      </c>
      <c r="G24" s="80">
        <f>((((C25/12)/2)^2)*PI())*(C18/12)</f>
        <v>3.9760782021995817</v>
      </c>
      <c r="H24" s="79"/>
      <c r="I24" s="82"/>
      <c r="J24" s="82"/>
    </row>
    <row r="25" spans="2:10" x14ac:dyDescent="0.25">
      <c r="B25" s="102" t="s">
        <v>127</v>
      </c>
      <c r="C25" s="101">
        <v>27</v>
      </c>
      <c r="D25" s="100" t="s">
        <v>2</v>
      </c>
      <c r="F25" s="86" t="s">
        <v>126</v>
      </c>
      <c r="G25" s="80">
        <f>G21*(C23/12)</f>
        <v>28.274333882308138</v>
      </c>
      <c r="H25" s="79"/>
      <c r="I25" s="82"/>
      <c r="J25" s="82"/>
    </row>
    <row r="26" spans="2:10" ht="13.8" thickBot="1" x14ac:dyDescent="0.3">
      <c r="B26" s="99" t="s">
        <v>125</v>
      </c>
      <c r="C26" s="128">
        <v>9</v>
      </c>
      <c r="D26" s="97" t="s">
        <v>1</v>
      </c>
      <c r="F26" s="86" t="s">
        <v>124</v>
      </c>
      <c r="G26" s="80">
        <f>G17*C44</f>
        <v>6263.5503530946498</v>
      </c>
      <c r="H26" s="79"/>
      <c r="I26" s="82"/>
      <c r="J26" s="82"/>
    </row>
    <row r="27" spans="2:10" x14ac:dyDescent="0.25">
      <c r="B27" s="139" t="s">
        <v>123</v>
      </c>
      <c r="C27" s="138">
        <f>IF(C26&gt;(C21+C19+(C23/12)), (C19+(C23/12)), IF(C26&lt;C21, 0, (C26-C21)))</f>
        <v>5</v>
      </c>
      <c r="D27" s="110" t="s">
        <v>1</v>
      </c>
      <c r="F27" s="86" t="s">
        <v>122</v>
      </c>
      <c r="G27" s="80">
        <f>G25*C44</f>
        <v>4099.7784129346801</v>
      </c>
      <c r="H27" s="79"/>
      <c r="I27" s="82"/>
      <c r="J27" s="82"/>
    </row>
    <row r="28" spans="2:10" ht="13.8" thickBot="1" x14ac:dyDescent="0.3">
      <c r="B28" s="88"/>
      <c r="C28" s="120"/>
      <c r="D28" s="95"/>
      <c r="F28" s="86"/>
      <c r="G28" s="80"/>
      <c r="H28" s="79"/>
      <c r="I28" s="82"/>
      <c r="J28" s="82"/>
    </row>
    <row r="29" spans="2:10" ht="16.2" thickBot="1" x14ac:dyDescent="0.35">
      <c r="B29" s="137" t="s">
        <v>121</v>
      </c>
      <c r="C29" s="136"/>
      <c r="D29" s="135"/>
      <c r="F29" s="86"/>
      <c r="G29" s="80"/>
      <c r="H29" s="79"/>
      <c r="I29" s="82"/>
      <c r="J29" s="82"/>
    </row>
    <row r="30" spans="2:10" x14ac:dyDescent="0.25">
      <c r="B30" s="134" t="s">
        <v>79</v>
      </c>
      <c r="C30" s="133"/>
      <c r="D30" s="132"/>
      <c r="F30" s="86"/>
      <c r="G30" s="80"/>
      <c r="H30" s="79"/>
      <c r="I30" s="82"/>
      <c r="J30" s="82"/>
    </row>
    <row r="31" spans="2:10" x14ac:dyDescent="0.25">
      <c r="B31" s="131" t="s">
        <v>120</v>
      </c>
      <c r="C31" s="167">
        <v>0</v>
      </c>
      <c r="D31" s="169" t="s">
        <v>2</v>
      </c>
      <c r="F31" s="86"/>
      <c r="G31" s="80"/>
      <c r="H31" s="79"/>
      <c r="I31" s="82"/>
      <c r="J31" s="82"/>
    </row>
    <row r="32" spans="2:10" x14ac:dyDescent="0.25">
      <c r="B32" s="102" t="s">
        <v>119</v>
      </c>
      <c r="C32" s="168"/>
      <c r="D32" s="170"/>
      <c r="F32" s="86"/>
      <c r="G32" s="80"/>
      <c r="H32" s="79"/>
      <c r="I32" s="82"/>
      <c r="J32" s="82"/>
    </row>
    <row r="33" spans="2:10" ht="39.6" x14ac:dyDescent="0.25">
      <c r="B33" s="102" t="s">
        <v>118</v>
      </c>
      <c r="C33" s="115">
        <v>12</v>
      </c>
      <c r="D33" s="100" t="s">
        <v>2</v>
      </c>
      <c r="F33" s="86"/>
      <c r="G33" s="80"/>
      <c r="H33" s="79"/>
      <c r="I33" s="82"/>
      <c r="J33" s="82"/>
    </row>
    <row r="34" spans="2:10" ht="14.4" x14ac:dyDescent="0.3">
      <c r="B34" s="171" t="s">
        <v>117</v>
      </c>
      <c r="C34" s="172"/>
      <c r="D34" s="173"/>
      <c r="F34" s="86"/>
      <c r="G34" s="80"/>
      <c r="H34" s="79"/>
      <c r="I34" s="82"/>
      <c r="J34" s="82"/>
    </row>
    <row r="35" spans="2:10" ht="26.4" x14ac:dyDescent="0.25">
      <c r="B35" s="102" t="s">
        <v>116</v>
      </c>
      <c r="C35" s="101">
        <v>0</v>
      </c>
      <c r="D35" s="100" t="s">
        <v>2</v>
      </c>
      <c r="F35" s="86"/>
      <c r="G35" s="80"/>
      <c r="H35" s="79"/>
      <c r="I35" s="82"/>
      <c r="J35" s="82"/>
    </row>
    <row r="36" spans="2:10" ht="26.4" x14ac:dyDescent="0.25">
      <c r="B36" s="102" t="s">
        <v>115</v>
      </c>
      <c r="C36" s="130">
        <v>0</v>
      </c>
      <c r="D36" s="100" t="s">
        <v>2</v>
      </c>
      <c r="F36" s="86"/>
      <c r="G36" s="80"/>
      <c r="H36" s="79"/>
      <c r="I36" s="82"/>
      <c r="J36" s="82"/>
    </row>
    <row r="37" spans="2:10" ht="27" thickBot="1" x14ac:dyDescent="0.3">
      <c r="B37" s="99" t="s">
        <v>114</v>
      </c>
      <c r="C37" s="128">
        <v>0</v>
      </c>
      <c r="D37" s="97" t="s">
        <v>2</v>
      </c>
      <c r="F37" s="86"/>
      <c r="G37" s="80"/>
      <c r="H37" s="79"/>
      <c r="I37" s="82"/>
      <c r="J37" s="82"/>
    </row>
    <row r="38" spans="2:10" x14ac:dyDescent="0.25">
      <c r="B38" s="88"/>
      <c r="C38" s="127"/>
      <c r="D38" s="95"/>
      <c r="F38" s="86"/>
      <c r="G38" s="80"/>
      <c r="H38" s="79"/>
      <c r="I38" s="82"/>
      <c r="J38" s="82"/>
    </row>
    <row r="39" spans="2:10" ht="13.8" thickBot="1" x14ac:dyDescent="0.3">
      <c r="B39" s="88"/>
      <c r="C39" s="127"/>
      <c r="D39" s="95"/>
      <c r="F39" s="86"/>
      <c r="G39" s="80"/>
      <c r="H39" s="79"/>
      <c r="I39" s="82"/>
      <c r="J39" s="82"/>
    </row>
    <row r="40" spans="2:10" ht="16.2" thickBot="1" x14ac:dyDescent="0.35">
      <c r="B40" s="124" t="s">
        <v>12</v>
      </c>
      <c r="C40" s="123"/>
      <c r="D40" s="106"/>
      <c r="F40" s="86"/>
      <c r="G40" s="80"/>
      <c r="H40" s="79"/>
      <c r="I40" s="82"/>
      <c r="J40" s="82"/>
    </row>
    <row r="41" spans="2:10" x14ac:dyDescent="0.25">
      <c r="B41" s="105" t="s">
        <v>62</v>
      </c>
      <c r="C41" s="129">
        <v>62.4</v>
      </c>
      <c r="D41" s="103" t="s">
        <v>6</v>
      </c>
      <c r="F41" s="86"/>
      <c r="G41" s="80"/>
      <c r="H41" s="79"/>
      <c r="I41" s="82"/>
      <c r="J41" s="82"/>
    </row>
    <row r="42" spans="2:10" x14ac:dyDescent="0.25">
      <c r="B42" s="102" t="s">
        <v>113</v>
      </c>
      <c r="C42" s="101">
        <v>110</v>
      </c>
      <c r="D42" s="100" t="s">
        <v>6</v>
      </c>
      <c r="F42" s="86"/>
      <c r="G42" s="80"/>
      <c r="H42" s="79"/>
      <c r="I42" s="82"/>
      <c r="J42" s="82"/>
    </row>
    <row r="43" spans="2:10" x14ac:dyDescent="0.25">
      <c r="B43" s="102" t="s">
        <v>64</v>
      </c>
      <c r="C43" s="115">
        <f>+C42-C41</f>
        <v>47.6</v>
      </c>
      <c r="D43" s="100" t="s">
        <v>6</v>
      </c>
      <c r="F43" s="86"/>
      <c r="G43" s="80">
        <f>IF(C26&gt;=(C21+C19+(C23/12)), (C23/12), IF(C26&lt;=(C21+C19), 0, (C26-C21-C19)))</f>
        <v>0</v>
      </c>
      <c r="H43" s="79"/>
      <c r="I43" s="82"/>
      <c r="J43" s="82"/>
    </row>
    <row r="44" spans="2:10" x14ac:dyDescent="0.25">
      <c r="B44" s="102" t="s">
        <v>66</v>
      </c>
      <c r="C44" s="101">
        <v>145</v>
      </c>
      <c r="D44" s="100" t="s">
        <v>6</v>
      </c>
      <c r="F44" s="86"/>
      <c r="G44" s="80"/>
      <c r="H44" s="79"/>
      <c r="I44" s="82"/>
      <c r="J44" s="82"/>
    </row>
    <row r="45" spans="2:10" ht="13.8" thickBot="1" x14ac:dyDescent="0.3">
      <c r="B45" s="99" t="s">
        <v>65</v>
      </c>
      <c r="C45" s="128">
        <v>120</v>
      </c>
      <c r="D45" s="97" t="s">
        <v>6</v>
      </c>
      <c r="F45" s="86"/>
      <c r="G45" s="80"/>
      <c r="H45" s="79"/>
      <c r="I45" s="82"/>
      <c r="J45" s="82"/>
    </row>
    <row r="46" spans="2:10" x14ac:dyDescent="0.25">
      <c r="B46" s="88"/>
      <c r="C46" s="127"/>
      <c r="D46" s="95"/>
      <c r="F46" s="86"/>
      <c r="G46" s="80"/>
      <c r="H46" s="79"/>
      <c r="I46" s="82"/>
      <c r="J46" s="82"/>
    </row>
    <row r="47" spans="2:10" ht="13.8" thickBot="1" x14ac:dyDescent="0.3">
      <c r="B47" s="88"/>
      <c r="C47" s="120"/>
      <c r="D47" s="95"/>
      <c r="F47" s="86"/>
      <c r="G47" s="80"/>
      <c r="H47" s="79"/>
      <c r="I47" s="82"/>
      <c r="J47" s="82"/>
    </row>
    <row r="48" spans="2:10" ht="31.8" thickBot="1" x14ac:dyDescent="0.35">
      <c r="B48" s="124" t="s">
        <v>21</v>
      </c>
      <c r="C48" s="123"/>
      <c r="D48" s="106"/>
      <c r="F48" s="126"/>
      <c r="G48" s="125"/>
      <c r="H48" s="82"/>
      <c r="I48" s="82"/>
      <c r="J48" s="82"/>
    </row>
    <row r="49" spans="2:10" ht="26.4" x14ac:dyDescent="0.25">
      <c r="B49" s="105" t="s">
        <v>9</v>
      </c>
      <c r="C49" s="104">
        <f>G76*(C23/12)*C44</f>
        <v>0</v>
      </c>
      <c r="D49" s="103" t="s">
        <v>5</v>
      </c>
      <c r="F49" s="126"/>
      <c r="G49" s="125"/>
      <c r="H49" s="82"/>
      <c r="I49" s="82"/>
      <c r="J49" s="82"/>
    </row>
    <row r="50" spans="2:10" x14ac:dyDescent="0.25">
      <c r="B50" s="102" t="s">
        <v>112</v>
      </c>
      <c r="C50" s="115">
        <f>G84</f>
        <v>0</v>
      </c>
      <c r="D50" s="100" t="s">
        <v>5</v>
      </c>
      <c r="F50" s="126"/>
      <c r="G50" s="125"/>
      <c r="H50" s="82"/>
      <c r="I50" s="82"/>
      <c r="J50" s="82"/>
    </row>
    <row r="51" spans="2:10" ht="13.8" thickBot="1" x14ac:dyDescent="0.3">
      <c r="B51" s="99" t="s">
        <v>22</v>
      </c>
      <c r="C51" s="98">
        <f>((((C25/12)/2)^2)*PI()*(C18/12)*C44)</f>
        <v>576.53133931893933</v>
      </c>
      <c r="D51" s="97" t="s">
        <v>5</v>
      </c>
      <c r="F51" s="86"/>
      <c r="G51" s="80"/>
      <c r="H51" s="79"/>
      <c r="I51" s="79"/>
      <c r="J51" s="79"/>
    </row>
    <row r="52" spans="2:10" x14ac:dyDescent="0.25">
      <c r="B52" s="88"/>
      <c r="C52" s="122"/>
      <c r="D52" s="95"/>
      <c r="F52" s="86"/>
      <c r="G52" s="80"/>
      <c r="H52" s="79"/>
      <c r="I52" s="79"/>
      <c r="J52" s="79"/>
    </row>
    <row r="53" spans="2:10" ht="13.8" thickBot="1" x14ac:dyDescent="0.3">
      <c r="B53" s="88"/>
      <c r="C53" s="120"/>
      <c r="D53" s="95"/>
      <c r="F53" s="86"/>
      <c r="G53" s="80"/>
      <c r="H53" s="79"/>
      <c r="I53" s="79"/>
      <c r="J53" s="79"/>
    </row>
    <row r="54" spans="2:10" ht="16.2" thickBot="1" x14ac:dyDescent="0.35">
      <c r="B54" s="124" t="s">
        <v>20</v>
      </c>
      <c r="C54" s="123"/>
      <c r="D54" s="106"/>
      <c r="F54" s="86" t="s">
        <v>111</v>
      </c>
      <c r="G54" s="80">
        <f>C21+C19+C23</f>
        <v>22</v>
      </c>
      <c r="H54" s="79" t="s">
        <v>103</v>
      </c>
      <c r="I54" s="79"/>
      <c r="J54" s="79"/>
    </row>
    <row r="55" spans="2:10" x14ac:dyDescent="0.25">
      <c r="B55" s="105" t="s">
        <v>67</v>
      </c>
      <c r="C55" s="104">
        <f>IF(C26&gt;C21, (C21*C42*G19), ((C26*C42)+((C21-C26)*C43))*G19)</f>
        <v>12440.706908215581</v>
      </c>
      <c r="D55" s="103" t="s">
        <v>5</v>
      </c>
      <c r="F55" s="86"/>
      <c r="G55" s="80"/>
      <c r="H55" s="79"/>
      <c r="I55" s="79"/>
      <c r="J55" s="79"/>
    </row>
    <row r="56" spans="2:10" x14ac:dyDescent="0.25">
      <c r="B56" s="102" t="s">
        <v>68</v>
      </c>
      <c r="C56" s="115">
        <f>IF(C26&lt;C21, ((C26*C42)+((C21+C19-C26)*C43))*G76, IF(C26&gt;(C21+C19), (C21+C19)*C42*G76, ((C26*C42)+((C21+C19-C26)*C43))*G76))</f>
        <v>0</v>
      </c>
      <c r="D56" s="100" t="s">
        <v>5</v>
      </c>
      <c r="F56" s="86" t="s">
        <v>27</v>
      </c>
      <c r="G56" s="80">
        <f>C70*C43*G54*G54*0.5</f>
        <v>3801.3360000000002</v>
      </c>
      <c r="H56" s="79" t="s">
        <v>110</v>
      </c>
      <c r="I56" s="79"/>
      <c r="J56" s="79"/>
    </row>
    <row r="57" spans="2:10" x14ac:dyDescent="0.25">
      <c r="B57" s="102" t="s">
        <v>69</v>
      </c>
      <c r="C57" s="115">
        <f>G20</f>
        <v>3523.2470736157406</v>
      </c>
      <c r="D57" s="100" t="s">
        <v>5</v>
      </c>
      <c r="F57" s="86" t="s">
        <v>109</v>
      </c>
      <c r="G57" s="80">
        <f>G56*C68*G65</f>
        <v>21496.048652567541</v>
      </c>
      <c r="H57" s="79"/>
      <c r="I57" s="79"/>
      <c r="J57" s="79"/>
    </row>
    <row r="58" spans="2:10" ht="12.75" customHeight="1" thickBot="1" x14ac:dyDescent="0.3">
      <c r="B58" s="99" t="s">
        <v>108</v>
      </c>
      <c r="C58" s="98">
        <f>G68</f>
        <v>13886.575839645071</v>
      </c>
      <c r="D58" s="97" t="s">
        <v>5</v>
      </c>
      <c r="F58" s="86"/>
      <c r="G58" s="80"/>
      <c r="H58" s="79"/>
      <c r="I58" s="79"/>
      <c r="J58" s="79"/>
    </row>
    <row r="59" spans="2:10" ht="12.75" customHeight="1" x14ac:dyDescent="0.25">
      <c r="B59" s="88"/>
      <c r="C59" s="122"/>
      <c r="D59" s="95"/>
      <c r="F59" s="86"/>
      <c r="G59" s="80"/>
      <c r="H59" s="79"/>
      <c r="I59" s="79"/>
      <c r="J59" s="79"/>
    </row>
    <row r="60" spans="2:10" ht="13.8" thickBot="1" x14ac:dyDescent="0.3">
      <c r="B60" s="121"/>
      <c r="C60" s="120"/>
      <c r="D60" s="95"/>
      <c r="F60" s="86"/>
      <c r="G60" s="80"/>
      <c r="H60" s="79"/>
      <c r="I60" s="79"/>
      <c r="J60" s="79"/>
    </row>
    <row r="61" spans="2:10" ht="16.2" thickBot="1" x14ac:dyDescent="0.35">
      <c r="B61" s="119" t="s">
        <v>19</v>
      </c>
      <c r="C61" s="118"/>
      <c r="D61" s="106"/>
      <c r="F61" s="86"/>
      <c r="G61" s="80"/>
      <c r="H61" s="79"/>
      <c r="I61" s="79"/>
      <c r="J61" s="79"/>
    </row>
    <row r="62" spans="2:10" x14ac:dyDescent="0.25">
      <c r="B62" s="117" t="s">
        <v>107</v>
      </c>
      <c r="C62" s="104">
        <f>C55+C56</f>
        <v>12440.706908215581</v>
      </c>
      <c r="D62" s="103" t="s">
        <v>5</v>
      </c>
      <c r="F62" s="86"/>
      <c r="G62" s="80"/>
      <c r="H62" s="79"/>
      <c r="I62" s="79"/>
      <c r="J62" s="79"/>
    </row>
    <row r="63" spans="2:10" x14ac:dyDescent="0.25">
      <c r="B63" s="116" t="s">
        <v>72</v>
      </c>
      <c r="C63" s="115">
        <f>C58</f>
        <v>13886.575839645071</v>
      </c>
      <c r="D63" s="100" t="s">
        <v>5</v>
      </c>
      <c r="F63" s="86" t="s">
        <v>106</v>
      </c>
      <c r="G63" s="80">
        <f>C24+(2*(C31/12))</f>
        <v>6</v>
      </c>
      <c r="H63" s="79"/>
      <c r="I63" s="79"/>
      <c r="J63" s="79"/>
    </row>
    <row r="64" spans="2:10" ht="13.8" thickBot="1" x14ac:dyDescent="0.3">
      <c r="B64" s="114" t="s">
        <v>105</v>
      </c>
      <c r="C64" s="98">
        <f>C62+C63</f>
        <v>26327.282747860652</v>
      </c>
      <c r="D64" s="97" t="s">
        <v>5</v>
      </c>
      <c r="F64" s="86"/>
      <c r="G64" s="80"/>
      <c r="H64" s="79"/>
      <c r="I64" s="79"/>
      <c r="J64" s="79"/>
    </row>
    <row r="65" spans="2:10" x14ac:dyDescent="0.25">
      <c r="B65" s="81"/>
      <c r="C65" s="109"/>
      <c r="D65" s="95"/>
      <c r="F65" s="86" t="s">
        <v>104</v>
      </c>
      <c r="G65" s="80">
        <f>(G63*((PI())))</f>
        <v>18.849555921538759</v>
      </c>
      <c r="H65" s="79" t="s">
        <v>103</v>
      </c>
      <c r="I65" s="79"/>
      <c r="J65" s="79"/>
    </row>
    <row r="66" spans="2:10" ht="15.6" x14ac:dyDescent="0.3">
      <c r="B66" s="113" t="s">
        <v>13</v>
      </c>
      <c r="C66" s="111"/>
      <c r="D66" s="110"/>
      <c r="F66" s="86"/>
      <c r="G66" s="80"/>
      <c r="H66" s="79"/>
      <c r="I66" s="79"/>
      <c r="J66" s="79"/>
    </row>
    <row r="67" spans="2:10" x14ac:dyDescent="0.25">
      <c r="B67" s="79" t="s">
        <v>102</v>
      </c>
      <c r="C67" s="111">
        <v>2.75</v>
      </c>
      <c r="D67" s="110"/>
      <c r="F67" s="86"/>
      <c r="G67" s="80"/>
      <c r="H67" s="79"/>
      <c r="I67" s="79"/>
      <c r="J67" s="79"/>
    </row>
    <row r="68" spans="2:10" x14ac:dyDescent="0.25">
      <c r="B68" s="79" t="s">
        <v>86</v>
      </c>
      <c r="C68" s="111">
        <v>0.3</v>
      </c>
      <c r="D68" s="110"/>
      <c r="F68" s="86" t="s">
        <v>101</v>
      </c>
      <c r="G68" s="80">
        <f>G20+G26+G27-G84</f>
        <v>13886.575839645071</v>
      </c>
      <c r="H68" s="79"/>
      <c r="I68" s="79"/>
      <c r="J68" s="79"/>
    </row>
    <row r="69" spans="2:10" x14ac:dyDescent="0.25">
      <c r="B69" s="79" t="s">
        <v>88</v>
      </c>
      <c r="C69" s="111">
        <v>0.85</v>
      </c>
      <c r="D69" s="110"/>
      <c r="F69" s="86" t="s">
        <v>100</v>
      </c>
      <c r="G69" s="80">
        <f>G19*C21*C42</f>
        <v>12440.706908215581</v>
      </c>
      <c r="H69" s="79"/>
      <c r="I69" s="79"/>
      <c r="J69" s="79"/>
    </row>
    <row r="70" spans="2:10" ht="12.75" customHeight="1" x14ac:dyDescent="0.25">
      <c r="B70" s="112" t="s">
        <v>99</v>
      </c>
      <c r="C70" s="111">
        <v>0.33</v>
      </c>
      <c r="D70" s="110"/>
      <c r="F70" s="86" t="s">
        <v>98</v>
      </c>
      <c r="G70" s="80">
        <f>G19*C21*C43</f>
        <v>5383.4331711914692</v>
      </c>
      <c r="H70" s="79"/>
      <c r="I70" s="79"/>
      <c r="J70" s="79"/>
    </row>
    <row r="71" spans="2:10" ht="12.75" customHeight="1" x14ac:dyDescent="0.25">
      <c r="B71" s="112" t="s">
        <v>13</v>
      </c>
      <c r="C71" s="111"/>
      <c r="D71" s="110" t="s">
        <v>5</v>
      </c>
      <c r="F71" s="86"/>
      <c r="G71" s="80"/>
      <c r="H71" s="79"/>
      <c r="I71" s="79"/>
      <c r="J71" s="79"/>
    </row>
    <row r="72" spans="2:10" ht="12.75" customHeight="1" x14ac:dyDescent="0.25">
      <c r="B72" s="112"/>
      <c r="C72" s="111"/>
      <c r="D72" s="110"/>
      <c r="F72" s="86"/>
      <c r="G72" s="80"/>
      <c r="H72" s="79"/>
      <c r="I72" s="79"/>
      <c r="J72" s="79"/>
    </row>
    <row r="73" spans="2:10" ht="13.8" thickBot="1" x14ac:dyDescent="0.3">
      <c r="B73" s="81"/>
      <c r="C73" s="109"/>
      <c r="D73" s="95"/>
      <c r="F73" s="86"/>
      <c r="G73" s="80"/>
      <c r="H73" s="79"/>
      <c r="I73" s="79"/>
      <c r="J73" s="79"/>
    </row>
    <row r="74" spans="2:10" ht="16.2" thickBot="1" x14ac:dyDescent="0.35">
      <c r="B74" s="108" t="s">
        <v>7</v>
      </c>
      <c r="C74" s="107"/>
      <c r="D74" s="106"/>
      <c r="F74" s="86"/>
      <c r="G74" s="80"/>
      <c r="H74" s="79"/>
      <c r="I74" s="79"/>
      <c r="J74" s="79"/>
    </row>
    <row r="75" spans="2:10" x14ac:dyDescent="0.25">
      <c r="B75" s="105" t="s">
        <v>7</v>
      </c>
      <c r="C75" s="104">
        <f>IF(C26&lt;=C21, ((G23+G25)*C41), IF(C26&gt;=(C21+C19+(C23/12)), 0, IF(C26&gt;=(C21+C19), ((G21*((C23/12)-G43))*C41), ((G25+(G19*(C19-G80)))*C41))))</f>
        <v>3528.6368685120556</v>
      </c>
      <c r="D75" s="103" t="s">
        <v>5</v>
      </c>
      <c r="F75" s="86" t="s">
        <v>97</v>
      </c>
      <c r="G75" s="80">
        <f>((G21-G19)*(C19+(C18/12)+C21))*C42</f>
        <v>0</v>
      </c>
      <c r="H75" s="79"/>
      <c r="I75" s="79"/>
      <c r="J75" s="79"/>
    </row>
    <row r="76" spans="2:10" x14ac:dyDescent="0.25">
      <c r="B76" s="102" t="s">
        <v>74</v>
      </c>
      <c r="C76" s="101">
        <v>2</v>
      </c>
      <c r="D76" s="100"/>
      <c r="F76" s="86" t="s">
        <v>96</v>
      </c>
      <c r="G76" s="80">
        <f>G21-G19</f>
        <v>0</v>
      </c>
      <c r="H76" s="164"/>
      <c r="I76" s="164"/>
      <c r="J76" s="164"/>
    </row>
    <row r="77" spans="2:10" ht="13.8" thickBot="1" x14ac:dyDescent="0.3">
      <c r="B77" s="99" t="s">
        <v>75</v>
      </c>
      <c r="C77" s="98">
        <f>+C76*C75</f>
        <v>7057.2737370241111</v>
      </c>
      <c r="D77" s="97" t="s">
        <v>5</v>
      </c>
      <c r="F77" s="86"/>
      <c r="G77" s="80"/>
      <c r="H77" s="96"/>
      <c r="I77" s="96"/>
      <c r="J77" s="96"/>
    </row>
    <row r="78" spans="2:10" x14ac:dyDescent="0.25">
      <c r="B78" s="88"/>
      <c r="C78" s="87"/>
      <c r="D78" s="95"/>
      <c r="F78" s="86"/>
      <c r="G78" s="80"/>
      <c r="H78" s="96"/>
      <c r="I78" s="96"/>
      <c r="J78" s="96"/>
    </row>
    <row r="79" spans="2:10" x14ac:dyDescent="0.25">
      <c r="B79" s="88"/>
      <c r="C79" s="87"/>
      <c r="D79" s="95"/>
      <c r="F79" s="86"/>
      <c r="G79" s="80"/>
      <c r="H79" s="96"/>
      <c r="I79" s="96"/>
      <c r="J79" s="96"/>
    </row>
    <row r="80" spans="2:10" ht="13.8" thickBot="1" x14ac:dyDescent="0.3">
      <c r="B80" s="88"/>
      <c r="C80" s="87"/>
      <c r="D80" s="95"/>
      <c r="F80" s="86"/>
      <c r="G80" s="80">
        <f>IF(C26&gt;=(C21+C19), C19, IF(C26&lt;=C21, 0, (C26-C21)))</f>
        <v>5</v>
      </c>
      <c r="H80" s="79"/>
      <c r="I80" s="79"/>
      <c r="J80" s="79"/>
    </row>
    <row r="81" spans="2:10" ht="13.8" thickBot="1" x14ac:dyDescent="0.3">
      <c r="B81" s="94"/>
      <c r="C81" s="93"/>
      <c r="D81" s="92"/>
      <c r="F81" s="86" t="s">
        <v>95</v>
      </c>
      <c r="G81" s="80">
        <f>(((((C35/12)/2)^2)*PI())*C44)</f>
        <v>0</v>
      </c>
      <c r="H81" s="79"/>
      <c r="I81" s="79"/>
      <c r="J81" s="79"/>
    </row>
    <row r="82" spans="2:10" ht="16.2" thickBot="1" x14ac:dyDescent="0.35">
      <c r="B82" s="91" t="s">
        <v>90</v>
      </c>
      <c r="C82" s="90" t="str">
        <f>IF((C77-C64)&gt;0, (C77-C64), "NONE")</f>
        <v>NONE</v>
      </c>
      <c r="D82" s="89" t="s">
        <v>5</v>
      </c>
      <c r="F82" s="86" t="s">
        <v>94</v>
      </c>
      <c r="G82" s="80">
        <f>(((((C36/12)/2)^2)*PI())*C44)</f>
        <v>0</v>
      </c>
      <c r="H82" s="79"/>
      <c r="I82" s="79"/>
      <c r="J82" s="79"/>
    </row>
    <row r="83" spans="2:10" x14ac:dyDescent="0.25">
      <c r="B83" s="88"/>
      <c r="C83" s="87"/>
      <c r="D83" s="85"/>
      <c r="F83" s="86" t="s">
        <v>93</v>
      </c>
      <c r="G83" s="80">
        <f>(((((C37/12)/2)^2)*PI())*C44)</f>
        <v>0</v>
      </c>
      <c r="H83" s="79"/>
      <c r="I83" s="79"/>
      <c r="J83" s="79"/>
    </row>
    <row r="84" spans="2:10" x14ac:dyDescent="0.25">
      <c r="B84" s="88"/>
      <c r="C84" s="87"/>
      <c r="D84" s="85"/>
      <c r="E84" s="78"/>
      <c r="F84" s="86" t="s">
        <v>92</v>
      </c>
      <c r="G84" s="80">
        <f>G81+G82+G83</f>
        <v>0</v>
      </c>
      <c r="H84" s="79"/>
      <c r="I84" s="79"/>
      <c r="J84" s="79"/>
    </row>
    <row r="85" spans="2:10" x14ac:dyDescent="0.25">
      <c r="C85" s="85"/>
      <c r="D85" s="85"/>
      <c r="F85" s="86"/>
      <c r="G85" s="80"/>
      <c r="H85" s="79"/>
      <c r="I85" s="79"/>
      <c r="J85" s="79"/>
    </row>
    <row r="86" spans="2:10" x14ac:dyDescent="0.25">
      <c r="C86" s="85"/>
      <c r="D86" s="85"/>
      <c r="F86" s="86"/>
      <c r="G86" s="80"/>
      <c r="H86" s="79"/>
      <c r="I86" s="79"/>
      <c r="J86" s="79"/>
    </row>
    <row r="87" spans="2:10" x14ac:dyDescent="0.25">
      <c r="C87" s="85"/>
      <c r="D87" s="85"/>
      <c r="F87" s="84"/>
      <c r="G87" s="79"/>
      <c r="H87" s="79"/>
      <c r="I87" s="79"/>
      <c r="J87" s="79"/>
    </row>
    <row r="88" spans="2:10" x14ac:dyDescent="0.25">
      <c r="C88" s="85"/>
      <c r="D88" s="85"/>
      <c r="F88" s="84"/>
      <c r="G88" s="79"/>
      <c r="H88" s="79"/>
      <c r="I88" s="79"/>
      <c r="J88" s="79"/>
    </row>
    <row r="89" spans="2:10" x14ac:dyDescent="0.25">
      <c r="C89" s="85"/>
      <c r="D89" s="85"/>
      <c r="F89" s="84"/>
      <c r="G89" s="79"/>
      <c r="H89" s="79"/>
      <c r="I89" s="79"/>
      <c r="J89" s="79"/>
    </row>
    <row r="90" spans="2:10" x14ac:dyDescent="0.25">
      <c r="C90" s="85"/>
      <c r="D90" s="85"/>
      <c r="F90" s="84"/>
      <c r="G90" s="79"/>
      <c r="H90" s="79"/>
      <c r="I90" s="79"/>
      <c r="J90" s="79"/>
    </row>
    <row r="91" spans="2:10" x14ac:dyDescent="0.25">
      <c r="F91" s="83"/>
      <c r="G91" s="82"/>
      <c r="H91" s="82"/>
      <c r="I91" s="82"/>
      <c r="J91" s="82"/>
    </row>
    <row r="92" spans="2:10" x14ac:dyDescent="0.25">
      <c r="F92" s="83"/>
      <c r="G92" s="82"/>
      <c r="H92" s="82"/>
      <c r="I92" s="82"/>
      <c r="J92" s="82"/>
    </row>
    <row r="93" spans="2:10" x14ac:dyDescent="0.25">
      <c r="F93" s="82"/>
      <c r="G93" s="82"/>
      <c r="H93" s="82"/>
      <c r="I93" s="82"/>
      <c r="J93" s="82"/>
    </row>
    <row r="94" spans="2:10" x14ac:dyDescent="0.25">
      <c r="F94" s="82"/>
      <c r="G94" s="82"/>
      <c r="H94" s="82"/>
      <c r="I94" s="82"/>
      <c r="J94" s="82"/>
    </row>
    <row r="96" spans="2:10" x14ac:dyDescent="0.25">
      <c r="B96" s="81"/>
      <c r="C96" s="79"/>
    </row>
    <row r="97" spans="2:8" x14ac:dyDescent="0.25">
      <c r="B97" s="81"/>
      <c r="F97" s="80">
        <f>IF(C26&lt;=C21,H97,F98)</f>
        <v>5292.9553027680831</v>
      </c>
      <c r="G97" s="80"/>
      <c r="H97" s="80">
        <f>(((PI()*(C17+(2*(C22/12)))^2)/4)*(C19+(C18/12)+(C23/12)))*C41</f>
        <v>14114.547474048222</v>
      </c>
    </row>
    <row r="98" spans="2:8" x14ac:dyDescent="0.25">
      <c r="B98" s="81"/>
      <c r="F98" s="80">
        <f>IF(AND(C26&gt;C21,C26&lt;=(C21+(C18/12)+C19+(C23/12))),H98,F99)</f>
        <v>5292.9553027680831</v>
      </c>
      <c r="G98" s="80"/>
      <c r="H98" s="80">
        <f>(((PI()*(C17+(2*(C22/12)))^2)/4)*(((C21+(C18/12)+C19+(C23/12)))-C26)*C41)</f>
        <v>5292.9553027680831</v>
      </c>
    </row>
    <row r="99" spans="2:8" x14ac:dyDescent="0.25">
      <c r="F99" s="80" t="b">
        <f>IF(C26&gt;(C21+(C18/12)+C19+(C23/12)),0)</f>
        <v>0</v>
      </c>
      <c r="G99" s="80"/>
      <c r="H99" s="80">
        <f>(((((PI()*(C17+(2*(C22/12)))^2)/4)*(C18/12))*C43)+((PI()*(C17+(2*(C22/12)))^2/4)-(PI()*(C17^2))/4)*(C26-C21-(C18/12)))*C43</f>
        <v>65707.792650598101</v>
      </c>
    </row>
    <row r="100" spans="2:8" x14ac:dyDescent="0.25">
      <c r="B100" s="77"/>
      <c r="D100" s="78"/>
      <c r="F100" s="80">
        <f>IF(AND(C26&gt;C21+(C18/12)+C19,C26&lt;=C21+(C18/12)+C19+(C23/12)),H100,F101)</f>
        <v>0</v>
      </c>
      <c r="G100" s="80"/>
      <c r="H100" s="80">
        <f>((((((PI()*(C17+(2*(C22/12)))^2)/4)*(C18/12))*C43)+((PI()*(C17+(2*(C22/12)))^2/4)-(PI()*(C17^2))/4)*C19))*C43+((PI()*(C17+(2*(C22/12))+(2*(C31/12)))^2)/4)*(C26-(C21+(C18/12)+C19))</f>
        <v>66473.7129395433</v>
      </c>
    </row>
    <row r="101" spans="2:8" x14ac:dyDescent="0.25">
      <c r="B101" s="77"/>
      <c r="D101" s="78"/>
      <c r="F101" s="79"/>
      <c r="G101" s="79"/>
      <c r="H101" s="79"/>
    </row>
    <row r="102" spans="2:8" x14ac:dyDescent="0.25">
      <c r="B102" s="77"/>
      <c r="D102" s="78"/>
    </row>
    <row r="103" spans="2:8" x14ac:dyDescent="0.25">
      <c r="C103" s="78"/>
    </row>
    <row r="104" spans="2:8" x14ac:dyDescent="0.25">
      <c r="B104" s="77"/>
      <c r="C104" s="76"/>
    </row>
  </sheetData>
  <sheetProtection algorithmName="SHA-512" hashValue="2xWPyJ4H9lRsHQ+Kik/AOtlCUiyQhf9+n8Zm6KNazcyQr/NiFKhJuyc3xdeEEfdH+MiTPWDIgBn/lmRskw9dlg==" saltValue="zPvLWSG0YSDuxicLOJWtkg==" spinCount="100000" sheet="1" objects="1" scenarios="1"/>
  <protectedRanges>
    <protectedRange sqref="C17:C19 C21:C23 C25:C26 C31 C35:C37 C41:C42 C44:C45" name="Range1"/>
  </protectedRanges>
  <mergeCells count="7">
    <mergeCell ref="H76:J76"/>
    <mergeCell ref="B5:D6"/>
    <mergeCell ref="C31:C32"/>
    <mergeCell ref="D31:D32"/>
    <mergeCell ref="B34:D34"/>
    <mergeCell ref="B12:D12"/>
    <mergeCell ref="B10:D10"/>
  </mergeCells>
  <printOptions gridLines="1"/>
  <pageMargins left="0.75" right="0.75" top="1" bottom="1" header="0.5" footer="0.5"/>
  <pageSetup scale="21" orientation="portrait" horizontalDpi="0"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A146-C0A4-47F9-AE7C-01FCC6E95DAC}">
  <dimension ref="A2:A3"/>
  <sheetViews>
    <sheetView tabSelected="1" workbookViewId="0">
      <selection activeCell="M18" sqref="M18"/>
    </sheetView>
  </sheetViews>
  <sheetFormatPr defaultRowHeight="13.2" x14ac:dyDescent="0.25"/>
  <sheetData>
    <row r="2" spans="1:1" s="175" customFormat="1" ht="30" x14ac:dyDescent="0.5">
      <c r="A2" s="175" t="s">
        <v>147</v>
      </c>
    </row>
    <row r="3" spans="1:1" s="176" customFormat="1" ht="30" x14ac:dyDescent="0.5"/>
  </sheetData>
  <hyperlinks>
    <hyperlink ref="A2:XFD2" r:id="rId1" display="To access Tables 1, 2 and 3, click HERE" xr:uid="{51E027AF-7881-4620-A478-B4BDCD65900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Rectangle</vt:lpstr>
      <vt:lpstr>Round</vt:lpstr>
      <vt:lpstr>Tables</vt:lpstr>
      <vt:lpstr>Round!Print_Area</vt:lpstr>
    </vt:vector>
  </TitlesOfParts>
  <Company>Wieser Concrete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dc:creator>
  <cp:lastModifiedBy>Heather Bremer</cp:lastModifiedBy>
  <cp:lastPrinted>2014-05-09T16:12:40Z</cp:lastPrinted>
  <dcterms:created xsi:type="dcterms:W3CDTF">2000-03-15T22:46:23Z</dcterms:created>
  <dcterms:modified xsi:type="dcterms:W3CDTF">2024-04-12T12:55:55Z</dcterms:modified>
</cp:coreProperties>
</file>