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theme/themeOverride1.xml" ContentType="application/vnd.openxmlformats-officedocument.themeOverride+xml"/>
  <Override PartName="/xl/charts/chart12.xml" ContentType="application/vnd.openxmlformats-officedocument.drawingml.chart+xml"/>
  <Override PartName="/xl/theme/themeOverride2.xml" ContentType="application/vnd.openxmlformats-officedocument.themeOverride+xml"/>
  <Override PartName="/xl/comments9.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10.xml" ContentType="application/vnd.openxmlformats-officedocument.spreadsheetml.comments+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codeName="ThisWorkbook" hidePivotFieldList="1" defaultThemeVersion="124226"/>
  <mc:AlternateContent xmlns:mc="http://schemas.openxmlformats.org/markup-compatibility/2006">
    <mc:Choice Requires="x15">
      <x15ac:absPath xmlns:x15ac="http://schemas.microsoft.com/office/spreadsheetml/2010/11/ac" url="/Users/elorenz/Dropbox/SevGen/PROJECTS/23001 NPCA SUS/"/>
    </mc:Choice>
  </mc:AlternateContent>
  <xr:revisionPtr revIDLastSave="0" documentId="8_{21AE1793-1C4D-2640-9A5E-B5D18C69C5C4}" xr6:coauthVersionLast="47" xr6:coauthVersionMax="47" xr10:uidLastSave="{00000000-0000-0000-0000-000000000000}"/>
  <workbookProtection workbookPassword="840D" lockStructure="1"/>
  <bookViews>
    <workbookView xWindow="0" yWindow="760" windowWidth="30860" windowHeight="16760" tabRatio="882" activeTab="2" xr2:uid="{00000000-000D-0000-FFFF-FFFF00000000}"/>
  </bookViews>
  <sheets>
    <sheet name="Welcome and How-to" sheetId="5" r:id="rId1"/>
    <sheet name="Cement Sources" sheetId="34" r:id="rId2"/>
    <sheet name="Plant Inputs" sheetId="12" r:id="rId3"/>
    <sheet name="A-PCR-Structural" sheetId="45" r:id="rId4"/>
    <sheet name="B-PCR-Architectural" sheetId="53" r:id="rId5"/>
    <sheet name="C-PCR-Insulated Architectural" sheetId="52" r:id="rId6"/>
    <sheet name="D-PCR-Underground" sheetId="51" r:id="rId7"/>
    <sheet name="Principal Summary" sheetId="9" state="hidden" r:id="rId8"/>
    <sheet name="EP Measurements" sheetId="50" state="hidden" r:id="rId9"/>
    <sheet name="Custom Project Calculator" sheetId="54" state="hidden" r:id="rId10"/>
    <sheet name="CPCI Data" sheetId="1" state="hidden" r:id="rId11"/>
    <sheet name="Chart Data" sheetId="47" state="hidden" r:id="rId12"/>
    <sheet name="Conversions" sheetId="19" state="hidden" r:id="rId13"/>
    <sheet name="SP Data" sheetId="30" state="hidden" r:id="rId14"/>
    <sheet name="Supplemental LCA Data" sheetId="48" state="hidden" r:id="rId15"/>
  </sheets>
  <definedNames>
    <definedName name="Association_Version">'CPCI Data'!$B$6</definedName>
    <definedName name="BlendYourOwnCement1">'Cement Sources'!$P$34</definedName>
    <definedName name="BlendYourOwnCement2">'Cement Sources'!$P$40</definedName>
    <definedName name="BlendYourOwnCement3">'Cement Sources'!$P$46</definedName>
    <definedName name="BlendYourOwnCement4">'Cement Sources'!$P$52</definedName>
    <definedName name="CanadaFirstLocations">'CPCI Data'!$X$11:$X$70</definedName>
    <definedName name="Canadian_Provinces">'CPCI Data'!$F$13:$F$23</definedName>
    <definedName name="Cement_Sources_CAN">'CPCI Data'!$N$11:$N$67</definedName>
    <definedName name="Cement_Sources_USA">'CPCI Data'!$O$11:$O$67</definedName>
    <definedName name="Chart_GWP_PerTonne_Materials">OFFSET('Chart Data'!$AU$108,0,0,COUNT('Chart Data'!$AV$108:$AV$145),1)</definedName>
    <definedName name="Chart_GWP_PerTonne_Values">OFFSET('Chart Data'!$AV$108,0,0,COUNT('Chart Data'!$AV$108:$AV$145),1)</definedName>
    <definedName name="Chart_GWP_Total_Materials">OFFSET('Chart Data'!$AK$108,0,0,COUNT('Chart Data'!$AL$108:$AL$145),1)</definedName>
    <definedName name="Chart_GWP_Total_Values">OFFSET('Chart Data'!$AL$108,0,0,COUNT('Chart Data'!$AL$108:$AL$145),1)</definedName>
    <definedName name="Chart_PE_PerTonne_Materials">OFFSET('Chart Data'!$AU$223,0,0,COUNT('Chart Data'!$AV$223:$AV$260),1)</definedName>
    <definedName name="Chart_PE_PerTonne_Values">OFFSET('Chart Data'!$AV$223,0,0,COUNT('Chart Data'!$AV$223:$AV$260),1)</definedName>
    <definedName name="Chart_PE_Total_Materials">OFFSET('Chart Data'!$AK$223,0,0,COUNT('Chart Data'!$AL$223:$AL$260),1)</definedName>
    <definedName name="Chart_PE_Total_Values">OFFSET('Chart Data'!$AL$223,0,0,COUNT('Chart Data'!$AL$223:$AL$260),1)</definedName>
    <definedName name="Chart_Water_perTonne_Materials">OFFSET('Chart Data'!$AU$341,0,0,COUNT('Chart Data'!$AV$341:$AV$375),1)</definedName>
    <definedName name="Chart_Water_perTonne_Values">OFFSET('Chart Data'!$AV$341,0,0,COUNT('Chart Data'!$AV$341:$AV$375),1)</definedName>
    <definedName name="Chart_Water_Total_Materials">OFFSET('Chart Data'!$AK$341,0,0,COUNT('Chart Data'!$AL$341:$AL$375),1)</definedName>
    <definedName name="Chart_Water_Total_Values">OFFSET('Chart Data'!$AL$341,0,0,COUNT('Chart Data'!$AL$341:$AL$375),1)</definedName>
    <definedName name="Conversion_Columns">Conversions!$B$25:$AA$25</definedName>
    <definedName name="Conversion_Rows">Conversions!$B$25:$B$50</definedName>
    <definedName name="Conversion_Table">Conversions!$B$25:$AA$50</definedName>
    <definedName name="Conversions_From">Conversions!$B$3:$B$21</definedName>
    <definedName name="Conversions_To">Conversions!$C$3:$C$21</definedName>
    <definedName name="Distance_Units">'CPCI Data'!$L$12:$L$13</definedName>
    <definedName name="DistanceCalcUnit">'Plant Inputs'!$AA$9</definedName>
    <definedName name="DistanceDisplayUnit">'Plant Inputs'!$AA$8</definedName>
    <definedName name="Energy_Units">'CPCI Data'!$K$12:$K$21</definedName>
    <definedName name="EnergyCalcUnit">'Plant Inputs'!$AA$15</definedName>
    <definedName name="EnergyPerTonneDisplayUnit">'Plant Inputs'!$AA$14</definedName>
    <definedName name="EnergyTotalDisplayUnit">'Plant Inputs'!$AA$13</definedName>
    <definedName name="EPD_Calc_Units">'CPCI Data'!$AL$11:$AL$24</definedName>
    <definedName name="EPD_Measures">'CPCI Data'!$AJ$11:$AJ$24</definedName>
    <definedName name="EPD_Units">'CPCI Data'!$AK$11:$AK$24</definedName>
    <definedName name="EPDEnergyUnit">'Plant Inputs'!$AA$21</definedName>
    <definedName name="EPDMaterialUnit">'Plant Inputs'!$AA$22</definedName>
    <definedName name="EPDProductionUnit">'Plant Inputs'!$AA$25</definedName>
    <definedName name="EPDTRACIUnit">'Plant Inputs'!$AA$20</definedName>
    <definedName name="EPDWasteUnit">'Plant Inputs'!$AA$24</definedName>
    <definedName name="EPDWaterUnit">'Plant Inputs'!$AA$23</definedName>
    <definedName name="EPGrade">'EP Measurements'!$D$84</definedName>
    <definedName name="EPGrade_v1">'EP Measurements'!$D$85</definedName>
    <definedName name="ExportEnergyperTonne">'Plant Inputs'!$CB$5:$CD$5</definedName>
    <definedName name="ExportGWPperTonne">'Plant Inputs'!$CB$4:$CD$4</definedName>
    <definedName name="ExportPlantNumber">'Welcome and How-to'!$B$8</definedName>
    <definedName name="ExportReportingPeriod">'Welcome and How-to'!$C$8</definedName>
    <definedName name="ExportReportingYear">'Welcome and How-to'!$D$8</definedName>
    <definedName name="ExportWaterperTonne">'Plant Inputs'!$CB$7:$CD$7</definedName>
    <definedName name="LCIA_Columns">'SP Data'!$B$6:$BK$6</definedName>
    <definedName name="LCIA_Data">'SP Data'!$B$4:$BK$215</definedName>
    <definedName name="LCIA_Rows_B">'SP Data'!$B$4:$B$215</definedName>
    <definedName name="LCIA_Rows_C">'SP Data'!$C$4:$C$215</definedName>
    <definedName name="Locations_All">Locations_CAN,Locations_USA</definedName>
    <definedName name="Locations_CAN">'CPCI Data'!$F$13:$H$26</definedName>
    <definedName name="Locations_USA">'CPCI Data'!$S$11:$U$61</definedName>
    <definedName name="Mass_Units">'CPCI Data'!$I$12:$I$15</definedName>
    <definedName name="MassCalcUnit">'Plant Inputs'!$AA$6</definedName>
    <definedName name="MassCalcUnit2">'Plant Inputs'!$AA$7</definedName>
    <definedName name="MassDisplayUnit">'Plant Inputs'!$AA$5</definedName>
    <definedName name="Material_Densities">'CPCI Data'!$C$11:$D$56</definedName>
    <definedName name="Material_Energy_Grid">'Plant Inputs'!$AO$15</definedName>
    <definedName name="NaturalGasDisplayUnit">'Plant Inputs'!$AA$19</definedName>
    <definedName name="PlantLocation">'Plant Inputs'!$AN$16</definedName>
    <definedName name="PlantNumbersCPCI">OFFSET('CPCI Data'!$AE$11,0,0,COUNT('CPCI Data'!$AE$11:$AE$2000),1)</definedName>
    <definedName name="PlantNumbersNPCA">OFFSET('CPCI Data'!$AG$11,0,0,COUNT('CPCI Data'!$AG$11:$AG$2000),1)</definedName>
    <definedName name="PlantNumbersPCI">OFFSET('CPCI Data'!$AF$11,0,0,COUNT('CPCI Data'!$AF$11:$AF$2000),1)</definedName>
    <definedName name="Product_Units">'CPCI Data'!$M$12:$M$14</definedName>
    <definedName name="Reporting_Periods_Reporting">'CPCI Data'!$P$12:$P$15</definedName>
    <definedName name="Reporting_Periods_Survey">'CPCI Data'!$Q$12:$Q$12</definedName>
    <definedName name="ToolName">'CPCI Data'!$C$1</definedName>
    <definedName name="ToolType">'CPCI Data'!$B$9:$B$9</definedName>
    <definedName name="Totals_Energy">'Plant Inputs'!$AU$74:$BH$87</definedName>
    <definedName name="Totals_Grand">'Plant Inputs'!$AX$3:$BI$5</definedName>
    <definedName name="Totals_Materials">'Plant Inputs'!$AX$26:$BK$68</definedName>
    <definedName name="Totals_Materials_Transportation">'Plant Inputs'!$BM$69:$BN$71</definedName>
    <definedName name="Totals_Waste">'Plant Inputs'!$AX$93:$BK$103</definedName>
    <definedName name="Totals_Waste_Transportation">'Plant Inputs'!$BM$106:$BN$108</definedName>
    <definedName name="Totals_Water">'Plant Inputs'!$AW$9:$AY$16</definedName>
    <definedName name="TRACICalcUnit">'Plant Inputs'!$AA$12</definedName>
    <definedName name="TRACIPerTonneDisplayUnit">'Plant Inputs'!$AA$11</definedName>
    <definedName name="TRACITotalDisplayUnit">'Plant Inputs'!$AA$10</definedName>
    <definedName name="UnitSystem">'Welcome and How-to'!$B$10</definedName>
    <definedName name="US_States">'CPCI Data'!$S$11:$S$60</definedName>
    <definedName name="USFirstLocations">'CPCI Data'!$AA$11:$AA$70</definedName>
    <definedName name="Version_Number">'CPCI Data'!$B$4</definedName>
    <definedName name="Volume_Units">'CPCI Data'!$J$12:$J$17</definedName>
    <definedName name="VolumeCalcUnit">'Plant Inputs'!$AA$4</definedName>
    <definedName name="VolumeDisplayUnit">'Plant Inputs'!$AA$3</definedName>
    <definedName name="WaterCalcUnit">'Plant Inputs'!$AA$18</definedName>
    <definedName name="WaterPerTonneDisplayUnit">'Plant Inputs'!$AA$17</definedName>
    <definedName name="WaterTotalDisplayUnit">'Plant Inputs'!$AA$16</definedName>
    <definedName name="Years">'CPCI Data'!$R$12:$R$30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5" l="1"/>
  <c r="AA5" i="12"/>
  <c r="F18" i="12"/>
  <c r="F21" i="34"/>
  <c r="AG21" i="34"/>
  <c r="AA6" i="12"/>
  <c r="AJ8" i="34"/>
  <c r="C25" i="19"/>
  <c r="D25" i="19"/>
  <c r="E25" i="19"/>
  <c r="F25" i="19"/>
  <c r="G25" i="19"/>
  <c r="H25" i="19"/>
  <c r="I25" i="19"/>
  <c r="J25" i="19"/>
  <c r="K25" i="19"/>
  <c r="L25" i="19"/>
  <c r="M25" i="19"/>
  <c r="N25" i="19"/>
  <c r="O25" i="19"/>
  <c r="P25" i="19"/>
  <c r="Q25" i="19"/>
  <c r="R25" i="19"/>
  <c r="S25" i="19"/>
  <c r="T25" i="19"/>
  <c r="U25" i="19"/>
  <c r="V25" i="19"/>
  <c r="W25" i="19"/>
  <c r="X25" i="19"/>
  <c r="Y25" i="19"/>
  <c r="Z25" i="19"/>
  <c r="AA25" i="19"/>
  <c r="D26" i="19"/>
  <c r="E26" i="19"/>
  <c r="F26" i="19"/>
  <c r="G26" i="19"/>
  <c r="H26" i="19"/>
  <c r="I26" i="19"/>
  <c r="J26" i="19"/>
  <c r="K26" i="19"/>
  <c r="D3" i="19"/>
  <c r="L26" i="19"/>
  <c r="M26" i="19"/>
  <c r="N26" i="19"/>
  <c r="O26" i="19"/>
  <c r="P26" i="19"/>
  <c r="Q26" i="19"/>
  <c r="R26" i="19"/>
  <c r="S26" i="19"/>
  <c r="T26" i="19"/>
  <c r="U26" i="19"/>
  <c r="V26" i="19"/>
  <c r="W26" i="19"/>
  <c r="X26" i="19"/>
  <c r="Y26" i="19"/>
  <c r="Z26" i="19"/>
  <c r="AA26" i="19"/>
  <c r="C27" i="19"/>
  <c r="E27" i="19"/>
  <c r="F27" i="19"/>
  <c r="G27" i="19"/>
  <c r="H27" i="19"/>
  <c r="I27" i="19"/>
  <c r="J27" i="19"/>
  <c r="K27" i="19"/>
  <c r="L27" i="19"/>
  <c r="M27" i="19"/>
  <c r="N27" i="19"/>
  <c r="O27" i="19"/>
  <c r="P27" i="19"/>
  <c r="Q27" i="19"/>
  <c r="R27" i="19"/>
  <c r="S27" i="19"/>
  <c r="T27" i="19"/>
  <c r="U27" i="19"/>
  <c r="V27" i="19"/>
  <c r="W27" i="19"/>
  <c r="X27" i="19"/>
  <c r="Y27" i="19"/>
  <c r="Z27" i="19"/>
  <c r="AA27" i="19"/>
  <c r="C28" i="19"/>
  <c r="D28" i="19"/>
  <c r="E9" i="19"/>
  <c r="F28" i="19"/>
  <c r="E6" i="19"/>
  <c r="D18" i="19"/>
  <c r="E18" i="19"/>
  <c r="G28" i="19"/>
  <c r="H28" i="19"/>
  <c r="I28" i="19"/>
  <c r="J28" i="19"/>
  <c r="K28" i="19"/>
  <c r="L28" i="19"/>
  <c r="M28" i="19"/>
  <c r="N28" i="19"/>
  <c r="O28" i="19"/>
  <c r="P28" i="19"/>
  <c r="Q28" i="19"/>
  <c r="R28" i="19"/>
  <c r="S28" i="19"/>
  <c r="T28" i="19"/>
  <c r="U28" i="19"/>
  <c r="V28" i="19"/>
  <c r="W28" i="19"/>
  <c r="X28" i="19"/>
  <c r="Z28" i="19"/>
  <c r="AA28" i="19"/>
  <c r="C29" i="19"/>
  <c r="D29" i="19"/>
  <c r="E29" i="19"/>
  <c r="G29" i="19"/>
  <c r="H29" i="19"/>
  <c r="I29" i="19"/>
  <c r="J29" i="19"/>
  <c r="K29" i="19"/>
  <c r="L29" i="19"/>
  <c r="M29" i="19"/>
  <c r="N29" i="19"/>
  <c r="O29" i="19"/>
  <c r="P29" i="19"/>
  <c r="Q29" i="19"/>
  <c r="R29" i="19"/>
  <c r="S29" i="19"/>
  <c r="T29" i="19"/>
  <c r="U29" i="19"/>
  <c r="V29" i="19"/>
  <c r="W29" i="19"/>
  <c r="X29" i="19"/>
  <c r="Z29" i="19"/>
  <c r="AA29" i="19"/>
  <c r="C30" i="19"/>
  <c r="D30" i="19"/>
  <c r="E30" i="19"/>
  <c r="F30" i="19"/>
  <c r="H30" i="19"/>
  <c r="I30" i="19"/>
  <c r="J30" i="19"/>
  <c r="K30" i="19"/>
  <c r="L30" i="19"/>
  <c r="M30" i="19"/>
  <c r="N30" i="19"/>
  <c r="O30" i="19"/>
  <c r="P30" i="19"/>
  <c r="Q30" i="19"/>
  <c r="R30" i="19"/>
  <c r="S30" i="19"/>
  <c r="T30" i="19"/>
  <c r="U30" i="19"/>
  <c r="V30" i="19"/>
  <c r="W30" i="19"/>
  <c r="X30" i="19"/>
  <c r="Y30" i="19"/>
  <c r="Z30" i="19"/>
  <c r="AA30" i="19"/>
  <c r="C31" i="19"/>
  <c r="D31" i="19"/>
  <c r="E31" i="19"/>
  <c r="F31" i="19"/>
  <c r="G31" i="19"/>
  <c r="I31" i="19"/>
  <c r="E11" i="19"/>
  <c r="D20" i="19"/>
  <c r="E20" i="19"/>
  <c r="K31" i="19"/>
  <c r="L31" i="19"/>
  <c r="M31" i="19"/>
  <c r="N31" i="19"/>
  <c r="O31" i="19"/>
  <c r="P31" i="19"/>
  <c r="Q31" i="19"/>
  <c r="R31" i="19"/>
  <c r="S31" i="19"/>
  <c r="T31" i="19"/>
  <c r="U31" i="19"/>
  <c r="V31" i="19"/>
  <c r="W31" i="19"/>
  <c r="Y31" i="19"/>
  <c r="Z31" i="19"/>
  <c r="AA31" i="19"/>
  <c r="C32" i="19"/>
  <c r="D32" i="19"/>
  <c r="E32" i="19"/>
  <c r="F32" i="19"/>
  <c r="G32" i="19"/>
  <c r="H32" i="19"/>
  <c r="K32" i="19"/>
  <c r="L32" i="19"/>
  <c r="M32" i="19"/>
  <c r="N32" i="19"/>
  <c r="O32" i="19"/>
  <c r="P32" i="19"/>
  <c r="Q32" i="19"/>
  <c r="R32" i="19"/>
  <c r="S32" i="19"/>
  <c r="T32" i="19"/>
  <c r="U32" i="19"/>
  <c r="V32" i="19"/>
  <c r="W32" i="19"/>
  <c r="X32" i="19"/>
  <c r="Y32" i="19"/>
  <c r="Z32" i="19"/>
  <c r="AA32" i="19"/>
  <c r="C33" i="19"/>
  <c r="D33" i="19"/>
  <c r="E33" i="19"/>
  <c r="F33" i="19"/>
  <c r="G33" i="19"/>
  <c r="K33" i="19"/>
  <c r="L33" i="19"/>
  <c r="M33" i="19"/>
  <c r="N33" i="19"/>
  <c r="O33" i="19"/>
  <c r="P33" i="19"/>
  <c r="Q33" i="19"/>
  <c r="R33" i="19"/>
  <c r="J42" i="19"/>
  <c r="S33" i="19"/>
  <c r="T33" i="19"/>
  <c r="U33" i="19"/>
  <c r="V33" i="19"/>
  <c r="W33" i="19"/>
  <c r="X33" i="19"/>
  <c r="Y33" i="19"/>
  <c r="Z33" i="19"/>
  <c r="AA33" i="19"/>
  <c r="C34" i="19"/>
  <c r="D34" i="19"/>
  <c r="E34" i="19"/>
  <c r="F34" i="19"/>
  <c r="G34" i="19"/>
  <c r="H34" i="19"/>
  <c r="I34" i="19"/>
  <c r="J34" i="19"/>
  <c r="S49" i="19"/>
  <c r="D17" i="19"/>
  <c r="E17" i="19"/>
  <c r="L49" i="19"/>
  <c r="S35" i="19"/>
  <c r="S34" i="19"/>
  <c r="K35" i="19"/>
  <c r="L34" i="19"/>
  <c r="M34" i="19"/>
  <c r="N34" i="19"/>
  <c r="O34" i="19"/>
  <c r="P34" i="19"/>
  <c r="K40" i="19"/>
  <c r="Q34" i="19"/>
  <c r="R34" i="19"/>
  <c r="Z43" i="19"/>
  <c r="T42" i="19"/>
  <c r="S43" i="19"/>
  <c r="K43" i="19"/>
  <c r="T34" i="19"/>
  <c r="K49" i="19"/>
  <c r="K44" i="19"/>
  <c r="U34" i="19"/>
  <c r="V34" i="19"/>
  <c r="W34" i="19"/>
  <c r="X41" i="19"/>
  <c r="R47" i="19"/>
  <c r="K47" i="19"/>
  <c r="X34" i="19"/>
  <c r="Y34" i="19"/>
  <c r="Z34" i="19"/>
  <c r="D21" i="19"/>
  <c r="E21" i="19"/>
  <c r="AA34" i="19"/>
  <c r="E3" i="19"/>
  <c r="C35" i="19"/>
  <c r="D35" i="19"/>
  <c r="E35" i="19"/>
  <c r="F35" i="19"/>
  <c r="G35" i="19"/>
  <c r="H35" i="19"/>
  <c r="I35" i="19"/>
  <c r="J35" i="19"/>
  <c r="E15" i="19"/>
  <c r="M35" i="19"/>
  <c r="N35" i="19"/>
  <c r="O35" i="19"/>
  <c r="P35" i="19"/>
  <c r="Q35" i="19"/>
  <c r="R35" i="19"/>
  <c r="T44" i="19"/>
  <c r="L43" i="19"/>
  <c r="T35" i="19"/>
  <c r="U35" i="19"/>
  <c r="V35" i="19"/>
  <c r="W35" i="19"/>
  <c r="X35" i="19"/>
  <c r="Y35" i="19"/>
  <c r="Z35" i="19"/>
  <c r="AA35" i="19"/>
  <c r="C36" i="19"/>
  <c r="D36" i="19"/>
  <c r="E36" i="19"/>
  <c r="F36" i="19"/>
  <c r="G36" i="19"/>
  <c r="H36" i="19"/>
  <c r="I36" i="19"/>
  <c r="J36" i="19"/>
  <c r="K36" i="19"/>
  <c r="L36" i="19"/>
  <c r="N36" i="19"/>
  <c r="O36" i="19"/>
  <c r="P36" i="19"/>
  <c r="Q36" i="19"/>
  <c r="R36" i="19"/>
  <c r="S36" i="19"/>
  <c r="M43" i="19"/>
  <c r="T36" i="19"/>
  <c r="U36" i="19"/>
  <c r="V36" i="19"/>
  <c r="W36" i="19"/>
  <c r="X36" i="19"/>
  <c r="Y36" i="19"/>
  <c r="Z36" i="19"/>
  <c r="AA36" i="19"/>
  <c r="C37" i="19"/>
  <c r="D37" i="19"/>
  <c r="E37" i="19"/>
  <c r="F37" i="19"/>
  <c r="G37" i="19"/>
  <c r="H37" i="19"/>
  <c r="I37" i="19"/>
  <c r="J37" i="19"/>
  <c r="K37" i="19"/>
  <c r="L37" i="19"/>
  <c r="M37" i="19"/>
  <c r="O37" i="19"/>
  <c r="P37" i="19"/>
  <c r="Q37" i="19"/>
  <c r="R37" i="19"/>
  <c r="S37" i="19"/>
  <c r="T37" i="19"/>
  <c r="U37" i="19"/>
  <c r="V37" i="19"/>
  <c r="W37" i="19"/>
  <c r="N47" i="19"/>
  <c r="X37" i="19"/>
  <c r="Y37" i="19"/>
  <c r="Z37" i="19"/>
  <c r="AA37" i="19"/>
  <c r="C38" i="19"/>
  <c r="E4" i="19"/>
  <c r="D38" i="19"/>
  <c r="E38" i="19"/>
  <c r="F38" i="19"/>
  <c r="G38" i="19"/>
  <c r="H38" i="19"/>
  <c r="I38" i="19"/>
  <c r="J38" i="19"/>
  <c r="K38" i="19"/>
  <c r="L38" i="19"/>
  <c r="M38" i="19"/>
  <c r="N38" i="19"/>
  <c r="P38" i="19"/>
  <c r="Q38" i="19"/>
  <c r="R38" i="19"/>
  <c r="S38" i="19"/>
  <c r="T38" i="19"/>
  <c r="U38" i="19"/>
  <c r="V38" i="19"/>
  <c r="W38" i="19"/>
  <c r="X38" i="19"/>
  <c r="Y38" i="19"/>
  <c r="Z38" i="19"/>
  <c r="AA38" i="19"/>
  <c r="C39" i="19"/>
  <c r="D39" i="19"/>
  <c r="E5" i="19"/>
  <c r="E39" i="19"/>
  <c r="E7" i="19"/>
  <c r="F39" i="19"/>
  <c r="E8" i="19"/>
  <c r="G39" i="19"/>
  <c r="H39" i="19"/>
  <c r="E12" i="19"/>
  <c r="I39" i="19"/>
  <c r="J39" i="19"/>
  <c r="K39" i="19"/>
  <c r="L39" i="19"/>
  <c r="M39" i="19"/>
  <c r="N39" i="19"/>
  <c r="O39" i="19"/>
  <c r="Q39" i="19"/>
  <c r="R39" i="19"/>
  <c r="S39" i="19"/>
  <c r="T39" i="19"/>
  <c r="U39" i="19"/>
  <c r="V39" i="19"/>
  <c r="X39" i="19"/>
  <c r="Y39" i="19"/>
  <c r="Z39" i="19"/>
  <c r="AA39" i="19"/>
  <c r="E10" i="19"/>
  <c r="C40" i="19"/>
  <c r="D40" i="19"/>
  <c r="E40" i="19"/>
  <c r="F40" i="19"/>
  <c r="G40" i="19"/>
  <c r="H40" i="19"/>
  <c r="I40" i="19"/>
  <c r="J40" i="19"/>
  <c r="E14" i="19"/>
  <c r="L40" i="19"/>
  <c r="M40" i="19"/>
  <c r="N40" i="19"/>
  <c r="O40" i="19"/>
  <c r="P40" i="19"/>
  <c r="R40" i="19"/>
  <c r="S40" i="19"/>
  <c r="T40" i="19"/>
  <c r="U40" i="19"/>
  <c r="V40" i="19"/>
  <c r="W40" i="19"/>
  <c r="X40" i="19"/>
  <c r="Y40" i="19"/>
  <c r="Z40" i="19"/>
  <c r="AA40" i="19"/>
  <c r="C41" i="19"/>
  <c r="D41" i="19"/>
  <c r="E41" i="19"/>
  <c r="F41" i="19"/>
  <c r="G41" i="19"/>
  <c r="H41" i="19"/>
  <c r="I41" i="19"/>
  <c r="J41" i="19"/>
  <c r="L41" i="19"/>
  <c r="M41" i="19"/>
  <c r="E16" i="19"/>
  <c r="N41" i="19"/>
  <c r="O41" i="19"/>
  <c r="P41" i="19"/>
  <c r="Q41" i="19"/>
  <c r="S41" i="19"/>
  <c r="T41" i="19"/>
  <c r="U41" i="19"/>
  <c r="V41" i="19"/>
  <c r="W41" i="19"/>
  <c r="Y41" i="19"/>
  <c r="Z41" i="19"/>
  <c r="AA41" i="19"/>
  <c r="C42" i="19"/>
  <c r="D42" i="19"/>
  <c r="E42" i="19"/>
  <c r="F42" i="19"/>
  <c r="G42" i="19"/>
  <c r="I42" i="19"/>
  <c r="E13" i="19"/>
  <c r="K42" i="19"/>
  <c r="L42" i="19"/>
  <c r="M42" i="19"/>
  <c r="N42" i="19"/>
  <c r="O42" i="19"/>
  <c r="P42" i="19"/>
  <c r="Q42" i="19"/>
  <c r="R42" i="19"/>
  <c r="U42" i="19"/>
  <c r="V42" i="19"/>
  <c r="W42" i="19"/>
  <c r="X42" i="19"/>
  <c r="Y42" i="19"/>
  <c r="AA42" i="19"/>
  <c r="C43" i="19"/>
  <c r="D43" i="19"/>
  <c r="E43" i="19"/>
  <c r="F43" i="19"/>
  <c r="G43" i="19"/>
  <c r="H43" i="19"/>
  <c r="I43" i="19"/>
  <c r="J43" i="19"/>
  <c r="N43" i="19"/>
  <c r="O43" i="19"/>
  <c r="P43" i="19"/>
  <c r="Q43" i="19"/>
  <c r="R43" i="19"/>
  <c r="V43" i="19"/>
  <c r="W43" i="19"/>
  <c r="X43" i="19"/>
  <c r="Y43" i="19"/>
  <c r="AA43" i="19"/>
  <c r="C44" i="19"/>
  <c r="D44" i="19"/>
  <c r="E44" i="19"/>
  <c r="F44" i="19"/>
  <c r="G44" i="19"/>
  <c r="H44" i="19"/>
  <c r="I44" i="19"/>
  <c r="J44" i="19"/>
  <c r="L44" i="19"/>
  <c r="M44" i="19"/>
  <c r="N44" i="19"/>
  <c r="O44" i="19"/>
  <c r="P44" i="19"/>
  <c r="Q44" i="19"/>
  <c r="R44" i="19"/>
  <c r="S44" i="19"/>
  <c r="V44" i="19"/>
  <c r="W44" i="19"/>
  <c r="X44" i="19"/>
  <c r="Y44" i="19"/>
  <c r="AA44" i="19"/>
  <c r="C45" i="19"/>
  <c r="D45" i="19"/>
  <c r="E45" i="19"/>
  <c r="F45" i="19"/>
  <c r="G45" i="19"/>
  <c r="E19" i="19"/>
  <c r="K45" i="19"/>
  <c r="H45" i="19"/>
  <c r="I45" i="19"/>
  <c r="J45" i="19"/>
  <c r="L45" i="19"/>
  <c r="M45" i="19"/>
  <c r="N45" i="19"/>
  <c r="O45" i="19"/>
  <c r="P45" i="19"/>
  <c r="Q45" i="19"/>
  <c r="R45" i="19"/>
  <c r="T45" i="19"/>
  <c r="U45" i="19"/>
  <c r="W45" i="19"/>
  <c r="X45" i="19"/>
  <c r="Y45" i="19"/>
  <c r="Z45" i="19"/>
  <c r="AA45" i="19"/>
  <c r="C46" i="19"/>
  <c r="D46" i="19"/>
  <c r="E46" i="19"/>
  <c r="F46" i="19"/>
  <c r="G46" i="19"/>
  <c r="H46" i="19"/>
  <c r="I46" i="19"/>
  <c r="J46" i="19"/>
  <c r="K46" i="19"/>
  <c r="L46" i="19"/>
  <c r="M46" i="19"/>
  <c r="N46" i="19"/>
  <c r="O46" i="19"/>
  <c r="P46" i="19"/>
  <c r="Q46" i="19"/>
  <c r="R46" i="19"/>
  <c r="S46" i="19"/>
  <c r="T46" i="19"/>
  <c r="U46" i="19"/>
  <c r="V46" i="19"/>
  <c r="X46" i="19"/>
  <c r="Y46" i="19"/>
  <c r="Z46" i="19"/>
  <c r="AA46" i="19"/>
  <c r="C47" i="19"/>
  <c r="D47" i="19"/>
  <c r="E47" i="19"/>
  <c r="F47" i="19"/>
  <c r="G47" i="19"/>
  <c r="H47" i="19"/>
  <c r="I47" i="19"/>
  <c r="J47" i="19"/>
  <c r="L47" i="19"/>
  <c r="M47" i="19"/>
  <c r="O47" i="19"/>
  <c r="P47" i="19"/>
  <c r="Q47" i="19"/>
  <c r="S47" i="19"/>
  <c r="T47" i="19"/>
  <c r="U47" i="19"/>
  <c r="V47" i="19"/>
  <c r="W47" i="19"/>
  <c r="Y47" i="19"/>
  <c r="Z47" i="19"/>
  <c r="AA47" i="19"/>
  <c r="C48" i="19"/>
  <c r="D48" i="19"/>
  <c r="E48" i="19"/>
  <c r="F48" i="19"/>
  <c r="G48" i="19"/>
  <c r="H48" i="19"/>
  <c r="I48" i="19"/>
  <c r="J48" i="19"/>
  <c r="K48" i="19"/>
  <c r="L48" i="19"/>
  <c r="M48" i="19"/>
  <c r="N48" i="19"/>
  <c r="O48" i="19"/>
  <c r="P48" i="19"/>
  <c r="Q48" i="19"/>
  <c r="R48" i="19"/>
  <c r="S48" i="19"/>
  <c r="T48" i="19"/>
  <c r="U48" i="19"/>
  <c r="V48" i="19"/>
  <c r="W48" i="19"/>
  <c r="X48" i="19"/>
  <c r="Z48" i="19"/>
  <c r="AA48" i="19"/>
  <c r="C49" i="19"/>
  <c r="D49" i="19"/>
  <c r="E49" i="19"/>
  <c r="F49" i="19"/>
  <c r="G49" i="19"/>
  <c r="H49" i="19"/>
  <c r="I49" i="19"/>
  <c r="J49" i="19"/>
  <c r="M49" i="19"/>
  <c r="N49" i="19"/>
  <c r="O49" i="19"/>
  <c r="P49" i="19"/>
  <c r="Q49" i="19"/>
  <c r="R49" i="19"/>
  <c r="T49" i="19"/>
  <c r="V49" i="19"/>
  <c r="W49" i="19"/>
  <c r="X49" i="19"/>
  <c r="Y49" i="19"/>
  <c r="AA49" i="19"/>
  <c r="C50" i="19"/>
  <c r="D50" i="19"/>
  <c r="E50" i="19"/>
  <c r="F50" i="19"/>
  <c r="G50" i="19"/>
  <c r="H50" i="19"/>
  <c r="I50" i="19"/>
  <c r="J50" i="19"/>
  <c r="K50" i="19"/>
  <c r="L50" i="19"/>
  <c r="M50" i="19"/>
  <c r="N50" i="19"/>
  <c r="O50" i="19"/>
  <c r="P50" i="19"/>
  <c r="Q50" i="19"/>
  <c r="R50" i="19"/>
  <c r="S50" i="19"/>
  <c r="T50" i="19"/>
  <c r="U50" i="19"/>
  <c r="V50" i="19"/>
  <c r="W50" i="19"/>
  <c r="X50" i="19"/>
  <c r="Y50" i="19"/>
  <c r="Z50" i="19"/>
  <c r="AH21" i="34"/>
  <c r="Q21" i="34"/>
  <c r="AF21" i="34"/>
  <c r="AJ21" i="34"/>
  <c r="AL20" i="34"/>
  <c r="AJ20" i="34"/>
  <c r="AL21" i="34"/>
  <c r="G21" i="34"/>
  <c r="F22" i="34"/>
  <c r="AG22" i="34"/>
  <c r="AH22" i="34"/>
  <c r="Q22" i="34"/>
  <c r="AF22" i="34"/>
  <c r="AJ22" i="34"/>
  <c r="AL22" i="34"/>
  <c r="G22" i="34"/>
  <c r="F23" i="34"/>
  <c r="AG23" i="34"/>
  <c r="AH23" i="34"/>
  <c r="Q23" i="34"/>
  <c r="AF23" i="34"/>
  <c r="AJ23" i="34"/>
  <c r="AL23" i="34"/>
  <c r="G23" i="34"/>
  <c r="F24" i="34"/>
  <c r="AG24" i="34"/>
  <c r="AH24" i="34"/>
  <c r="Q24" i="34"/>
  <c r="AF24" i="34"/>
  <c r="AJ24" i="34"/>
  <c r="AL24" i="34"/>
  <c r="G24" i="34"/>
  <c r="G25" i="34"/>
  <c r="AA8" i="12"/>
  <c r="N21" i="34"/>
  <c r="V21" i="34"/>
  <c r="Y19" i="34"/>
  <c r="W21" i="34"/>
  <c r="R21" i="34"/>
  <c r="Y21" i="34"/>
  <c r="N22" i="34"/>
  <c r="V22" i="34"/>
  <c r="W22" i="34"/>
  <c r="R22" i="34"/>
  <c r="Y22" i="34"/>
  <c r="N23" i="34"/>
  <c r="V23" i="34"/>
  <c r="W23" i="34"/>
  <c r="R23" i="34"/>
  <c r="Y23" i="34"/>
  <c r="N24" i="34"/>
  <c r="V24" i="34"/>
  <c r="W24" i="34"/>
  <c r="R24" i="34"/>
  <c r="Y24" i="34"/>
  <c r="Y25" i="34"/>
  <c r="I25" i="34"/>
  <c r="S21" i="34"/>
  <c r="Z21" i="34"/>
  <c r="S22" i="34"/>
  <c r="Z22" i="34"/>
  <c r="S23" i="34"/>
  <c r="Z23" i="34"/>
  <c r="S24" i="34"/>
  <c r="Z24" i="34"/>
  <c r="Z25" i="34"/>
  <c r="J25" i="34"/>
  <c r="T21" i="34"/>
  <c r="AA21" i="34"/>
  <c r="T22" i="34"/>
  <c r="AA22" i="34"/>
  <c r="T23" i="34"/>
  <c r="AA23" i="34"/>
  <c r="T24" i="34"/>
  <c r="AA24" i="34"/>
  <c r="AA25" i="34"/>
  <c r="K25" i="34"/>
  <c r="U21" i="34"/>
  <c r="AB21" i="34"/>
  <c r="U22" i="34"/>
  <c r="AB22" i="34"/>
  <c r="U23" i="34"/>
  <c r="AB23" i="34"/>
  <c r="U24" i="34"/>
  <c r="AB24" i="34"/>
  <c r="AB25" i="34"/>
  <c r="L25" i="34"/>
  <c r="F34" i="34"/>
  <c r="AG34" i="34"/>
  <c r="AH34" i="34"/>
  <c r="Q34" i="34"/>
  <c r="AF34" i="34"/>
  <c r="AJ34" i="34"/>
  <c r="AL33" i="34"/>
  <c r="AJ33" i="34"/>
  <c r="AL34" i="34"/>
  <c r="G34" i="34"/>
  <c r="F40" i="34"/>
  <c r="AG40" i="34"/>
  <c r="AH40" i="34"/>
  <c r="Q40" i="34"/>
  <c r="AF40" i="34"/>
  <c r="AJ40" i="34"/>
  <c r="AL40" i="34"/>
  <c r="G40" i="34"/>
  <c r="F46" i="34"/>
  <c r="AG46" i="34"/>
  <c r="AH46" i="34"/>
  <c r="Q46" i="34"/>
  <c r="AF46" i="34"/>
  <c r="AJ46" i="34"/>
  <c r="AL46" i="34"/>
  <c r="G46" i="34"/>
  <c r="F52" i="34"/>
  <c r="AG52" i="34"/>
  <c r="AH52" i="34"/>
  <c r="Q52" i="34"/>
  <c r="AF52" i="34"/>
  <c r="AJ52" i="34"/>
  <c r="AL52" i="34"/>
  <c r="G52" i="34"/>
  <c r="G58" i="34"/>
  <c r="V34" i="34"/>
  <c r="W34" i="34"/>
  <c r="R34" i="34"/>
  <c r="Y34" i="34"/>
  <c r="N40" i="34"/>
  <c r="V40" i="34"/>
  <c r="W40" i="34"/>
  <c r="R40" i="34"/>
  <c r="Y40" i="34"/>
  <c r="V46" i="34"/>
  <c r="W46" i="34"/>
  <c r="R46" i="34"/>
  <c r="Y46" i="34"/>
  <c r="N52" i="34"/>
  <c r="V52" i="34"/>
  <c r="W52" i="34"/>
  <c r="R52" i="34"/>
  <c r="Y52" i="34"/>
  <c r="Y58" i="34"/>
  <c r="I58" i="34"/>
  <c r="S34" i="34"/>
  <c r="Z34" i="34"/>
  <c r="S40" i="34"/>
  <c r="Z40" i="34"/>
  <c r="S46" i="34"/>
  <c r="Z46" i="34"/>
  <c r="S52" i="34"/>
  <c r="Z52" i="34"/>
  <c r="Z58" i="34"/>
  <c r="J58" i="34"/>
  <c r="T34" i="34"/>
  <c r="AA34" i="34"/>
  <c r="T40" i="34"/>
  <c r="AA40" i="34"/>
  <c r="T46" i="34"/>
  <c r="AA46" i="34"/>
  <c r="T52" i="34"/>
  <c r="AA52" i="34"/>
  <c r="AA58" i="34"/>
  <c r="K58" i="34"/>
  <c r="U34" i="34"/>
  <c r="AB34" i="34"/>
  <c r="U40" i="34"/>
  <c r="AB40" i="34"/>
  <c r="U46" i="34"/>
  <c r="AB46" i="34"/>
  <c r="U52" i="34"/>
  <c r="AB52" i="34"/>
  <c r="AB58" i="34"/>
  <c r="L58" i="34"/>
  <c r="Q9" i="34"/>
  <c r="Q10" i="34"/>
  <c r="Q11" i="34"/>
  <c r="Q12" i="34"/>
  <c r="Q13" i="34"/>
  <c r="X30" i="12"/>
  <c r="F9" i="34"/>
  <c r="AG9" i="34"/>
  <c r="AH9" i="34"/>
  <c r="AF9" i="34"/>
  <c r="AJ9" i="34"/>
  <c r="AL8" i="34"/>
  <c r="AL9" i="34"/>
  <c r="G9" i="34"/>
  <c r="F10" i="34"/>
  <c r="AG10" i="34"/>
  <c r="AH10" i="34"/>
  <c r="AF10" i="34"/>
  <c r="AJ10" i="34"/>
  <c r="AL10" i="34"/>
  <c r="G10" i="34"/>
  <c r="F11" i="34"/>
  <c r="AG11" i="34"/>
  <c r="AH11" i="34"/>
  <c r="AF11" i="34"/>
  <c r="AJ11" i="34"/>
  <c r="AL11" i="34"/>
  <c r="G11" i="34"/>
  <c r="F12" i="34"/>
  <c r="AG12" i="34"/>
  <c r="AH12" i="34"/>
  <c r="AF12" i="34"/>
  <c r="AJ12" i="34"/>
  <c r="AL12" i="34"/>
  <c r="G12" i="34"/>
  <c r="G13" i="34"/>
  <c r="N9" i="34"/>
  <c r="V9" i="34"/>
  <c r="Y7" i="34"/>
  <c r="W9" i="34"/>
  <c r="R9" i="34"/>
  <c r="Y9" i="34"/>
  <c r="N10" i="34"/>
  <c r="V10" i="34"/>
  <c r="W10" i="34"/>
  <c r="R10" i="34"/>
  <c r="Y10" i="34"/>
  <c r="N11" i="34"/>
  <c r="V11" i="34"/>
  <c r="W11" i="34"/>
  <c r="R11" i="34"/>
  <c r="Y11" i="34"/>
  <c r="N12" i="34"/>
  <c r="V12" i="34"/>
  <c r="W12" i="34"/>
  <c r="R12" i="34"/>
  <c r="Y12" i="34"/>
  <c r="Y13" i="34"/>
  <c r="I13" i="34"/>
  <c r="S9" i="34"/>
  <c r="Z9" i="34"/>
  <c r="S10" i="34"/>
  <c r="Z10" i="34"/>
  <c r="S11" i="34"/>
  <c r="Z11" i="34"/>
  <c r="S12" i="34"/>
  <c r="Z12" i="34"/>
  <c r="Z13" i="34"/>
  <c r="J13" i="34"/>
  <c r="T9" i="34"/>
  <c r="AA9" i="34"/>
  <c r="T10" i="34"/>
  <c r="AA10" i="34"/>
  <c r="T11" i="34"/>
  <c r="AA11" i="34"/>
  <c r="T12" i="34"/>
  <c r="AA12" i="34"/>
  <c r="AA13" i="34"/>
  <c r="K13" i="34"/>
  <c r="U9" i="34"/>
  <c r="AB9" i="34"/>
  <c r="U10" i="34"/>
  <c r="AB10" i="34"/>
  <c r="U11" i="34"/>
  <c r="AB11" i="34"/>
  <c r="U12" i="34"/>
  <c r="AB12" i="34"/>
  <c r="AB13" i="34"/>
  <c r="L13" i="34"/>
  <c r="Q25" i="34"/>
  <c r="X31" i="12"/>
  <c r="Q58" i="34"/>
  <c r="X32" i="12"/>
  <c r="X16" i="12"/>
  <c r="X18" i="12"/>
  <c r="X19" i="12"/>
  <c r="X20" i="12"/>
  <c r="X21" i="12"/>
  <c r="X33" i="12"/>
  <c r="X34" i="12"/>
  <c r="X35" i="12"/>
  <c r="X36" i="12"/>
  <c r="X37" i="12"/>
  <c r="X38" i="12"/>
  <c r="X39" i="12"/>
  <c r="X40" i="12"/>
  <c r="X41" i="12"/>
  <c r="X42" i="12"/>
  <c r="X43" i="12"/>
  <c r="X44" i="12"/>
  <c r="X45" i="12"/>
  <c r="X46" i="12"/>
  <c r="X47" i="12"/>
  <c r="X48" i="12"/>
  <c r="X49" i="12"/>
  <c r="X50" i="12"/>
  <c r="X51" i="12"/>
  <c r="X52" i="12"/>
  <c r="X53" i="12"/>
  <c r="X54" i="12"/>
  <c r="X55" i="12"/>
  <c r="X56" i="12"/>
  <c r="X57" i="12"/>
  <c r="X58" i="12"/>
  <c r="X59" i="12"/>
  <c r="X60" i="12"/>
  <c r="X61" i="12"/>
  <c r="X62" i="12"/>
  <c r="X63" i="12"/>
  <c r="X64" i="12"/>
  <c r="X65" i="12"/>
  <c r="X66" i="12"/>
  <c r="X67" i="12"/>
  <c r="X76" i="12"/>
  <c r="X77" i="12"/>
  <c r="X78" i="12"/>
  <c r="X79" i="12"/>
  <c r="X80" i="12"/>
  <c r="X81" i="12"/>
  <c r="X82" i="12"/>
  <c r="X83" i="12"/>
  <c r="X84" i="12"/>
  <c r="X85" i="12"/>
  <c r="X86" i="12"/>
  <c r="X97" i="12"/>
  <c r="X98" i="12"/>
  <c r="X99" i="12"/>
  <c r="X100" i="12"/>
  <c r="X101" i="12"/>
  <c r="X102" i="12"/>
  <c r="X11" i="12"/>
  <c r="X13" i="12"/>
  <c r="W13" i="45"/>
  <c r="C6" i="45"/>
  <c r="AN16" i="12"/>
  <c r="E16" i="54"/>
  <c r="AO15" i="54"/>
  <c r="BZ94" i="54"/>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AO18" i="12"/>
  <c r="AS22" i="12"/>
  <c r="AS18" i="12"/>
  <c r="AP18" i="12"/>
  <c r="AN18" i="12"/>
  <c r="AR18" i="12"/>
  <c r="F19" i="12"/>
  <c r="AO19" i="12"/>
  <c r="AS19" i="12"/>
  <c r="AP19" i="12"/>
  <c r="AN19" i="12"/>
  <c r="AR19" i="12"/>
  <c r="F20" i="12"/>
  <c r="AO20" i="12"/>
  <c r="AS20" i="12"/>
  <c r="AP20" i="12"/>
  <c r="AN20" i="12"/>
  <c r="AR20" i="12"/>
  <c r="F21" i="12"/>
  <c r="AO21" i="12"/>
  <c r="AS21" i="12"/>
  <c r="AP21" i="12"/>
  <c r="AN21" i="12"/>
  <c r="AR21" i="12"/>
  <c r="AR22" i="12"/>
  <c r="AU22" i="12"/>
  <c r="AT22" i="12"/>
  <c r="F97" i="12"/>
  <c r="AQ97" i="12"/>
  <c r="AT29" i="12"/>
  <c r="AR97" i="12"/>
  <c r="AP97" i="12"/>
  <c r="AT97" i="12"/>
  <c r="AT96" i="12"/>
  <c r="AV96" i="12"/>
  <c r="AV97" i="12"/>
  <c r="E97" i="54"/>
  <c r="AD18" i="54"/>
  <c r="AN18" i="54"/>
  <c r="AE18" i="54"/>
  <c r="F18" i="54"/>
  <c r="AO18" i="54"/>
  <c r="AS18" i="54"/>
  <c r="AP18" i="54"/>
  <c r="AR18" i="54"/>
  <c r="AU18" i="54"/>
  <c r="AT18" i="54"/>
  <c r="G97" i="54"/>
  <c r="AP97" i="54"/>
  <c r="H97" i="54"/>
  <c r="AQ97" i="54"/>
  <c r="AT29" i="54"/>
  <c r="AR97" i="54"/>
  <c r="AT97" i="54"/>
  <c r="X97" i="54"/>
  <c r="Y97" i="12"/>
  <c r="Y97" i="54"/>
  <c r="AA97" i="54"/>
  <c r="N97" i="12"/>
  <c r="AE97" i="54"/>
  <c r="AA9" i="12"/>
  <c r="AG27" i="54"/>
  <c r="AF97" i="54"/>
  <c r="AH97" i="54"/>
  <c r="E6" i="30"/>
  <c r="F6" i="30"/>
  <c r="G6" i="30"/>
  <c r="H6" i="30"/>
  <c r="I6" i="30"/>
  <c r="J6" i="30"/>
  <c r="K6" i="30"/>
  <c r="L6" i="30"/>
  <c r="M6" i="30"/>
  <c r="N6" i="30"/>
  <c r="O6" i="30"/>
  <c r="P6" i="30"/>
  <c r="Q6" i="30"/>
  <c r="R6" i="30"/>
  <c r="S6" i="30"/>
  <c r="T6" i="30"/>
  <c r="U6" i="30"/>
  <c r="V6" i="30"/>
  <c r="W6" i="30"/>
  <c r="X6" i="30"/>
  <c r="Y6" i="30"/>
  <c r="Z6" i="30"/>
  <c r="AA6" i="30"/>
  <c r="AB6" i="30"/>
  <c r="AC6" i="30"/>
  <c r="AD6" i="30"/>
  <c r="AE6" i="30"/>
  <c r="AF6" i="30"/>
  <c r="AG6" i="30"/>
  <c r="AH6" i="30"/>
  <c r="AI6" i="30"/>
  <c r="AJ6" i="30"/>
  <c r="AK6" i="30"/>
  <c r="AL6" i="30"/>
  <c r="AM6" i="30"/>
  <c r="AN6" i="30"/>
  <c r="AO6" i="30"/>
  <c r="AP6" i="30"/>
  <c r="AQ6" i="30"/>
  <c r="AR6" i="30"/>
  <c r="AS6" i="30"/>
  <c r="AT6" i="30"/>
  <c r="AU6" i="30"/>
  <c r="AV6" i="30"/>
  <c r="AW6" i="30"/>
  <c r="AX6" i="30"/>
  <c r="AY6" i="30"/>
  <c r="AZ6" i="30"/>
  <c r="BA6" i="30"/>
  <c r="BB6" i="30"/>
  <c r="BC6" i="30"/>
  <c r="BD6" i="30"/>
  <c r="BE6" i="30"/>
  <c r="BF6" i="30"/>
  <c r="BZ97" i="54" a="1"/>
  <c r="BZ97" i="54"/>
  <c r="F98" i="12"/>
  <c r="AQ98" i="12"/>
  <c r="AR98" i="12"/>
  <c r="AP98" i="12"/>
  <c r="AT98" i="12"/>
  <c r="AV98" i="12"/>
  <c r="E98" i="54"/>
  <c r="G98" i="54"/>
  <c r="AP98" i="54"/>
  <c r="H98" i="54"/>
  <c r="AQ98" i="54"/>
  <c r="AR98" i="54"/>
  <c r="AT98" i="54"/>
  <c r="X98" i="54"/>
  <c r="Y98" i="12"/>
  <c r="Y98" i="54"/>
  <c r="AA98" i="54"/>
  <c r="N98" i="12"/>
  <c r="AE98" i="54"/>
  <c r="AF98" i="54"/>
  <c r="AH98" i="54"/>
  <c r="BZ98" i="54" a="1"/>
  <c r="BZ98" i="54"/>
  <c r="F99" i="12"/>
  <c r="AQ99" i="12"/>
  <c r="AR99" i="12"/>
  <c r="AP99" i="12"/>
  <c r="AT99" i="12"/>
  <c r="AV99" i="12"/>
  <c r="E99" i="54"/>
  <c r="G99" i="54"/>
  <c r="AP99" i="54"/>
  <c r="H99" i="54"/>
  <c r="AQ99" i="54"/>
  <c r="AR99" i="54"/>
  <c r="AT99" i="54"/>
  <c r="X99" i="54"/>
  <c r="Y99" i="12"/>
  <c r="Y99" i="54"/>
  <c r="AA99" i="54"/>
  <c r="N99" i="12"/>
  <c r="AE99" i="54"/>
  <c r="AF99" i="54"/>
  <c r="AH99" i="54"/>
  <c r="BZ99" i="54" a="1"/>
  <c r="F100" i="12"/>
  <c r="AQ100" i="12"/>
  <c r="AR100" i="12"/>
  <c r="AP100" i="12"/>
  <c r="AT100" i="12"/>
  <c r="AV100" i="12"/>
  <c r="E100" i="54"/>
  <c r="G100" i="54"/>
  <c r="AP100" i="54"/>
  <c r="H100" i="54"/>
  <c r="AQ100" i="54"/>
  <c r="AR100" i="54"/>
  <c r="AT100" i="54"/>
  <c r="X100" i="54"/>
  <c r="Y100" i="12"/>
  <c r="Y100" i="54"/>
  <c r="AA100" i="54"/>
  <c r="N100" i="12"/>
  <c r="AE100" i="54"/>
  <c r="AF100" i="54"/>
  <c r="AH100" i="54"/>
  <c r="BZ100" i="54" a="1"/>
  <c r="F101" i="12"/>
  <c r="AQ101" i="12"/>
  <c r="AR101" i="12"/>
  <c r="AP101" i="12"/>
  <c r="AT101" i="12"/>
  <c r="AV101" i="12"/>
  <c r="E101" i="54"/>
  <c r="G101" i="54"/>
  <c r="AP101" i="54"/>
  <c r="H101" i="54"/>
  <c r="AQ101" i="54"/>
  <c r="AR101" i="54"/>
  <c r="AT101" i="54"/>
  <c r="X101" i="54"/>
  <c r="Y101" i="12"/>
  <c r="Y101" i="54"/>
  <c r="AA101" i="54"/>
  <c r="N101" i="12"/>
  <c r="AE101" i="54"/>
  <c r="AF101" i="54"/>
  <c r="AH101" i="54"/>
  <c r="BZ101" i="54" a="1"/>
  <c r="F102" i="12"/>
  <c r="AQ102" i="12"/>
  <c r="AR102" i="12"/>
  <c r="AP102" i="12"/>
  <c r="AT102" i="12"/>
  <c r="AV102" i="12"/>
  <c r="E102" i="54"/>
  <c r="G102" i="54"/>
  <c r="AP102" i="54"/>
  <c r="H102" i="54"/>
  <c r="AQ102" i="54"/>
  <c r="AR102" i="54"/>
  <c r="AT102" i="54"/>
  <c r="X102" i="54"/>
  <c r="Y102" i="12"/>
  <c r="Y102" i="54"/>
  <c r="AA102" i="54"/>
  <c r="N102" i="12"/>
  <c r="AE102" i="54"/>
  <c r="AF102" i="54"/>
  <c r="AH102" i="54"/>
  <c r="BZ102" i="54" a="1"/>
  <c r="BZ99" i="54"/>
  <c r="BZ100" i="54"/>
  <c r="BZ101" i="54"/>
  <c r="BZ102" i="54"/>
  <c r="BZ103" i="54"/>
  <c r="CN94" i="54"/>
  <c r="AB97" i="54"/>
  <c r="AI97" i="54"/>
  <c r="CN97" i="54" a="1"/>
  <c r="CN97" i="54"/>
  <c r="AB98" i="54"/>
  <c r="AI98" i="54"/>
  <c r="CN98" i="54" a="1"/>
  <c r="CN98" i="54"/>
  <c r="AB99" i="54"/>
  <c r="AI99" i="54"/>
  <c r="CN99" i="54" a="1"/>
  <c r="AB100" i="54"/>
  <c r="AI100" i="54"/>
  <c r="CN100" i="54" a="1"/>
  <c r="AB101" i="54"/>
  <c r="AI101" i="54"/>
  <c r="CN101" i="54" a="1"/>
  <c r="AB102" i="54"/>
  <c r="AI102" i="54"/>
  <c r="CN102" i="54" a="1"/>
  <c r="CN99" i="54"/>
  <c r="CN100" i="54"/>
  <c r="CN101" i="54"/>
  <c r="CN102" i="54"/>
  <c r="CN103" i="54"/>
  <c r="DB94" i="54"/>
  <c r="DB97" i="54" a="1"/>
  <c r="DB97" i="54"/>
  <c r="DB98" i="54" a="1"/>
  <c r="DB98" i="54"/>
  <c r="DB99" i="54" a="1"/>
  <c r="DB100" i="54" a="1"/>
  <c r="DB101" i="54" a="1"/>
  <c r="DB102" i="54" a="1"/>
  <c r="DB99" i="54"/>
  <c r="DB100" i="54"/>
  <c r="DB101" i="54"/>
  <c r="DB102" i="54"/>
  <c r="DB103" i="54"/>
  <c r="DP94" i="54"/>
  <c r="DP97" i="54" a="1"/>
  <c r="DP97" i="54"/>
  <c r="DP98" i="54" a="1"/>
  <c r="DP98" i="54"/>
  <c r="DP99" i="54" a="1"/>
  <c r="DP100" i="54" a="1"/>
  <c r="DP101" i="54" a="1"/>
  <c r="DP102" i="54" a="1"/>
  <c r="DP99" i="54"/>
  <c r="DP100" i="54"/>
  <c r="DP101" i="54"/>
  <c r="DP102" i="54"/>
  <c r="DP103" i="54"/>
  <c r="BZ108" i="54"/>
  <c r="BY94" i="54"/>
  <c r="BY97" i="54" a="1"/>
  <c r="BY97" i="54"/>
  <c r="BY98" i="54" a="1"/>
  <c r="BY98" i="54"/>
  <c r="BY99" i="54" a="1"/>
  <c r="BY100" i="54" a="1"/>
  <c r="BY101" i="54" a="1"/>
  <c r="BY102" i="54" a="1"/>
  <c r="BY99" i="54"/>
  <c r="BY100" i="54"/>
  <c r="BY101" i="54"/>
  <c r="BY102" i="54"/>
  <c r="BY103" i="54"/>
  <c r="CM94" i="54"/>
  <c r="CM97" i="54" a="1"/>
  <c r="CM97" i="54"/>
  <c r="CM98" i="54" a="1"/>
  <c r="CM98" i="54"/>
  <c r="CM99" i="54" a="1"/>
  <c r="CM100" i="54" a="1"/>
  <c r="CM101" i="54" a="1"/>
  <c r="CM102" i="54" a="1"/>
  <c r="CM99" i="54"/>
  <c r="CM100" i="54"/>
  <c r="CM101" i="54"/>
  <c r="CM102" i="54"/>
  <c r="CM103" i="54"/>
  <c r="DA94" i="54"/>
  <c r="DA97" i="54" a="1"/>
  <c r="DA97" i="54"/>
  <c r="DA98" i="54" a="1"/>
  <c r="DA98" i="54"/>
  <c r="DA99" i="54" a="1"/>
  <c r="DA100" i="54" a="1"/>
  <c r="DA101" i="54" a="1"/>
  <c r="DA102" i="54" a="1"/>
  <c r="DA99" i="54"/>
  <c r="DA100" i="54"/>
  <c r="DA101" i="54"/>
  <c r="DA102" i="54"/>
  <c r="DA103" i="54"/>
  <c r="DO94" i="54"/>
  <c r="DO97" i="54" a="1"/>
  <c r="DO97" i="54"/>
  <c r="DO98" i="54" a="1"/>
  <c r="DO98" i="54"/>
  <c r="DO99" i="54" a="1"/>
  <c r="DO100" i="54" a="1"/>
  <c r="DO101" i="54" a="1"/>
  <c r="DO102" i="54" a="1"/>
  <c r="DO99" i="54"/>
  <c r="DO100" i="54"/>
  <c r="DO101" i="54"/>
  <c r="DO102" i="54"/>
  <c r="DO103" i="54"/>
  <c r="BY108" i="54"/>
  <c r="BX94" i="54"/>
  <c r="BX97" i="54" a="1"/>
  <c r="BX97" i="54"/>
  <c r="BX98" i="54" a="1"/>
  <c r="BX98" i="54"/>
  <c r="BX99" i="54" a="1"/>
  <c r="BX100" i="54" a="1"/>
  <c r="BX101" i="54" a="1"/>
  <c r="BX102" i="54" a="1"/>
  <c r="BX99" i="54"/>
  <c r="BX100" i="54"/>
  <c r="BX101" i="54"/>
  <c r="BX102" i="54"/>
  <c r="BX103" i="54"/>
  <c r="CL94" i="54"/>
  <c r="CL97" i="54" a="1"/>
  <c r="CL97" i="54"/>
  <c r="CL98" i="54" a="1"/>
  <c r="CL98" i="54"/>
  <c r="CL99" i="54" a="1"/>
  <c r="CL100" i="54" a="1"/>
  <c r="CL101" i="54" a="1"/>
  <c r="CL102" i="54" a="1"/>
  <c r="CL99" i="54"/>
  <c r="CL100" i="54"/>
  <c r="CL101" i="54"/>
  <c r="CL102" i="54"/>
  <c r="CL103" i="54"/>
  <c r="CZ94" i="54"/>
  <c r="CZ97" i="54" a="1"/>
  <c r="CZ97" i="54"/>
  <c r="CZ98" i="54" a="1"/>
  <c r="CZ98" i="54"/>
  <c r="CZ99" i="54" a="1"/>
  <c r="CZ100" i="54" a="1"/>
  <c r="CZ101" i="54" a="1"/>
  <c r="CZ102" i="54" a="1"/>
  <c r="CZ99" i="54"/>
  <c r="CZ100" i="54"/>
  <c r="CZ101" i="54"/>
  <c r="CZ102" i="54"/>
  <c r="CZ103" i="54"/>
  <c r="DN94" i="54"/>
  <c r="DN97" i="54" a="1"/>
  <c r="DN97" i="54"/>
  <c r="DN98" i="54" a="1"/>
  <c r="DN98" i="54"/>
  <c r="DN99" i="54" a="1"/>
  <c r="DN100" i="54" a="1"/>
  <c r="DN101" i="54" a="1"/>
  <c r="DN102" i="54" a="1"/>
  <c r="DN99" i="54"/>
  <c r="DN100" i="54"/>
  <c r="DN101" i="54"/>
  <c r="DN102" i="54"/>
  <c r="DN103" i="54"/>
  <c r="BX108" i="54"/>
  <c r="BW94" i="54"/>
  <c r="BW97" i="54" a="1"/>
  <c r="BW97" i="54"/>
  <c r="BW98" i="54" a="1"/>
  <c r="BW98" i="54"/>
  <c r="BW99" i="54" a="1"/>
  <c r="BW100" i="54" a="1"/>
  <c r="BW101" i="54" a="1"/>
  <c r="BW102" i="54" a="1"/>
  <c r="BW99" i="54"/>
  <c r="BW100" i="54"/>
  <c r="BW101" i="54"/>
  <c r="BW102" i="54"/>
  <c r="BW103" i="54"/>
  <c r="CK94" i="54"/>
  <c r="CK97" i="54" a="1"/>
  <c r="CK97" i="54"/>
  <c r="CK98" i="54" a="1"/>
  <c r="CK98" i="54"/>
  <c r="CK99" i="54" a="1"/>
  <c r="CK100" i="54" a="1"/>
  <c r="CK101" i="54" a="1"/>
  <c r="CK102" i="54" a="1"/>
  <c r="CK99" i="54"/>
  <c r="CK100" i="54"/>
  <c r="CK101" i="54"/>
  <c r="CK102" i="54"/>
  <c r="CK103" i="54"/>
  <c r="CY94" i="54"/>
  <c r="CY97" i="54" a="1"/>
  <c r="CY97" i="54"/>
  <c r="CY98" i="54" a="1"/>
  <c r="CY98" i="54"/>
  <c r="CY99" i="54" a="1"/>
  <c r="CY100" i="54" a="1"/>
  <c r="CY101" i="54" a="1"/>
  <c r="CY102" i="54" a="1"/>
  <c r="CY99" i="54"/>
  <c r="CY100" i="54"/>
  <c r="CY101" i="54"/>
  <c r="CY102" i="54"/>
  <c r="CY103" i="54"/>
  <c r="DM94" i="54"/>
  <c r="DM97" i="54" a="1"/>
  <c r="DM97" i="54"/>
  <c r="DM98" i="54" a="1"/>
  <c r="DM98" i="54"/>
  <c r="DM99" i="54" a="1"/>
  <c r="DM100" i="54" a="1"/>
  <c r="DM101" i="54" a="1"/>
  <c r="DM102" i="54" a="1"/>
  <c r="DM99" i="54"/>
  <c r="DM100" i="54"/>
  <c r="DM101" i="54"/>
  <c r="DM102" i="54"/>
  <c r="DM103" i="54"/>
  <c r="BW108" i="54"/>
  <c r="BV94" i="54"/>
  <c r="BV97" i="54" a="1"/>
  <c r="BV97" i="54"/>
  <c r="BV98" i="54" a="1"/>
  <c r="BV98" i="54"/>
  <c r="BV99" i="54" a="1"/>
  <c r="BV100" i="54" a="1"/>
  <c r="BV101" i="54" a="1"/>
  <c r="BV102" i="54" a="1"/>
  <c r="BV99" i="54"/>
  <c r="BV100" i="54"/>
  <c r="BV101" i="54"/>
  <c r="BV102" i="54"/>
  <c r="BV103" i="54"/>
  <c r="CJ94" i="54"/>
  <c r="CJ97" i="54" a="1"/>
  <c r="CJ97" i="54"/>
  <c r="CJ98" i="54" a="1"/>
  <c r="CJ98" i="54"/>
  <c r="CJ99" i="54" a="1"/>
  <c r="CJ100" i="54" a="1"/>
  <c r="CJ101" i="54" a="1"/>
  <c r="CJ102" i="54" a="1"/>
  <c r="CJ99" i="54"/>
  <c r="CJ100" i="54"/>
  <c r="CJ101" i="54"/>
  <c r="CJ102" i="54"/>
  <c r="CJ103" i="54"/>
  <c r="CX94" i="54"/>
  <c r="CX97" i="54" a="1"/>
  <c r="CX97" i="54"/>
  <c r="CX98" i="54" a="1"/>
  <c r="CX98" i="54"/>
  <c r="CX99" i="54" a="1"/>
  <c r="CX100" i="54" a="1"/>
  <c r="CX101" i="54" a="1"/>
  <c r="CX102" i="54" a="1"/>
  <c r="CX99" i="54"/>
  <c r="CX100" i="54"/>
  <c r="CX101" i="54"/>
  <c r="CX102" i="54"/>
  <c r="CX103" i="54"/>
  <c r="DL94" i="54"/>
  <c r="DL97" i="54" a="1"/>
  <c r="DL97" i="54"/>
  <c r="DL98" i="54" a="1"/>
  <c r="DL98" i="54"/>
  <c r="DL99" i="54" a="1"/>
  <c r="DL100" i="54" a="1"/>
  <c r="DL101" i="54" a="1"/>
  <c r="DL102" i="54" a="1"/>
  <c r="DL99" i="54"/>
  <c r="DL100" i="54"/>
  <c r="DL101" i="54"/>
  <c r="DL102" i="54"/>
  <c r="DL103" i="54"/>
  <c r="BV108" i="54"/>
  <c r="BU94" i="54"/>
  <c r="BU97" i="54" a="1"/>
  <c r="BU97" i="54"/>
  <c r="BU98" i="54" a="1"/>
  <c r="BU98" i="54"/>
  <c r="BU99" i="54" a="1"/>
  <c r="BU100" i="54" a="1"/>
  <c r="BU101" i="54" a="1"/>
  <c r="BU102" i="54" a="1"/>
  <c r="BU99" i="54"/>
  <c r="BU100" i="54"/>
  <c r="BU101" i="54"/>
  <c r="BU102" i="54"/>
  <c r="BU103" i="54"/>
  <c r="CI94" i="54"/>
  <c r="CI97" i="54" a="1"/>
  <c r="CI97" i="54"/>
  <c r="CI98" i="54" a="1"/>
  <c r="CI98" i="54"/>
  <c r="CI99" i="54" a="1"/>
  <c r="CI100" i="54" a="1"/>
  <c r="CI101" i="54" a="1"/>
  <c r="CI102" i="54" a="1"/>
  <c r="CI99" i="54"/>
  <c r="CI100" i="54"/>
  <c r="CI101" i="54"/>
  <c r="CI102" i="54"/>
  <c r="CI103" i="54"/>
  <c r="CW94" i="54"/>
  <c r="CW97" i="54" a="1"/>
  <c r="CW97" i="54"/>
  <c r="CW98" i="54" a="1"/>
  <c r="CW98" i="54"/>
  <c r="CW99" i="54" a="1"/>
  <c r="CW100" i="54" a="1"/>
  <c r="CW101" i="54" a="1"/>
  <c r="CW102" i="54" a="1"/>
  <c r="CW99" i="54"/>
  <c r="CW100" i="54"/>
  <c r="CW101" i="54"/>
  <c r="CW102" i="54"/>
  <c r="CW103" i="54"/>
  <c r="DK94" i="54"/>
  <c r="DK97" i="54" a="1"/>
  <c r="DK97" i="54"/>
  <c r="DK98" i="54" a="1"/>
  <c r="DK98" i="54"/>
  <c r="DK99" i="54" a="1"/>
  <c r="DK100" i="54" a="1"/>
  <c r="DK101" i="54" a="1"/>
  <c r="DK102" i="54" a="1"/>
  <c r="DK99" i="54"/>
  <c r="DK100" i="54"/>
  <c r="DK101" i="54"/>
  <c r="DK102" i="54"/>
  <c r="DK103" i="54"/>
  <c r="BU108" i="54"/>
  <c r="BT94" i="54"/>
  <c r="BT97" i="54" a="1"/>
  <c r="BT97" i="54"/>
  <c r="BT98" i="54" a="1"/>
  <c r="BT98" i="54"/>
  <c r="BT99" i="54" a="1"/>
  <c r="BT100" i="54" a="1"/>
  <c r="BT101" i="54" a="1"/>
  <c r="BT102" i="54" a="1"/>
  <c r="BT99" i="54"/>
  <c r="BT100" i="54"/>
  <c r="BT101" i="54"/>
  <c r="BT102" i="54"/>
  <c r="BT103" i="54"/>
  <c r="CH94" i="54"/>
  <c r="CH97" i="54" a="1"/>
  <c r="CH97" i="54"/>
  <c r="CH98" i="54" a="1"/>
  <c r="CH98" i="54"/>
  <c r="CH99" i="54" a="1"/>
  <c r="CH100" i="54" a="1"/>
  <c r="CH101" i="54" a="1"/>
  <c r="CH102" i="54" a="1"/>
  <c r="CH99" i="54"/>
  <c r="CH100" i="54"/>
  <c r="CH101" i="54"/>
  <c r="CH102" i="54"/>
  <c r="CH103" i="54"/>
  <c r="CV94" i="54"/>
  <c r="CV97" i="54" a="1"/>
  <c r="CV97" i="54"/>
  <c r="CV98" i="54" a="1"/>
  <c r="CV98" i="54"/>
  <c r="CV99" i="54" a="1"/>
  <c r="CV100" i="54" a="1"/>
  <c r="CV101" i="54" a="1"/>
  <c r="CV102" i="54" a="1"/>
  <c r="CV99" i="54"/>
  <c r="CV100" i="54"/>
  <c r="CV101" i="54"/>
  <c r="CV102" i="54"/>
  <c r="CV103" i="54"/>
  <c r="DJ94" i="54"/>
  <c r="DJ97" i="54" a="1"/>
  <c r="DJ97" i="54"/>
  <c r="DJ98" i="54" a="1"/>
  <c r="DJ98" i="54"/>
  <c r="DJ99" i="54" a="1"/>
  <c r="DJ100" i="54" a="1"/>
  <c r="DJ101" i="54" a="1"/>
  <c r="DJ102" i="54" a="1"/>
  <c r="DJ99" i="54"/>
  <c r="DJ100" i="54"/>
  <c r="DJ101" i="54"/>
  <c r="DJ102" i="54"/>
  <c r="DJ103" i="54"/>
  <c r="BT108" i="54"/>
  <c r="BS94" i="54"/>
  <c r="BS97" i="54" a="1"/>
  <c r="BS97" i="54"/>
  <c r="BS98" i="54" a="1"/>
  <c r="BS98" i="54"/>
  <c r="BS99" i="54" a="1"/>
  <c r="BS100" i="54" a="1"/>
  <c r="BS101" i="54" a="1"/>
  <c r="BS102" i="54" a="1"/>
  <c r="BS99" i="54"/>
  <c r="BS100" i="54"/>
  <c r="BS101" i="54"/>
  <c r="BS102" i="54"/>
  <c r="BS103" i="54"/>
  <c r="CG94" i="54"/>
  <c r="CG97" i="54" a="1"/>
  <c r="CG97" i="54"/>
  <c r="CG98" i="54" a="1"/>
  <c r="CG98" i="54"/>
  <c r="CG99" i="54" a="1"/>
  <c r="CG100" i="54" a="1"/>
  <c r="CG101" i="54" a="1"/>
  <c r="CG102" i="54" a="1"/>
  <c r="CG99" i="54"/>
  <c r="CG100" i="54"/>
  <c r="CG101" i="54"/>
  <c r="CG102" i="54"/>
  <c r="CG103" i="54"/>
  <c r="CU94" i="54"/>
  <c r="CU97" i="54" a="1"/>
  <c r="CU97" i="54"/>
  <c r="CU98" i="54" a="1"/>
  <c r="CU98" i="54"/>
  <c r="CU99" i="54" a="1"/>
  <c r="CU100" i="54" a="1"/>
  <c r="CU101" i="54" a="1"/>
  <c r="CU102" i="54" a="1"/>
  <c r="CU99" i="54"/>
  <c r="CU100" i="54"/>
  <c r="CU101" i="54"/>
  <c r="CU102" i="54"/>
  <c r="CU103" i="54"/>
  <c r="DI94" i="54"/>
  <c r="DI97" i="54" a="1"/>
  <c r="DI97" i="54"/>
  <c r="DI98" i="54" a="1"/>
  <c r="DI98" i="54"/>
  <c r="DI99" i="54" a="1"/>
  <c r="DI100" i="54" a="1"/>
  <c r="DI101" i="54" a="1"/>
  <c r="DI102" i="54" a="1"/>
  <c r="DI99" i="54"/>
  <c r="DI100" i="54"/>
  <c r="DI101" i="54"/>
  <c r="DI102" i="54"/>
  <c r="DI103" i="54"/>
  <c r="BS108" i="54"/>
  <c r="BR94" i="54"/>
  <c r="BR97" i="54" a="1"/>
  <c r="BR97" i="54"/>
  <c r="BR98" i="54" a="1"/>
  <c r="BR98" i="54"/>
  <c r="BR99" i="54" a="1"/>
  <c r="BR100" i="54" a="1"/>
  <c r="BR101" i="54" a="1"/>
  <c r="BR102" i="54" a="1"/>
  <c r="BR99" i="54"/>
  <c r="BR100" i="54"/>
  <c r="BR101" i="54"/>
  <c r="BR102" i="54"/>
  <c r="BR103" i="54"/>
  <c r="CF94" i="54"/>
  <c r="CF97" i="54" a="1"/>
  <c r="CF97" i="54"/>
  <c r="CF98" i="54" a="1"/>
  <c r="CF98" i="54"/>
  <c r="CF99" i="54" a="1"/>
  <c r="CF100" i="54" a="1"/>
  <c r="CF101" i="54" a="1"/>
  <c r="CF102" i="54" a="1"/>
  <c r="CF99" i="54"/>
  <c r="CF100" i="54"/>
  <c r="CF101" i="54"/>
  <c r="CF102" i="54"/>
  <c r="CF103" i="54"/>
  <c r="CT94" i="54"/>
  <c r="CT97" i="54" a="1"/>
  <c r="CT97" i="54"/>
  <c r="CT98" i="54" a="1"/>
  <c r="CT98" i="54"/>
  <c r="CT99" i="54" a="1"/>
  <c r="CT100" i="54" a="1"/>
  <c r="CT101" i="54" a="1"/>
  <c r="CT102" i="54" a="1"/>
  <c r="CT99" i="54"/>
  <c r="CT100" i="54"/>
  <c r="CT101" i="54"/>
  <c r="CT102" i="54"/>
  <c r="CT103" i="54"/>
  <c r="DH94" i="54"/>
  <c r="DH97" i="54" a="1"/>
  <c r="DH97" i="54"/>
  <c r="DH98" i="54" a="1"/>
  <c r="DH98" i="54"/>
  <c r="DH99" i="54" a="1"/>
  <c r="DH100" i="54" a="1"/>
  <c r="DH101" i="54" a="1"/>
  <c r="DH102" i="54" a="1"/>
  <c r="DH99" i="54"/>
  <c r="DH100" i="54"/>
  <c r="DH101" i="54"/>
  <c r="DH102" i="54"/>
  <c r="DH103" i="54"/>
  <c r="BR108" i="54"/>
  <c r="BQ94" i="54"/>
  <c r="BQ97" i="54" a="1"/>
  <c r="BQ97" i="54"/>
  <c r="BQ98" i="54" a="1"/>
  <c r="BQ98" i="54"/>
  <c r="BQ99" i="54" a="1"/>
  <c r="BQ100" i="54" a="1"/>
  <c r="BQ101" i="54" a="1"/>
  <c r="BQ102" i="54" a="1"/>
  <c r="BQ99" i="54"/>
  <c r="BQ100" i="54"/>
  <c r="BQ101" i="54"/>
  <c r="BQ102" i="54"/>
  <c r="BQ103" i="54"/>
  <c r="CE94" i="54"/>
  <c r="CE97" i="54" a="1"/>
  <c r="CE97" i="54"/>
  <c r="CE98" i="54" a="1"/>
  <c r="CE98" i="54"/>
  <c r="CE99" i="54" a="1"/>
  <c r="CE100" i="54" a="1"/>
  <c r="CE101" i="54" a="1"/>
  <c r="CE102" i="54" a="1"/>
  <c r="CE99" i="54"/>
  <c r="CE100" i="54"/>
  <c r="CE101" i="54"/>
  <c r="CE102" i="54"/>
  <c r="CE103" i="54"/>
  <c r="CS94" i="54"/>
  <c r="CS97" i="54" a="1"/>
  <c r="CS97" i="54"/>
  <c r="CS98" i="54" a="1"/>
  <c r="CS98" i="54"/>
  <c r="CS99" i="54" a="1"/>
  <c r="CS100" i="54" a="1"/>
  <c r="CS101" i="54" a="1"/>
  <c r="CS102" i="54" a="1"/>
  <c r="CS99" i="54"/>
  <c r="CS100" i="54"/>
  <c r="CS101" i="54"/>
  <c r="CS102" i="54"/>
  <c r="CS103" i="54"/>
  <c r="DG94" i="54"/>
  <c r="DG97" i="54" a="1"/>
  <c r="DG97" i="54"/>
  <c r="DG98" i="54" a="1"/>
  <c r="DG98" i="54"/>
  <c r="DG99" i="54" a="1"/>
  <c r="DG100" i="54" a="1"/>
  <c r="DG101" i="54" a="1"/>
  <c r="DG102" i="54" a="1"/>
  <c r="DG99" i="54"/>
  <c r="DG100" i="54"/>
  <c r="DG101" i="54"/>
  <c r="DG102" i="54"/>
  <c r="DG103" i="54"/>
  <c r="BQ108" i="54"/>
  <c r="BP94" i="54"/>
  <c r="BP97" i="54" a="1"/>
  <c r="BP97" i="54"/>
  <c r="BP98" i="54" a="1"/>
  <c r="BP98" i="54"/>
  <c r="BP99" i="54" a="1"/>
  <c r="BP100" i="54" a="1"/>
  <c r="BP101" i="54" a="1"/>
  <c r="BP102" i="54" a="1"/>
  <c r="BP99" i="54"/>
  <c r="BP100" i="54"/>
  <c r="BP101" i="54"/>
  <c r="BP102" i="54"/>
  <c r="BP103" i="54"/>
  <c r="CD94" i="54"/>
  <c r="CD97" i="54" a="1"/>
  <c r="CD97" i="54"/>
  <c r="CD98" i="54" a="1"/>
  <c r="CD98" i="54"/>
  <c r="CD99" i="54" a="1"/>
  <c r="CD100" i="54" a="1"/>
  <c r="CD101" i="54" a="1"/>
  <c r="CD102" i="54" a="1"/>
  <c r="CD99" i="54"/>
  <c r="CD100" i="54"/>
  <c r="CD101" i="54"/>
  <c r="CD102" i="54"/>
  <c r="CD103" i="54"/>
  <c r="CR94" i="54"/>
  <c r="CR97" i="54" a="1"/>
  <c r="CR97" i="54"/>
  <c r="CR98" i="54" a="1"/>
  <c r="CR98" i="54"/>
  <c r="CR99" i="54" a="1"/>
  <c r="CR100" i="54" a="1"/>
  <c r="CR101" i="54" a="1"/>
  <c r="CR102" i="54" a="1"/>
  <c r="CR99" i="54"/>
  <c r="CR100" i="54"/>
  <c r="CR101" i="54"/>
  <c r="CR102" i="54"/>
  <c r="CR103" i="54"/>
  <c r="DF94" i="54"/>
  <c r="DF97" i="54" a="1"/>
  <c r="DF97" i="54"/>
  <c r="DF98" i="54" a="1"/>
  <c r="DF98" i="54"/>
  <c r="DF99" i="54" a="1"/>
  <c r="DF100" i="54" a="1"/>
  <c r="DF101" i="54" a="1"/>
  <c r="DF102" i="54" a="1"/>
  <c r="DF99" i="54"/>
  <c r="DF100" i="54"/>
  <c r="DF101" i="54"/>
  <c r="DF102" i="54"/>
  <c r="DF103" i="54"/>
  <c r="BP108" i="54"/>
  <c r="BO94" i="54"/>
  <c r="BO97" i="54" a="1"/>
  <c r="BO97" i="54"/>
  <c r="BO98" i="54" a="1"/>
  <c r="BO98" i="54"/>
  <c r="BO99" i="54" a="1"/>
  <c r="BO100" i="54" a="1"/>
  <c r="BO101" i="54" a="1"/>
  <c r="BO102" i="54" a="1"/>
  <c r="BO99" i="54"/>
  <c r="BO100" i="54"/>
  <c r="BO101" i="54"/>
  <c r="BO102" i="54"/>
  <c r="BO103" i="54"/>
  <c r="CC94" i="54"/>
  <c r="CC97" i="54" a="1"/>
  <c r="CC97" i="54"/>
  <c r="CC98" i="54" a="1"/>
  <c r="CC98" i="54"/>
  <c r="CC99" i="54" a="1"/>
  <c r="CC100" i="54" a="1"/>
  <c r="CC101" i="54" a="1"/>
  <c r="CC102" i="54" a="1"/>
  <c r="CC99" i="54"/>
  <c r="CC100" i="54"/>
  <c r="CC101" i="54"/>
  <c r="CC102" i="54"/>
  <c r="CC103" i="54"/>
  <c r="CQ94" i="54"/>
  <c r="CQ97" i="54" a="1"/>
  <c r="CQ97" i="54"/>
  <c r="CQ98" i="54" a="1"/>
  <c r="CQ98" i="54"/>
  <c r="CQ99" i="54" a="1"/>
  <c r="CQ100" i="54" a="1"/>
  <c r="CQ101" i="54" a="1"/>
  <c r="CQ102" i="54" a="1"/>
  <c r="CQ99" i="54"/>
  <c r="CQ100" i="54"/>
  <c r="CQ101" i="54"/>
  <c r="CQ102" i="54"/>
  <c r="CQ103" i="54"/>
  <c r="DE94" i="54"/>
  <c r="DE97" i="54" a="1"/>
  <c r="DE97" i="54"/>
  <c r="DE98" i="54" a="1"/>
  <c r="DE98" i="54"/>
  <c r="DE99" i="54" a="1"/>
  <c r="DE100" i="54" a="1"/>
  <c r="DE101" i="54" a="1"/>
  <c r="DE102" i="54" a="1"/>
  <c r="DE99" i="54"/>
  <c r="DE100" i="54"/>
  <c r="DE101" i="54"/>
  <c r="DE102" i="54"/>
  <c r="DE103" i="54"/>
  <c r="BO108" i="54"/>
  <c r="BN94" i="54"/>
  <c r="BN97" i="54" a="1"/>
  <c r="BN97" i="54"/>
  <c r="BN98" i="54" a="1"/>
  <c r="BN98" i="54"/>
  <c r="BN99" i="54" a="1"/>
  <c r="BN100" i="54" a="1"/>
  <c r="BN101" i="54" a="1"/>
  <c r="BN102" i="54" a="1"/>
  <c r="BN99" i="54"/>
  <c r="BN100" i="54"/>
  <c r="BN101" i="54"/>
  <c r="BN102" i="54"/>
  <c r="BN103" i="54"/>
  <c r="CB94" i="54"/>
  <c r="CB97" i="54" a="1"/>
  <c r="CB97" i="54"/>
  <c r="CB98" i="54" a="1"/>
  <c r="CB98" i="54"/>
  <c r="CB99" i="54" a="1"/>
  <c r="CB100" i="54" a="1"/>
  <c r="CB101" i="54" a="1"/>
  <c r="CB102" i="54" a="1"/>
  <c r="CB99" i="54"/>
  <c r="CB100" i="54"/>
  <c r="CB101" i="54"/>
  <c r="CB102" i="54"/>
  <c r="CB103" i="54"/>
  <c r="CP94" i="54"/>
  <c r="CP97" i="54" a="1"/>
  <c r="CP97" i="54"/>
  <c r="CP98" i="54" a="1"/>
  <c r="CP98" i="54"/>
  <c r="CP99" i="54" a="1"/>
  <c r="CP100" i="54" a="1"/>
  <c r="CP101" i="54" a="1"/>
  <c r="CP102" i="54" a="1"/>
  <c r="CP99" i="54"/>
  <c r="CP100" i="54"/>
  <c r="CP101" i="54"/>
  <c r="CP102" i="54"/>
  <c r="CP103" i="54"/>
  <c r="DD94" i="54"/>
  <c r="DD97" i="54" a="1"/>
  <c r="DD97" i="54"/>
  <c r="DD98" i="54" a="1"/>
  <c r="DD98" i="54"/>
  <c r="DD99" i="54" a="1"/>
  <c r="DD100" i="54" a="1"/>
  <c r="DD101" i="54" a="1"/>
  <c r="DD102" i="54" a="1"/>
  <c r="DD99" i="54"/>
  <c r="DD100" i="54"/>
  <c r="DD101" i="54"/>
  <c r="DD102" i="54"/>
  <c r="DD103" i="54"/>
  <c r="BN108" i="54"/>
  <c r="BM94" i="54"/>
  <c r="BM97" i="54" a="1"/>
  <c r="BM97" i="54"/>
  <c r="BM98" i="54" a="1"/>
  <c r="BM98" i="54"/>
  <c r="BM99" i="54" a="1"/>
  <c r="BM100" i="54" a="1"/>
  <c r="BM101" i="54" a="1"/>
  <c r="BM102" i="54" a="1"/>
  <c r="BM99" i="54"/>
  <c r="BM100" i="54"/>
  <c r="BM101" i="54"/>
  <c r="BM102" i="54"/>
  <c r="BM103" i="54"/>
  <c r="CA94" i="54"/>
  <c r="CA97" i="54" a="1"/>
  <c r="CA97" i="54"/>
  <c r="CA98" i="54" a="1"/>
  <c r="CA98" i="54"/>
  <c r="CA99" i="54" a="1"/>
  <c r="CA100" i="54" a="1"/>
  <c r="CA101" i="54" a="1"/>
  <c r="CA102" i="54" a="1"/>
  <c r="CA99" i="54"/>
  <c r="CA100" i="54"/>
  <c r="CA101" i="54"/>
  <c r="CA102" i="54"/>
  <c r="CA103" i="54"/>
  <c r="CO94" i="54"/>
  <c r="CO97" i="54" a="1"/>
  <c r="CO97" i="54"/>
  <c r="CO98" i="54" a="1"/>
  <c r="CO98" i="54"/>
  <c r="CO99" i="54" a="1"/>
  <c r="CO100" i="54" a="1"/>
  <c r="CO101" i="54" a="1"/>
  <c r="CO102" i="54" a="1"/>
  <c r="CO99" i="54"/>
  <c r="CO100" i="54"/>
  <c r="CO101" i="54"/>
  <c r="CO102" i="54"/>
  <c r="CO103" i="54"/>
  <c r="DC94" i="54"/>
  <c r="DC97" i="54" a="1"/>
  <c r="DC97" i="54"/>
  <c r="DC98" i="54" a="1"/>
  <c r="DC98" i="54"/>
  <c r="DC99" i="54" a="1"/>
  <c r="DC100" i="54" a="1"/>
  <c r="DC101" i="54" a="1"/>
  <c r="DC102" i="54" a="1"/>
  <c r="DC99" i="54"/>
  <c r="DC100" i="54"/>
  <c r="DC101" i="54"/>
  <c r="DC102" i="54"/>
  <c r="DC103" i="54"/>
  <c r="BM108" i="54"/>
  <c r="AA7" i="12"/>
  <c r="AL24" i="1"/>
  <c r="BZ107" i="54"/>
  <c r="AL23" i="1"/>
  <c r="BY107" i="54"/>
  <c r="AA18" i="12"/>
  <c r="AL22" i="1"/>
  <c r="BX107" i="54"/>
  <c r="AL21" i="1"/>
  <c r="BW107" i="54"/>
  <c r="AL20" i="1"/>
  <c r="BV107" i="54"/>
  <c r="AL19" i="1"/>
  <c r="BU107" i="54"/>
  <c r="AA15" i="12"/>
  <c r="AL18" i="1"/>
  <c r="BT107" i="54"/>
  <c r="AL17" i="1"/>
  <c r="BS107" i="54"/>
  <c r="AL16" i="1"/>
  <c r="BR107" i="54"/>
  <c r="AA12" i="12"/>
  <c r="AL15" i="1"/>
  <c r="BQ107" i="54"/>
  <c r="AL14" i="1"/>
  <c r="BP107" i="54"/>
  <c r="AL13" i="1"/>
  <c r="BO107" i="54"/>
  <c r="AL12" i="1"/>
  <c r="BN107" i="54"/>
  <c r="AL11" i="1"/>
  <c r="BM107" i="54"/>
  <c r="BZ106" i="54"/>
  <c r="BY106" i="54"/>
  <c r="BX106" i="54"/>
  <c r="BW106" i="54"/>
  <c r="BV106" i="54"/>
  <c r="BU106" i="54"/>
  <c r="BT106" i="54"/>
  <c r="BS106" i="54"/>
  <c r="BR106" i="54"/>
  <c r="BQ106" i="54"/>
  <c r="BP106" i="54"/>
  <c r="BO106" i="54"/>
  <c r="BN106" i="54"/>
  <c r="BM106" i="54"/>
  <c r="AT105" i="54"/>
  <c r="AS105" i="54"/>
  <c r="ED97" i="54"/>
  <c r="ED98" i="54"/>
  <c r="ED99" i="54"/>
  <c r="ED100" i="54"/>
  <c r="ED101" i="54"/>
  <c r="ED102" i="54"/>
  <c r="ED103" i="54"/>
  <c r="DF104" i="54"/>
  <c r="DX97" i="54"/>
  <c r="DX98" i="54"/>
  <c r="DX99" i="54"/>
  <c r="DX100" i="54"/>
  <c r="DX101" i="54"/>
  <c r="DX102" i="54"/>
  <c r="DX103" i="54"/>
  <c r="DA104" i="54"/>
  <c r="DW97" i="54"/>
  <c r="DW98" i="54"/>
  <c r="DW99" i="54"/>
  <c r="DW100" i="54"/>
  <c r="DW101" i="54"/>
  <c r="DW102" i="54"/>
  <c r="DW103" i="54"/>
  <c r="CZ104" i="54"/>
  <c r="DV97" i="54"/>
  <c r="DV98" i="54"/>
  <c r="DV99" i="54"/>
  <c r="DV100" i="54"/>
  <c r="DV101" i="54"/>
  <c r="DV102" i="54"/>
  <c r="DV103" i="54"/>
  <c r="CY104" i="54"/>
  <c r="DQ97" i="54"/>
  <c r="DQ98" i="54"/>
  <c r="DQ99" i="54"/>
  <c r="DQ100" i="54"/>
  <c r="DQ101" i="54"/>
  <c r="DQ102" i="54"/>
  <c r="DQ103" i="54"/>
  <c r="CX104" i="54"/>
  <c r="AT104" i="54"/>
  <c r="AS104" i="54"/>
  <c r="EA97" i="54"/>
  <c r="EA98" i="54"/>
  <c r="EA99" i="54"/>
  <c r="EA100" i="54"/>
  <c r="EA101" i="54"/>
  <c r="EA102" i="54"/>
  <c r="EA103" i="54"/>
  <c r="DZ97" i="54"/>
  <c r="DZ98" i="54"/>
  <c r="DZ99" i="54"/>
  <c r="DZ100" i="54"/>
  <c r="DZ101" i="54"/>
  <c r="DZ102" i="54"/>
  <c r="DZ103" i="54"/>
  <c r="DY97" i="54"/>
  <c r="DY98" i="54"/>
  <c r="DY99" i="54"/>
  <c r="DY100" i="54"/>
  <c r="DY101" i="54"/>
  <c r="DY102" i="54"/>
  <c r="DY103" i="54"/>
  <c r="DU97" i="54"/>
  <c r="DU98" i="54"/>
  <c r="DU99" i="54"/>
  <c r="DU100" i="54"/>
  <c r="DU101" i="54"/>
  <c r="DU102" i="54"/>
  <c r="DU103" i="54"/>
  <c r="DT97" i="54"/>
  <c r="DT98" i="54"/>
  <c r="DT99" i="54"/>
  <c r="DT100" i="54"/>
  <c r="DT101" i="54"/>
  <c r="DT102" i="54"/>
  <c r="DT103" i="54"/>
  <c r="DS97" i="54"/>
  <c r="DS98" i="54"/>
  <c r="DS99" i="54"/>
  <c r="DS100" i="54"/>
  <c r="DS101" i="54"/>
  <c r="DS102" i="54"/>
  <c r="DS103" i="54"/>
  <c r="DR97" i="54"/>
  <c r="DR98" i="54"/>
  <c r="DR99" i="54"/>
  <c r="DR100" i="54"/>
  <c r="DR101" i="54"/>
  <c r="DR102" i="54"/>
  <c r="DR103" i="54"/>
  <c r="BK94" i="54"/>
  <c r="W14" i="1"/>
  <c r="AU29" i="54"/>
  <c r="AU97" i="54"/>
  <c r="BK97" i="54" a="1"/>
  <c r="BK97" i="54"/>
  <c r="AU98" i="54"/>
  <c r="BK98" i="54" a="1"/>
  <c r="BK98" i="54"/>
  <c r="AU99" i="54"/>
  <c r="BK99" i="54" a="1"/>
  <c r="AU100" i="54"/>
  <c r="BK100" i="54" a="1"/>
  <c r="AU101" i="54"/>
  <c r="BK101" i="54" a="1"/>
  <c r="AU102" i="54"/>
  <c r="BK102" i="54" a="1"/>
  <c r="BK99" i="54"/>
  <c r="BK100" i="54"/>
  <c r="BK101" i="54"/>
  <c r="BK102" i="54"/>
  <c r="BK103" i="54"/>
  <c r="BJ94" i="54"/>
  <c r="BJ97" i="54" a="1"/>
  <c r="BJ97" i="54"/>
  <c r="BJ98" i="54" a="1"/>
  <c r="BJ98" i="54"/>
  <c r="BJ99" i="54" a="1"/>
  <c r="BJ100" i="54" a="1"/>
  <c r="BJ101" i="54" a="1"/>
  <c r="BJ102" i="54" a="1"/>
  <c r="BJ99" i="54"/>
  <c r="BJ100" i="54"/>
  <c r="BJ101" i="54"/>
  <c r="BJ102" i="54"/>
  <c r="BJ103" i="54"/>
  <c r="BI94" i="54"/>
  <c r="BI97" i="54" a="1"/>
  <c r="BI97" i="54"/>
  <c r="BI98" i="54" a="1"/>
  <c r="BI98" i="54"/>
  <c r="BI99" i="54" a="1"/>
  <c r="BI100" i="54" a="1"/>
  <c r="BI101" i="54" a="1"/>
  <c r="BI102" i="54" a="1"/>
  <c r="BI99" i="54"/>
  <c r="BI100" i="54"/>
  <c r="BI101" i="54"/>
  <c r="BI102" i="54"/>
  <c r="BI103" i="54"/>
  <c r="BH94" i="54"/>
  <c r="BH97" i="54" a="1"/>
  <c r="BH97" i="54"/>
  <c r="BH98" i="54" a="1"/>
  <c r="BH98" i="54"/>
  <c r="BH99" i="54" a="1"/>
  <c r="BH100" i="54" a="1"/>
  <c r="BH101" i="54" a="1"/>
  <c r="BH102" i="54" a="1"/>
  <c r="BH99" i="54"/>
  <c r="BH100" i="54"/>
  <c r="BH101" i="54"/>
  <c r="BH102" i="54"/>
  <c r="BH103" i="54"/>
  <c r="BG94" i="54"/>
  <c r="BG97" i="54" a="1"/>
  <c r="BG97" i="54"/>
  <c r="BG98" i="54" a="1"/>
  <c r="BG98" i="54"/>
  <c r="BG99" i="54" a="1"/>
  <c r="BG100" i="54" a="1"/>
  <c r="BG101" i="54" a="1"/>
  <c r="BG102" i="54" a="1"/>
  <c r="BG99" i="54"/>
  <c r="BG100" i="54"/>
  <c r="BG101" i="54"/>
  <c r="BG102" i="54"/>
  <c r="BG103" i="54"/>
  <c r="BF94" i="54"/>
  <c r="BF97" i="54" a="1"/>
  <c r="BF97" i="54"/>
  <c r="BF98" i="54" a="1"/>
  <c r="BF98" i="54"/>
  <c r="BF99" i="54" a="1"/>
  <c r="BF100" i="54" a="1"/>
  <c r="BF101" i="54" a="1"/>
  <c r="BF102" i="54" a="1"/>
  <c r="BF99" i="54"/>
  <c r="BF100" i="54"/>
  <c r="BF101" i="54"/>
  <c r="BF102" i="54"/>
  <c r="BF103" i="54"/>
  <c r="BE94" i="54"/>
  <c r="BE97" i="54" a="1"/>
  <c r="BE97" i="54"/>
  <c r="BE98" i="54" a="1"/>
  <c r="BE98" i="54"/>
  <c r="BE99" i="54" a="1"/>
  <c r="BE100" i="54" a="1"/>
  <c r="BE101" i="54" a="1"/>
  <c r="BE102" i="54" a="1"/>
  <c r="BE99" i="54"/>
  <c r="BE100" i="54"/>
  <c r="BE101" i="54"/>
  <c r="BE102" i="54"/>
  <c r="BE103" i="54"/>
  <c r="BD94" i="54"/>
  <c r="BD97" i="54" a="1"/>
  <c r="BD97" i="54"/>
  <c r="BD98" i="54" a="1"/>
  <c r="BD98" i="54"/>
  <c r="BD99" i="54" a="1"/>
  <c r="BD100" i="54" a="1"/>
  <c r="BD101" i="54" a="1"/>
  <c r="BD102" i="54" a="1"/>
  <c r="BD99" i="54"/>
  <c r="BD100" i="54"/>
  <c r="BD101" i="54"/>
  <c r="BD102" i="54"/>
  <c r="BD103" i="54"/>
  <c r="BC94" i="54"/>
  <c r="BC97" i="54" a="1"/>
  <c r="BC97" i="54"/>
  <c r="BC98" i="54" a="1"/>
  <c r="BC98" i="54"/>
  <c r="BC99" i="54" a="1"/>
  <c r="BC100" i="54" a="1"/>
  <c r="BC101" i="54" a="1"/>
  <c r="BC102" i="54" a="1"/>
  <c r="BC99" i="54"/>
  <c r="BC100" i="54"/>
  <c r="BC101" i="54"/>
  <c r="BC102" i="54"/>
  <c r="BC103" i="54"/>
  <c r="BB94" i="54"/>
  <c r="BB97" i="54" a="1"/>
  <c r="BB97" i="54"/>
  <c r="BB98" i="54" a="1"/>
  <c r="BB98" i="54"/>
  <c r="BB99" i="54" a="1"/>
  <c r="BB100" i="54" a="1"/>
  <c r="BB101" i="54" a="1"/>
  <c r="BB102" i="54" a="1"/>
  <c r="BB99" i="54"/>
  <c r="BB100" i="54"/>
  <c r="BB101" i="54"/>
  <c r="BB102" i="54"/>
  <c r="BB103" i="54"/>
  <c r="BA94" i="54"/>
  <c r="BA97" i="54" a="1"/>
  <c r="BA97" i="54"/>
  <c r="BA98" i="54" a="1"/>
  <c r="BA98" i="54"/>
  <c r="BA99" i="54" a="1"/>
  <c r="BA100" i="54" a="1"/>
  <c r="BA101" i="54" a="1"/>
  <c r="BA102" i="54" a="1"/>
  <c r="BA99" i="54"/>
  <c r="BA100" i="54"/>
  <c r="BA101" i="54"/>
  <c r="BA102" i="54"/>
  <c r="BA103" i="54"/>
  <c r="AZ94" i="54"/>
  <c r="AZ97" i="54" a="1"/>
  <c r="AZ97" i="54"/>
  <c r="AZ98" i="54" a="1"/>
  <c r="AZ98" i="54"/>
  <c r="AZ99" i="54" a="1"/>
  <c r="AZ100" i="54" a="1"/>
  <c r="AZ101" i="54" a="1"/>
  <c r="AZ102" i="54" a="1"/>
  <c r="AZ99" i="54"/>
  <c r="AZ100" i="54"/>
  <c r="AZ101" i="54"/>
  <c r="AZ102" i="54"/>
  <c r="AZ103" i="54"/>
  <c r="AY94" i="54"/>
  <c r="AY97" i="54" a="1"/>
  <c r="AY97" i="54"/>
  <c r="AY98" i="54" a="1"/>
  <c r="AY98" i="54"/>
  <c r="AY99" i="54" a="1"/>
  <c r="AY100" i="54" a="1"/>
  <c r="AY101" i="54" a="1"/>
  <c r="AY102" i="54" a="1"/>
  <c r="AY99" i="54"/>
  <c r="AY100" i="54"/>
  <c r="AY101" i="54"/>
  <c r="AY102" i="54"/>
  <c r="AY103" i="54"/>
  <c r="AX94" i="54"/>
  <c r="AX97" i="54" a="1"/>
  <c r="AX97" i="54"/>
  <c r="AX98" i="54" a="1"/>
  <c r="AX98" i="54"/>
  <c r="AX99" i="54" a="1"/>
  <c r="AX100" i="54" a="1"/>
  <c r="AX101" i="54" a="1"/>
  <c r="AX102" i="54" a="1"/>
  <c r="AX99" i="54"/>
  <c r="AX100" i="54"/>
  <c r="AX101" i="54"/>
  <c r="AX102" i="54"/>
  <c r="AX103" i="54"/>
  <c r="AT96" i="54"/>
  <c r="AV96" i="54"/>
  <c r="AV97" i="54"/>
  <c r="AV98" i="54"/>
  <c r="AV99" i="54"/>
  <c r="AV100" i="54"/>
  <c r="AV101" i="54"/>
  <c r="AV102" i="54"/>
  <c r="AV103" i="54"/>
  <c r="AU103" i="54"/>
  <c r="AT103" i="54"/>
  <c r="G103" i="54"/>
  <c r="AM102" i="54"/>
  <c r="AW102" i="54"/>
  <c r="AS102" i="54"/>
  <c r="C12" i="1"/>
  <c r="C13" i="1"/>
  <c r="C14" i="1"/>
  <c r="C15" i="1"/>
  <c r="C16" i="1"/>
  <c r="C17" i="1"/>
  <c r="C18" i="1"/>
  <c r="C19" i="1"/>
  <c r="C20" i="1"/>
  <c r="C21" i="1"/>
  <c r="C22" i="1"/>
  <c r="C23" i="1"/>
  <c r="C24" i="1"/>
  <c r="D30" i="48"/>
  <c r="D28" i="48"/>
  <c r="D24" i="1"/>
  <c r="C25" i="1"/>
  <c r="D25" i="1"/>
  <c r="C26" i="1"/>
  <c r="D26" i="1"/>
  <c r="C27" i="1"/>
  <c r="D27" i="1"/>
  <c r="C28" i="1"/>
  <c r="D28" i="1"/>
  <c r="C29" i="1"/>
  <c r="D29" i="1"/>
  <c r="C30" i="1"/>
  <c r="C31" i="1"/>
  <c r="C32" i="1"/>
  <c r="C33" i="1"/>
  <c r="C34" i="1"/>
  <c r="C35" i="1"/>
  <c r="C36" i="1"/>
  <c r="C37" i="1"/>
  <c r="C38" i="1"/>
  <c r="C39" i="1"/>
  <c r="C40" i="1"/>
  <c r="C41" i="1"/>
  <c r="C42" i="1"/>
  <c r="C43" i="1"/>
  <c r="C44" i="1"/>
  <c r="C45" i="1"/>
  <c r="C46" i="1"/>
  <c r="C47" i="1"/>
  <c r="C48" i="1"/>
  <c r="C49" i="1"/>
  <c r="C51" i="1"/>
  <c r="C52" i="1"/>
  <c r="C53" i="1"/>
  <c r="C54" i="1"/>
  <c r="C55" i="1"/>
  <c r="C56" i="1"/>
  <c r="AO102" i="54"/>
  <c r="AD102" i="54"/>
  <c r="AK102" i="54"/>
  <c r="AC102" i="54"/>
  <c r="AJ102" i="54"/>
  <c r="AG102" i="54"/>
  <c r="AP30" i="54"/>
  <c r="F30" i="54"/>
  <c r="AQ30" i="54"/>
  <c r="AR30" i="54"/>
  <c r="AT30" i="54"/>
  <c r="AV29" i="54"/>
  <c r="AV30" i="54"/>
  <c r="G30" i="54"/>
  <c r="AP31" i="54"/>
  <c r="F31" i="54"/>
  <c r="AQ31" i="54"/>
  <c r="AR31" i="54"/>
  <c r="AT31" i="54"/>
  <c r="AV31" i="54"/>
  <c r="G31" i="54"/>
  <c r="AP32" i="54"/>
  <c r="F32" i="54"/>
  <c r="AQ32" i="54"/>
  <c r="AR32" i="54"/>
  <c r="AT32" i="54"/>
  <c r="AV32" i="54"/>
  <c r="G32" i="54"/>
  <c r="AP33" i="54"/>
  <c r="F33" i="54"/>
  <c r="AQ33" i="54"/>
  <c r="AR33" i="54"/>
  <c r="AT33" i="54"/>
  <c r="AV33" i="54"/>
  <c r="G33" i="54"/>
  <c r="AP34" i="54"/>
  <c r="F34" i="54"/>
  <c r="AQ34" i="54"/>
  <c r="AR34" i="54"/>
  <c r="AT34" i="54"/>
  <c r="AV34" i="54"/>
  <c r="G34" i="54"/>
  <c r="AP35" i="54"/>
  <c r="F35" i="54"/>
  <c r="AQ35" i="54"/>
  <c r="AR35" i="54"/>
  <c r="AT35" i="54"/>
  <c r="AV35" i="54"/>
  <c r="G35" i="54"/>
  <c r="AP36" i="54"/>
  <c r="F36" i="54"/>
  <c r="AQ36" i="54"/>
  <c r="AR36" i="54"/>
  <c r="AT36" i="54"/>
  <c r="AV36" i="54"/>
  <c r="G36" i="54"/>
  <c r="AP37" i="54"/>
  <c r="F37" i="54"/>
  <c r="AQ37" i="54"/>
  <c r="AR37" i="54"/>
  <c r="AT37" i="54"/>
  <c r="AV37" i="54"/>
  <c r="G37" i="54"/>
  <c r="AP38" i="54"/>
  <c r="F38" i="54"/>
  <c r="AQ38" i="54"/>
  <c r="AR38" i="54"/>
  <c r="AT38" i="54"/>
  <c r="AV38" i="54"/>
  <c r="G38" i="54"/>
  <c r="AP39" i="54"/>
  <c r="F39" i="54"/>
  <c r="AQ39" i="54"/>
  <c r="AR39" i="54"/>
  <c r="AT39" i="54"/>
  <c r="AV39" i="54"/>
  <c r="G39" i="54"/>
  <c r="AP40" i="54"/>
  <c r="F40" i="54"/>
  <c r="AQ40" i="54"/>
  <c r="AR40" i="54"/>
  <c r="AT40" i="54"/>
  <c r="AV40" i="54"/>
  <c r="G40" i="54"/>
  <c r="AP41" i="54"/>
  <c r="F41" i="54"/>
  <c r="AQ41" i="54"/>
  <c r="AR41" i="54"/>
  <c r="AT41" i="54"/>
  <c r="AV41" i="54"/>
  <c r="G41" i="54"/>
  <c r="AP42" i="54"/>
  <c r="AA3" i="12"/>
  <c r="F42" i="54"/>
  <c r="AQ42" i="54"/>
  <c r="D42" i="54"/>
  <c r="AM42" i="54"/>
  <c r="AO42" i="54"/>
  <c r="AR42" i="54"/>
  <c r="AT42" i="54"/>
  <c r="AV42" i="54"/>
  <c r="G42" i="54"/>
  <c r="AP43" i="54"/>
  <c r="F43" i="54"/>
  <c r="AQ43" i="54"/>
  <c r="D43" i="54"/>
  <c r="AM43" i="54"/>
  <c r="AO43" i="54"/>
  <c r="AR43" i="54"/>
  <c r="AT43" i="54"/>
  <c r="AV43" i="54"/>
  <c r="G43" i="54"/>
  <c r="AP44" i="54"/>
  <c r="F44" i="54"/>
  <c r="AQ44" i="54"/>
  <c r="D44" i="54"/>
  <c r="AM44" i="54"/>
  <c r="AO44" i="54"/>
  <c r="AR44" i="54"/>
  <c r="AT44" i="54"/>
  <c r="AV44" i="54"/>
  <c r="G44" i="54"/>
  <c r="AP45" i="54"/>
  <c r="F45" i="54"/>
  <c r="AQ45" i="54"/>
  <c r="D45" i="54"/>
  <c r="AM45" i="54"/>
  <c r="AO45" i="54"/>
  <c r="AR45" i="54"/>
  <c r="AT45" i="54"/>
  <c r="AV45" i="54"/>
  <c r="G45" i="54"/>
  <c r="AP46" i="54"/>
  <c r="F46" i="54"/>
  <c r="AQ46" i="54"/>
  <c r="D46" i="54"/>
  <c r="AM46" i="54"/>
  <c r="AO46" i="54"/>
  <c r="AR46" i="54"/>
  <c r="AT46" i="54"/>
  <c r="AV46" i="54"/>
  <c r="G46" i="54"/>
  <c r="AP47" i="54"/>
  <c r="F47" i="54"/>
  <c r="AQ47" i="54"/>
  <c r="D47" i="54"/>
  <c r="AM47" i="54"/>
  <c r="AO47" i="54"/>
  <c r="AR47" i="54"/>
  <c r="AT47" i="54"/>
  <c r="AV47" i="54"/>
  <c r="G47" i="54"/>
  <c r="AP48" i="54"/>
  <c r="F48" i="54"/>
  <c r="AQ48" i="54"/>
  <c r="D48" i="54"/>
  <c r="AM48" i="54"/>
  <c r="AO48" i="54"/>
  <c r="AR48" i="54"/>
  <c r="AT48" i="54"/>
  <c r="AV48" i="54"/>
  <c r="G48" i="54"/>
  <c r="AP49" i="54"/>
  <c r="F49" i="54"/>
  <c r="AQ49" i="54"/>
  <c r="AR49" i="54"/>
  <c r="AT49" i="54"/>
  <c r="AV49" i="54"/>
  <c r="G49" i="54"/>
  <c r="AP50" i="54"/>
  <c r="F50" i="54"/>
  <c r="AQ50" i="54"/>
  <c r="AR50" i="54"/>
  <c r="AT50" i="54"/>
  <c r="AV50" i="54"/>
  <c r="G50" i="54"/>
  <c r="AP51" i="54"/>
  <c r="F51" i="54"/>
  <c r="AQ51" i="54"/>
  <c r="AR51" i="54"/>
  <c r="AT51" i="54"/>
  <c r="AV51" i="54"/>
  <c r="G51" i="54"/>
  <c r="AP52" i="54"/>
  <c r="F52" i="54"/>
  <c r="AQ52" i="54"/>
  <c r="AR52" i="54"/>
  <c r="AT52" i="54"/>
  <c r="AV52" i="54"/>
  <c r="G52" i="54"/>
  <c r="AP53" i="54"/>
  <c r="F53" i="54"/>
  <c r="AQ53" i="54"/>
  <c r="AR53" i="54"/>
  <c r="AT53" i="54"/>
  <c r="AV53" i="54"/>
  <c r="G53" i="54"/>
  <c r="AP54" i="54"/>
  <c r="F54" i="54"/>
  <c r="AQ54" i="54"/>
  <c r="AR54" i="54"/>
  <c r="AT54" i="54"/>
  <c r="AV54" i="54"/>
  <c r="G54" i="54"/>
  <c r="AP55" i="54"/>
  <c r="F55" i="54"/>
  <c r="AQ55" i="54"/>
  <c r="AR55" i="54"/>
  <c r="AT55" i="54"/>
  <c r="AV55" i="54"/>
  <c r="G55" i="54"/>
  <c r="AP56" i="54"/>
  <c r="F56" i="54"/>
  <c r="AQ56" i="54"/>
  <c r="AR56" i="54"/>
  <c r="AT56" i="54"/>
  <c r="AV56" i="54"/>
  <c r="G56" i="54"/>
  <c r="AP57" i="54"/>
  <c r="F57" i="54"/>
  <c r="AQ57" i="54"/>
  <c r="AR57" i="54"/>
  <c r="AT57" i="54"/>
  <c r="AV57" i="54"/>
  <c r="G57" i="54"/>
  <c r="AP58" i="54"/>
  <c r="F58" i="54"/>
  <c r="AQ58" i="54"/>
  <c r="AR58" i="54"/>
  <c r="AT58" i="54"/>
  <c r="AV58" i="54"/>
  <c r="G58" i="54"/>
  <c r="AP59" i="54"/>
  <c r="AQ59" i="54"/>
  <c r="D59" i="54"/>
  <c r="AM59" i="54"/>
  <c r="AO59" i="54"/>
  <c r="AR59" i="54"/>
  <c r="AT59" i="54"/>
  <c r="AV59" i="54"/>
  <c r="G59" i="54"/>
  <c r="AP60" i="54"/>
  <c r="AQ60" i="54"/>
  <c r="D60" i="54"/>
  <c r="AM60" i="54"/>
  <c r="AO60" i="54"/>
  <c r="AR60" i="54"/>
  <c r="AT60" i="54"/>
  <c r="AV60" i="54"/>
  <c r="G60" i="54"/>
  <c r="AP61" i="54"/>
  <c r="F61" i="54"/>
  <c r="AQ61" i="54"/>
  <c r="AR61" i="54"/>
  <c r="AT61" i="54"/>
  <c r="AV61" i="54"/>
  <c r="G61" i="54"/>
  <c r="AP62" i="54"/>
  <c r="F62" i="54"/>
  <c r="AQ62" i="54"/>
  <c r="AR62" i="54"/>
  <c r="AT62" i="54"/>
  <c r="AV62" i="54"/>
  <c r="G62" i="54"/>
  <c r="AP63" i="54"/>
  <c r="F63" i="54"/>
  <c r="AQ63" i="54"/>
  <c r="AR63" i="54"/>
  <c r="AT63" i="54"/>
  <c r="AV63" i="54"/>
  <c r="G63" i="54"/>
  <c r="AP64" i="54"/>
  <c r="F64" i="54"/>
  <c r="AQ64" i="54"/>
  <c r="D64" i="54"/>
  <c r="AM64" i="54"/>
  <c r="AO64" i="54"/>
  <c r="AR64" i="54"/>
  <c r="AT64" i="54"/>
  <c r="AV64" i="54"/>
  <c r="G64" i="54"/>
  <c r="AP65" i="54"/>
  <c r="AA16" i="12"/>
  <c r="F65" i="54"/>
  <c r="AQ65" i="54"/>
  <c r="D65" i="54"/>
  <c r="AM65" i="54"/>
  <c r="AO65" i="54"/>
  <c r="AR65" i="54"/>
  <c r="AT65" i="54"/>
  <c r="AV65" i="54"/>
  <c r="G65" i="54"/>
  <c r="G68" i="54"/>
  <c r="I102" i="54"/>
  <c r="F102" i="54"/>
  <c r="C102" i="54"/>
  <c r="B102" i="54"/>
  <c r="AM101" i="54"/>
  <c r="AW101" i="54"/>
  <c r="AS101" i="54"/>
  <c r="AO101" i="54"/>
  <c r="AD101" i="54"/>
  <c r="AK101" i="54"/>
  <c r="AC101" i="54"/>
  <c r="AJ101" i="54"/>
  <c r="AG101" i="54"/>
  <c r="I101" i="54"/>
  <c r="F101" i="54"/>
  <c r="C101" i="54"/>
  <c r="B101" i="54"/>
  <c r="AM100" i="54"/>
  <c r="AW100" i="54"/>
  <c r="AS100" i="54"/>
  <c r="AO100" i="54"/>
  <c r="AD100" i="54"/>
  <c r="AK100" i="54"/>
  <c r="AC100" i="54"/>
  <c r="AJ100" i="54"/>
  <c r="AG100" i="54"/>
  <c r="I100" i="54"/>
  <c r="F100" i="54"/>
  <c r="C100" i="54"/>
  <c r="B100" i="54"/>
  <c r="AM99" i="54"/>
  <c r="AW99" i="54"/>
  <c r="AS99" i="54"/>
  <c r="AO99" i="54"/>
  <c r="AD99" i="54"/>
  <c r="AK99" i="54"/>
  <c r="AC99" i="54"/>
  <c r="AJ99" i="54"/>
  <c r="AG99" i="54"/>
  <c r="I99" i="54"/>
  <c r="F99" i="54"/>
  <c r="C99" i="54"/>
  <c r="B99" i="54"/>
  <c r="AM98" i="54"/>
  <c r="AW98" i="54"/>
  <c r="AS98" i="54"/>
  <c r="AO98" i="54"/>
  <c r="AD98" i="54"/>
  <c r="AK98" i="54"/>
  <c r="AC98" i="54"/>
  <c r="AJ98" i="54"/>
  <c r="AG98" i="54"/>
  <c r="I98" i="54"/>
  <c r="F98" i="54"/>
  <c r="C98" i="54"/>
  <c r="B98" i="54"/>
  <c r="AM97" i="54"/>
  <c r="AW97" i="54"/>
  <c r="AS97" i="54"/>
  <c r="AO97" i="54"/>
  <c r="AD97" i="54"/>
  <c r="AK97" i="54"/>
  <c r="AC97" i="54"/>
  <c r="AJ97" i="54"/>
  <c r="AG97" i="54"/>
  <c r="I97" i="54"/>
  <c r="F97" i="54"/>
  <c r="C97" i="54"/>
  <c r="B97" i="54"/>
  <c r="AU96" i="54"/>
  <c r="G96" i="54"/>
  <c r="ED95" i="54"/>
  <c r="EC95" i="54"/>
  <c r="EB95" i="54"/>
  <c r="EA95" i="54"/>
  <c r="DZ95" i="54"/>
  <c r="DY95" i="54"/>
  <c r="DX95" i="54"/>
  <c r="DW95" i="54"/>
  <c r="DV95" i="54"/>
  <c r="DU95" i="54"/>
  <c r="DT95" i="54"/>
  <c r="DS95" i="54"/>
  <c r="DR95" i="54"/>
  <c r="DQ95" i="54"/>
  <c r="DP95" i="54"/>
  <c r="DO95" i="54"/>
  <c r="DN95" i="54"/>
  <c r="DM95" i="54"/>
  <c r="DL95" i="54"/>
  <c r="DK95" i="54"/>
  <c r="DJ95" i="54"/>
  <c r="DI95" i="54"/>
  <c r="DH95" i="54"/>
  <c r="DG95" i="54"/>
  <c r="DF95" i="54"/>
  <c r="DE95" i="54"/>
  <c r="DD95" i="54"/>
  <c r="DC95" i="54"/>
  <c r="DB95" i="54"/>
  <c r="DA95" i="54"/>
  <c r="CZ95" i="54"/>
  <c r="CY95" i="54"/>
  <c r="CX95" i="54"/>
  <c r="CW95" i="54"/>
  <c r="CV95" i="54"/>
  <c r="CU95" i="54"/>
  <c r="CT95" i="54"/>
  <c r="CS95" i="54"/>
  <c r="CR95" i="54"/>
  <c r="CQ95" i="54"/>
  <c r="CP95" i="54"/>
  <c r="CO95" i="54"/>
  <c r="CN95" i="54"/>
  <c r="CM95" i="54"/>
  <c r="CL95" i="54"/>
  <c r="CK95" i="54"/>
  <c r="CJ95" i="54"/>
  <c r="CI95" i="54"/>
  <c r="CH95" i="54"/>
  <c r="CG95" i="54"/>
  <c r="CF95" i="54"/>
  <c r="CE95" i="54"/>
  <c r="CD95" i="54"/>
  <c r="CC95" i="54"/>
  <c r="CB95" i="54"/>
  <c r="CA95" i="54"/>
  <c r="BZ95" i="54"/>
  <c r="BY95" i="54"/>
  <c r="BX95" i="54"/>
  <c r="BW95" i="54"/>
  <c r="BV95" i="54"/>
  <c r="BU95" i="54"/>
  <c r="BT95" i="54"/>
  <c r="BS95" i="54"/>
  <c r="BR95" i="54"/>
  <c r="BQ95" i="54"/>
  <c r="BP95" i="54"/>
  <c r="BO95" i="54"/>
  <c r="BN95" i="54"/>
  <c r="BM95" i="54"/>
  <c r="BK95" i="54"/>
  <c r="BJ95" i="54"/>
  <c r="BI95" i="54"/>
  <c r="BH95" i="54"/>
  <c r="BG95" i="54"/>
  <c r="BF95" i="54"/>
  <c r="BE95" i="54"/>
  <c r="BD95" i="54"/>
  <c r="BC95" i="54"/>
  <c r="BB95" i="54"/>
  <c r="BA95" i="54"/>
  <c r="AZ95" i="54"/>
  <c r="AY95" i="54"/>
  <c r="AX95" i="54"/>
  <c r="ED94" i="54"/>
  <c r="EC94" i="54"/>
  <c r="EB94" i="54"/>
  <c r="EA94" i="54"/>
  <c r="DZ94" i="54"/>
  <c r="DY94" i="54"/>
  <c r="DX94" i="54"/>
  <c r="DW94" i="54"/>
  <c r="DV94" i="54"/>
  <c r="DU94" i="54"/>
  <c r="DT94" i="54"/>
  <c r="DS94" i="54"/>
  <c r="DR94" i="54"/>
  <c r="DQ94" i="54"/>
  <c r="AG94" i="54"/>
  <c r="CJ87" i="54"/>
  <c r="CI87" i="54"/>
  <c r="CH87" i="54"/>
  <c r="CG87" i="54"/>
  <c r="CF87" i="54"/>
  <c r="CE87" i="54"/>
  <c r="CD87" i="54"/>
  <c r="CC87" i="54"/>
  <c r="CB87" i="54"/>
  <c r="CA87" i="54"/>
  <c r="BZ87" i="54"/>
  <c r="BY87" i="54"/>
  <c r="BX87" i="54"/>
  <c r="BW87" i="54"/>
  <c r="BV87" i="54"/>
  <c r="BU87" i="54"/>
  <c r="BT87" i="54"/>
  <c r="BS87" i="54"/>
  <c r="BR87" i="54"/>
  <c r="BQ87" i="54"/>
  <c r="BP87" i="54"/>
  <c r="BO87" i="54"/>
  <c r="BN87" i="54"/>
  <c r="BM87" i="54"/>
  <c r="BL87" i="54"/>
  <c r="BK87" i="54"/>
  <c r="BJ87" i="54"/>
  <c r="BI87" i="54"/>
  <c r="AT76" i="54"/>
  <c r="BH74" i="54"/>
  <c r="E22" i="12"/>
  <c r="G76" i="12"/>
  <c r="E76" i="54"/>
  <c r="G76" i="54"/>
  <c r="AN76" i="54"/>
  <c r="W12" i="1"/>
  <c r="AS76" i="54"/>
  <c r="H76" i="12"/>
  <c r="F76" i="54"/>
  <c r="H76" i="54"/>
  <c r="AO76" i="54"/>
  <c r="AP76" i="54"/>
  <c r="AR76" i="54"/>
  <c r="BH76" i="54" a="1"/>
  <c r="BH76" i="54"/>
  <c r="AT77" i="54"/>
  <c r="G77" i="12"/>
  <c r="E77" i="54"/>
  <c r="G77" i="54"/>
  <c r="AN77" i="54"/>
  <c r="AS77" i="54"/>
  <c r="H77" i="12"/>
  <c r="F77" i="54"/>
  <c r="H77" i="54"/>
  <c r="AO77" i="54"/>
  <c r="AP77" i="54"/>
  <c r="AR77" i="54"/>
  <c r="BH77" i="54" a="1"/>
  <c r="BH77" i="54"/>
  <c r="AT78" i="54"/>
  <c r="G78" i="12"/>
  <c r="E78" i="54"/>
  <c r="G78" i="54"/>
  <c r="AN78" i="54"/>
  <c r="AS78" i="54"/>
  <c r="H78" i="12"/>
  <c r="F78" i="54"/>
  <c r="H78" i="54"/>
  <c r="AO78" i="54"/>
  <c r="AP78" i="54"/>
  <c r="AR78" i="54"/>
  <c r="BH78" i="54" a="1"/>
  <c r="AT79" i="54"/>
  <c r="G79" i="12"/>
  <c r="E79" i="54"/>
  <c r="G79" i="54"/>
  <c r="AN79" i="54"/>
  <c r="AS79" i="54"/>
  <c r="H79" i="12"/>
  <c r="F79" i="54"/>
  <c r="H79" i="54"/>
  <c r="AO79" i="54"/>
  <c r="AP79" i="54"/>
  <c r="AR79" i="54"/>
  <c r="BH79" i="54" a="1"/>
  <c r="AT80" i="54"/>
  <c r="G80" i="12"/>
  <c r="E80" i="54"/>
  <c r="G80" i="54"/>
  <c r="AN80" i="54"/>
  <c r="AS80" i="54"/>
  <c r="H80" i="12"/>
  <c r="F80" i="54"/>
  <c r="H80" i="54"/>
  <c r="AO80" i="54"/>
  <c r="AP80" i="54"/>
  <c r="AR80" i="54"/>
  <c r="BH80" i="54" a="1"/>
  <c r="AT81" i="54"/>
  <c r="G81" i="12"/>
  <c r="E81" i="54"/>
  <c r="G81" i="54"/>
  <c r="AN81" i="54"/>
  <c r="AS81" i="54"/>
  <c r="H81" i="12"/>
  <c r="F81" i="54"/>
  <c r="H81" i="54"/>
  <c r="AO81" i="54"/>
  <c r="AP81" i="54"/>
  <c r="AR81" i="54"/>
  <c r="BH81" i="54" a="1"/>
  <c r="AT82" i="54"/>
  <c r="G82" i="12"/>
  <c r="E82" i="54"/>
  <c r="G82" i="54"/>
  <c r="AN82" i="54"/>
  <c r="W27" i="1"/>
  <c r="AS82" i="54"/>
  <c r="F82" i="12"/>
  <c r="H82" i="12"/>
  <c r="F82" i="54"/>
  <c r="H82" i="54"/>
  <c r="AO82" i="54"/>
  <c r="AP82" i="54"/>
  <c r="AR82" i="54"/>
  <c r="BH82" i="54" a="1"/>
  <c r="AT83" i="54"/>
  <c r="G83" i="12"/>
  <c r="E83" i="54"/>
  <c r="G83" i="54"/>
  <c r="AN83" i="54"/>
  <c r="W20" i="1"/>
  <c r="AS83" i="54"/>
  <c r="AA19" i="12"/>
  <c r="F83" i="12"/>
  <c r="H83" i="12"/>
  <c r="F83" i="54"/>
  <c r="H83" i="54"/>
  <c r="AO83" i="54"/>
  <c r="AP83" i="54"/>
  <c r="AR83" i="54"/>
  <c r="BH83" i="54" a="1"/>
  <c r="AT84" i="54"/>
  <c r="G84" i="12"/>
  <c r="E84" i="54"/>
  <c r="G84" i="54"/>
  <c r="AN84" i="54"/>
  <c r="AS84" i="54"/>
  <c r="F84" i="12"/>
  <c r="H84" i="12"/>
  <c r="F84" i="54"/>
  <c r="H84" i="54"/>
  <c r="AO84" i="54"/>
  <c r="AP84" i="54"/>
  <c r="AR84" i="54"/>
  <c r="BH84" i="54" a="1"/>
  <c r="AT85" i="54"/>
  <c r="G85" i="12"/>
  <c r="E85" i="54"/>
  <c r="G85" i="54"/>
  <c r="AN85" i="54"/>
  <c r="AS85" i="54"/>
  <c r="F85" i="12"/>
  <c r="H85" i="12"/>
  <c r="F85" i="54"/>
  <c r="H85" i="54"/>
  <c r="AO85" i="54"/>
  <c r="AP85" i="54"/>
  <c r="AR85" i="54"/>
  <c r="BH85" i="54" a="1"/>
  <c r="AT86" i="54"/>
  <c r="G86" i="12"/>
  <c r="E86" i="54"/>
  <c r="G86" i="54"/>
  <c r="AN86" i="54"/>
  <c r="AS86" i="54"/>
  <c r="F86" i="12"/>
  <c r="H86" i="12"/>
  <c r="F86" i="54"/>
  <c r="H86" i="54"/>
  <c r="AO86" i="54"/>
  <c r="AP86" i="54"/>
  <c r="AR86" i="54"/>
  <c r="BH86" i="54" a="1"/>
  <c r="BH78" i="54"/>
  <c r="BH79" i="54"/>
  <c r="BH80" i="54"/>
  <c r="BH81" i="54"/>
  <c r="BH82" i="54"/>
  <c r="BH83" i="54"/>
  <c r="BH84" i="54"/>
  <c r="BH85" i="54"/>
  <c r="BH86" i="54"/>
  <c r="BH87" i="54"/>
  <c r="BG74" i="54"/>
  <c r="BG76" i="54" a="1"/>
  <c r="BG76" i="54"/>
  <c r="BG77" i="54" a="1"/>
  <c r="BG77" i="54"/>
  <c r="BG78" i="54" a="1"/>
  <c r="BG79" i="54" a="1"/>
  <c r="BG80" i="54" a="1"/>
  <c r="BG81" i="54" a="1"/>
  <c r="BG82" i="54" a="1"/>
  <c r="BG83" i="54" a="1"/>
  <c r="BG84" i="54" a="1"/>
  <c r="BG85" i="54" a="1"/>
  <c r="BG86" i="54" a="1"/>
  <c r="BG78" i="54"/>
  <c r="BG79" i="54"/>
  <c r="BG80" i="54"/>
  <c r="BG81" i="54"/>
  <c r="BG82" i="54"/>
  <c r="BG83" i="54"/>
  <c r="BG84" i="54"/>
  <c r="BG85" i="54"/>
  <c r="BG86" i="54"/>
  <c r="BG87" i="54"/>
  <c r="BF74" i="54"/>
  <c r="BF76" i="54" a="1"/>
  <c r="BF76" i="54"/>
  <c r="BF77" i="54" a="1"/>
  <c r="BF77" i="54"/>
  <c r="BF78" i="54" a="1"/>
  <c r="BF79" i="54" a="1"/>
  <c r="BF80" i="54" a="1"/>
  <c r="BF81" i="54" a="1"/>
  <c r="BF82" i="54" a="1"/>
  <c r="BF83" i="54" a="1"/>
  <c r="BF84" i="54" a="1"/>
  <c r="BF85" i="54" a="1"/>
  <c r="BF86" i="54" a="1"/>
  <c r="BF78" i="54"/>
  <c r="BF79" i="54"/>
  <c r="BF80" i="54"/>
  <c r="BF81" i="54"/>
  <c r="BF82" i="54"/>
  <c r="BF83" i="54"/>
  <c r="BF84" i="54"/>
  <c r="BF85" i="54"/>
  <c r="BF86" i="54"/>
  <c r="BF87" i="54"/>
  <c r="BE74" i="54"/>
  <c r="BE76" i="54" a="1"/>
  <c r="BE76" i="54"/>
  <c r="BE77" i="54" a="1"/>
  <c r="BE77" i="54"/>
  <c r="BE78" i="54" a="1"/>
  <c r="BE79" i="54" a="1"/>
  <c r="BE80" i="54" a="1"/>
  <c r="BE81" i="54" a="1"/>
  <c r="BE82" i="54" a="1"/>
  <c r="BE83" i="54" a="1"/>
  <c r="BE84" i="54" a="1"/>
  <c r="BE85" i="54" a="1"/>
  <c r="BE86" i="54" a="1"/>
  <c r="BE78" i="54"/>
  <c r="BE79" i="54"/>
  <c r="BE80" i="54"/>
  <c r="BE81" i="54"/>
  <c r="BE82" i="54"/>
  <c r="BE83" i="54"/>
  <c r="BE84" i="54"/>
  <c r="BE85" i="54"/>
  <c r="BE86" i="54"/>
  <c r="BE87" i="54"/>
  <c r="BD74" i="54"/>
  <c r="BD76" i="54" a="1"/>
  <c r="BD76" i="54"/>
  <c r="BD77" i="54" a="1"/>
  <c r="BD77" i="54"/>
  <c r="BD78" i="54" a="1"/>
  <c r="BD79" i="54" a="1"/>
  <c r="BD80" i="54" a="1"/>
  <c r="BD81" i="54" a="1"/>
  <c r="BD82" i="54" a="1"/>
  <c r="BD83" i="54" a="1"/>
  <c r="BD84" i="54" a="1"/>
  <c r="BD85" i="54" a="1"/>
  <c r="BD86" i="54" a="1"/>
  <c r="BD78" i="54"/>
  <c r="BD79" i="54"/>
  <c r="BD80" i="54"/>
  <c r="BD81" i="54"/>
  <c r="BD82" i="54"/>
  <c r="BD83" i="54"/>
  <c r="BD84" i="54"/>
  <c r="BD85" i="54"/>
  <c r="BD86" i="54"/>
  <c r="BD87" i="54"/>
  <c r="BC74" i="54"/>
  <c r="BC76" i="54" a="1"/>
  <c r="BC76" i="54"/>
  <c r="BC77" i="54" a="1"/>
  <c r="BC77" i="54"/>
  <c r="BC78" i="54" a="1"/>
  <c r="BC79" i="54" a="1"/>
  <c r="BC80" i="54" a="1"/>
  <c r="BC81" i="54" a="1"/>
  <c r="BC82" i="54" a="1"/>
  <c r="BC83" i="54" a="1"/>
  <c r="BC84" i="54" a="1"/>
  <c r="BC85" i="54" a="1"/>
  <c r="BC86" i="54" a="1"/>
  <c r="BC78" i="54"/>
  <c r="BC79" i="54"/>
  <c r="BC80" i="54"/>
  <c r="BC81" i="54"/>
  <c r="BC82" i="54"/>
  <c r="BC83" i="54"/>
  <c r="BC84" i="54"/>
  <c r="BC85" i="54"/>
  <c r="BC86" i="54"/>
  <c r="BC87" i="54"/>
  <c r="BB74" i="54"/>
  <c r="BB76" i="54" a="1"/>
  <c r="BB76" i="54"/>
  <c r="BB77" i="54" a="1"/>
  <c r="BB77" i="54"/>
  <c r="BB78" i="54" a="1"/>
  <c r="BB79" i="54" a="1"/>
  <c r="BB80" i="54" a="1"/>
  <c r="BB81" i="54" a="1"/>
  <c r="BB82" i="54" a="1"/>
  <c r="BB83" i="54" a="1"/>
  <c r="BB84" i="54" a="1"/>
  <c r="BB85" i="54" a="1"/>
  <c r="BB86" i="54" a="1"/>
  <c r="BB78" i="54"/>
  <c r="BB79" i="54"/>
  <c r="BB80" i="54"/>
  <c r="BB81" i="54"/>
  <c r="BB82" i="54"/>
  <c r="BB83" i="54"/>
  <c r="BB84" i="54"/>
  <c r="BB85" i="54"/>
  <c r="BB86" i="54"/>
  <c r="BB87" i="54"/>
  <c r="BA74" i="54"/>
  <c r="BA76" i="54" a="1"/>
  <c r="BA76" i="54"/>
  <c r="BA77" i="54" a="1"/>
  <c r="BA77" i="54"/>
  <c r="BA78" i="54" a="1"/>
  <c r="BA79" i="54" a="1"/>
  <c r="BA80" i="54" a="1"/>
  <c r="BA81" i="54" a="1"/>
  <c r="BA82" i="54" a="1"/>
  <c r="BA83" i="54" a="1"/>
  <c r="BA84" i="54" a="1"/>
  <c r="BA85" i="54" a="1"/>
  <c r="BA86" i="54" a="1"/>
  <c r="BA78" i="54"/>
  <c r="BA79" i="54"/>
  <c r="BA80" i="54"/>
  <c r="BA81" i="54"/>
  <c r="BA82" i="54"/>
  <c r="BA83" i="54"/>
  <c r="BA84" i="54"/>
  <c r="BA85" i="54"/>
  <c r="BA86" i="54"/>
  <c r="BA87" i="54"/>
  <c r="AZ74" i="54"/>
  <c r="AZ76" i="54" a="1"/>
  <c r="AZ76" i="54"/>
  <c r="AZ77" i="54" a="1"/>
  <c r="AZ77" i="54"/>
  <c r="AZ78" i="54" a="1"/>
  <c r="AZ79" i="54" a="1"/>
  <c r="AZ80" i="54" a="1"/>
  <c r="AZ81" i="54" a="1"/>
  <c r="AZ82" i="54" a="1"/>
  <c r="AZ83" i="54" a="1"/>
  <c r="AZ84" i="54" a="1"/>
  <c r="AZ85" i="54" a="1"/>
  <c r="AZ86" i="54" a="1"/>
  <c r="AZ78" i="54"/>
  <c r="AZ79" i="54"/>
  <c r="AZ80" i="54"/>
  <c r="AZ81" i="54"/>
  <c r="AZ82" i="54"/>
  <c r="AZ83" i="54"/>
  <c r="AZ84" i="54"/>
  <c r="AZ85" i="54"/>
  <c r="AZ86" i="54"/>
  <c r="AZ87" i="54"/>
  <c r="AY74" i="54"/>
  <c r="AY76" i="54" a="1"/>
  <c r="AY76" i="54"/>
  <c r="AY77" i="54" a="1"/>
  <c r="AY77" i="54"/>
  <c r="AY78" i="54" a="1"/>
  <c r="AY79" i="54" a="1"/>
  <c r="AY80" i="54" a="1"/>
  <c r="AY81" i="54" a="1"/>
  <c r="AY82" i="54" a="1"/>
  <c r="AY83" i="54" a="1"/>
  <c r="AY84" i="54" a="1"/>
  <c r="AY85" i="54" a="1"/>
  <c r="AY86" i="54" a="1"/>
  <c r="AY78" i="54"/>
  <c r="AY79" i="54"/>
  <c r="AY80" i="54"/>
  <c r="AY81" i="54"/>
  <c r="AY82" i="54"/>
  <c r="AY83" i="54"/>
  <c r="AY84" i="54"/>
  <c r="AY85" i="54"/>
  <c r="AY86" i="54"/>
  <c r="AY87" i="54"/>
  <c r="AX74" i="54"/>
  <c r="AX76" i="54" a="1"/>
  <c r="AX76" i="54"/>
  <c r="AX77" i="54" a="1"/>
  <c r="AX77" i="54"/>
  <c r="AX78" i="54" a="1"/>
  <c r="AX79" i="54" a="1"/>
  <c r="AX80" i="54" a="1"/>
  <c r="AX81" i="54" a="1"/>
  <c r="AX82" i="54" a="1"/>
  <c r="AX83" i="54" a="1"/>
  <c r="AX84" i="54" a="1"/>
  <c r="AX85" i="54" a="1"/>
  <c r="AX86" i="54" a="1"/>
  <c r="AX78" i="54"/>
  <c r="AX79" i="54"/>
  <c r="AX80" i="54"/>
  <c r="AX81" i="54"/>
  <c r="AX82" i="54"/>
  <c r="AX83" i="54"/>
  <c r="AX84" i="54"/>
  <c r="AX85" i="54"/>
  <c r="AX86" i="54"/>
  <c r="AX87" i="54"/>
  <c r="AW74" i="54"/>
  <c r="AW76" i="54" a="1"/>
  <c r="AW76" i="54"/>
  <c r="AW77" i="54" a="1"/>
  <c r="AW77" i="54"/>
  <c r="AW78" i="54" a="1"/>
  <c r="AW79" i="54" a="1"/>
  <c r="AW80" i="54" a="1"/>
  <c r="AW81" i="54" a="1"/>
  <c r="AW82" i="54" a="1"/>
  <c r="AW83" i="54" a="1"/>
  <c r="AW84" i="54" a="1"/>
  <c r="AW85" i="54" a="1"/>
  <c r="AW86" i="54" a="1"/>
  <c r="AW78" i="54"/>
  <c r="AW79" i="54"/>
  <c r="AW80" i="54"/>
  <c r="AW81" i="54"/>
  <c r="AW82" i="54"/>
  <c r="AW83" i="54"/>
  <c r="AW84" i="54"/>
  <c r="AW85" i="54"/>
  <c r="AW86" i="54"/>
  <c r="AW87" i="54"/>
  <c r="AV74" i="54"/>
  <c r="AV76" i="54" a="1"/>
  <c r="AV76" i="54"/>
  <c r="AV77" i="54" a="1"/>
  <c r="AV77" i="54"/>
  <c r="AV78" i="54" a="1"/>
  <c r="AV79" i="54" a="1"/>
  <c r="AV80" i="54" a="1"/>
  <c r="AV81" i="54" a="1"/>
  <c r="AV82" i="54" a="1"/>
  <c r="AV83" i="54" a="1"/>
  <c r="AV84" i="54" a="1"/>
  <c r="AV85" i="54" a="1"/>
  <c r="AV86" i="54" a="1"/>
  <c r="AV78" i="54"/>
  <c r="AV79" i="54"/>
  <c r="AV80" i="54"/>
  <c r="AV81" i="54"/>
  <c r="AV82" i="54"/>
  <c r="AV83" i="54"/>
  <c r="AV84" i="54"/>
  <c r="AV85" i="54"/>
  <c r="AV86" i="54"/>
  <c r="AV87" i="54"/>
  <c r="AU74" i="54"/>
  <c r="AU76" i="54" a="1"/>
  <c r="AU76" i="54"/>
  <c r="AU77" i="54" a="1"/>
  <c r="AU77" i="54"/>
  <c r="AU78" i="54" a="1"/>
  <c r="AU79" i="54" a="1"/>
  <c r="AU80" i="54" a="1"/>
  <c r="AU81" i="54" a="1"/>
  <c r="AU82" i="54" a="1"/>
  <c r="AU83" i="54" a="1"/>
  <c r="AU84" i="54" a="1"/>
  <c r="AU85" i="54" a="1"/>
  <c r="AU86" i="54" a="1"/>
  <c r="AU78" i="54"/>
  <c r="AU79" i="54"/>
  <c r="AU80" i="54"/>
  <c r="AU81" i="54"/>
  <c r="AU82" i="54"/>
  <c r="AU83" i="54"/>
  <c r="AU84" i="54"/>
  <c r="AU85" i="54"/>
  <c r="AU86" i="54"/>
  <c r="AU87" i="54"/>
  <c r="J87" i="54"/>
  <c r="I87" i="54"/>
  <c r="CJ86" i="54"/>
  <c r="CI86" i="54"/>
  <c r="CH86" i="54"/>
  <c r="CG86" i="54"/>
  <c r="CF86" i="54"/>
  <c r="CE86" i="54"/>
  <c r="CD86" i="54"/>
  <c r="CC86" i="54"/>
  <c r="CB86" i="54"/>
  <c r="CA86" i="54"/>
  <c r="BZ86" i="54"/>
  <c r="BY86" i="54"/>
  <c r="BX86" i="54"/>
  <c r="BW86" i="54"/>
  <c r="BV86" i="54"/>
  <c r="BU86" i="54"/>
  <c r="BT86" i="54"/>
  <c r="BS86" i="54"/>
  <c r="BR86" i="54"/>
  <c r="BQ86" i="54"/>
  <c r="BP86" i="54"/>
  <c r="BO86" i="54"/>
  <c r="BN86" i="54"/>
  <c r="BM86" i="54"/>
  <c r="BL86" i="54"/>
  <c r="BK86" i="54"/>
  <c r="BJ86" i="54"/>
  <c r="BI86" i="54"/>
  <c r="AQ86" i="54"/>
  <c r="AM86" i="54"/>
  <c r="X86" i="54"/>
  <c r="Y86" i="12"/>
  <c r="Y86" i="54"/>
  <c r="J86" i="54"/>
  <c r="I86" i="54"/>
  <c r="B86" i="54"/>
  <c r="CJ85" i="54"/>
  <c r="CI85" i="54"/>
  <c r="CH85" i="54"/>
  <c r="CG85" i="54"/>
  <c r="CF85" i="54"/>
  <c r="CE85" i="54"/>
  <c r="CD85" i="54"/>
  <c r="CC85" i="54"/>
  <c r="CB85" i="54"/>
  <c r="CA85" i="54"/>
  <c r="BZ85" i="54"/>
  <c r="BY85" i="54"/>
  <c r="BX85" i="54"/>
  <c r="BW85" i="54"/>
  <c r="BV85" i="54"/>
  <c r="BU85" i="54"/>
  <c r="BT85" i="54"/>
  <c r="BS85" i="54"/>
  <c r="BR85" i="54"/>
  <c r="BQ85" i="54"/>
  <c r="BP85" i="54"/>
  <c r="BO85" i="54"/>
  <c r="BN85" i="54"/>
  <c r="BM85" i="54"/>
  <c r="BL85" i="54"/>
  <c r="BK85" i="54"/>
  <c r="BJ85" i="54"/>
  <c r="BI85" i="54"/>
  <c r="AQ85" i="54"/>
  <c r="AM85" i="54"/>
  <c r="X85" i="54"/>
  <c r="Y85" i="12"/>
  <c r="Y85" i="54"/>
  <c r="J85" i="54"/>
  <c r="I85" i="54"/>
  <c r="B85" i="54"/>
  <c r="CJ84" i="54"/>
  <c r="CI84" i="54"/>
  <c r="CH84" i="54"/>
  <c r="CG84" i="54"/>
  <c r="CF84" i="54"/>
  <c r="CE84" i="54"/>
  <c r="CD84" i="54"/>
  <c r="CC84" i="54"/>
  <c r="CB84" i="54"/>
  <c r="CA84" i="54"/>
  <c r="BZ84" i="54"/>
  <c r="BY84" i="54"/>
  <c r="BX84" i="54"/>
  <c r="BW84" i="54"/>
  <c r="BV84" i="54"/>
  <c r="BU84" i="54"/>
  <c r="BT84" i="54"/>
  <c r="BS84" i="54"/>
  <c r="BR84" i="54"/>
  <c r="BQ84" i="54"/>
  <c r="BP84" i="54"/>
  <c r="BO84" i="54"/>
  <c r="BN84" i="54"/>
  <c r="BM84" i="54"/>
  <c r="BL84" i="54"/>
  <c r="BK84" i="54"/>
  <c r="BJ84" i="54"/>
  <c r="BI84" i="54"/>
  <c r="AQ84" i="54"/>
  <c r="AM84" i="54"/>
  <c r="X84" i="54"/>
  <c r="Y84" i="12"/>
  <c r="Y84" i="54"/>
  <c r="J84" i="54"/>
  <c r="I84" i="54"/>
  <c r="B84" i="54"/>
  <c r="CJ83" i="54"/>
  <c r="CI83" i="54"/>
  <c r="CH83" i="54"/>
  <c r="CG83" i="54"/>
  <c r="CF83" i="54"/>
  <c r="CE83" i="54"/>
  <c r="CD83" i="54"/>
  <c r="CC83" i="54"/>
  <c r="CB83" i="54"/>
  <c r="CA83" i="54"/>
  <c r="BZ83" i="54"/>
  <c r="BY83" i="54"/>
  <c r="BX83" i="54"/>
  <c r="BW83" i="54"/>
  <c r="BV83" i="54"/>
  <c r="BU83" i="54"/>
  <c r="BT83" i="54"/>
  <c r="BS83" i="54"/>
  <c r="BR83" i="54"/>
  <c r="BQ83" i="54"/>
  <c r="BP83" i="54"/>
  <c r="BO83" i="54"/>
  <c r="BN83" i="54"/>
  <c r="BM83" i="54"/>
  <c r="BL83" i="54"/>
  <c r="BK83" i="54"/>
  <c r="BJ83" i="54"/>
  <c r="BI83" i="54"/>
  <c r="AQ83" i="54"/>
  <c r="AM83" i="54"/>
  <c r="X83" i="54"/>
  <c r="Y83" i="12"/>
  <c r="Y83" i="54"/>
  <c r="J83" i="54"/>
  <c r="I83" i="54"/>
  <c r="B83" i="54"/>
  <c r="CJ82" i="54"/>
  <c r="CI82" i="54"/>
  <c r="CH82" i="54"/>
  <c r="CG82" i="54"/>
  <c r="CF82" i="54"/>
  <c r="CE82" i="54"/>
  <c r="CD82" i="54"/>
  <c r="CC82" i="54"/>
  <c r="CB82" i="54"/>
  <c r="CA82" i="54"/>
  <c r="BZ82" i="54"/>
  <c r="BY82" i="54"/>
  <c r="BX82" i="54"/>
  <c r="BW82" i="54"/>
  <c r="BV82" i="54"/>
  <c r="BU82" i="54"/>
  <c r="BT82" i="54"/>
  <c r="BS82" i="54"/>
  <c r="BR82" i="54"/>
  <c r="BQ82" i="54"/>
  <c r="BP82" i="54"/>
  <c r="BO82" i="54"/>
  <c r="BN82" i="54"/>
  <c r="BM82" i="54"/>
  <c r="BL82" i="54"/>
  <c r="BK82" i="54"/>
  <c r="BJ82" i="54"/>
  <c r="BI82" i="54"/>
  <c r="AQ82" i="54"/>
  <c r="AM82" i="54"/>
  <c r="X82" i="54"/>
  <c r="Y82" i="12"/>
  <c r="Y82" i="54"/>
  <c r="J82" i="54"/>
  <c r="I82" i="54"/>
  <c r="B82" i="54"/>
  <c r="CJ81" i="54"/>
  <c r="CI81" i="54"/>
  <c r="CH81" i="54"/>
  <c r="CG81" i="54"/>
  <c r="CF81" i="54"/>
  <c r="CE81" i="54"/>
  <c r="CD81" i="54"/>
  <c r="CC81" i="54"/>
  <c r="CB81" i="54"/>
  <c r="CA81" i="54"/>
  <c r="BZ81" i="54"/>
  <c r="BY81" i="54"/>
  <c r="BX81" i="54"/>
  <c r="BW81" i="54"/>
  <c r="BV81" i="54"/>
  <c r="BU81" i="54"/>
  <c r="BT81" i="54"/>
  <c r="BS81" i="54"/>
  <c r="BR81" i="54"/>
  <c r="BQ81" i="54"/>
  <c r="BP81" i="54"/>
  <c r="BO81" i="54"/>
  <c r="BN81" i="54"/>
  <c r="BM81" i="54"/>
  <c r="BL81" i="54"/>
  <c r="BK81" i="54"/>
  <c r="BJ81" i="54"/>
  <c r="BI81" i="54"/>
  <c r="AQ81" i="54"/>
  <c r="AM81" i="54"/>
  <c r="X81" i="54"/>
  <c r="Y81" i="12"/>
  <c r="Y81" i="54"/>
  <c r="J81" i="54"/>
  <c r="I81" i="54"/>
  <c r="B81" i="54"/>
  <c r="CJ80" i="54"/>
  <c r="CI80" i="54"/>
  <c r="CH80" i="54"/>
  <c r="CG80" i="54"/>
  <c r="CF80" i="54"/>
  <c r="CE80" i="54"/>
  <c r="CD80" i="54"/>
  <c r="CC80" i="54"/>
  <c r="CB80" i="54"/>
  <c r="CA80" i="54"/>
  <c r="BZ80" i="54"/>
  <c r="BY80" i="54"/>
  <c r="BX80" i="54"/>
  <c r="BW80" i="54"/>
  <c r="BV80" i="54"/>
  <c r="BU80" i="54"/>
  <c r="BT80" i="54"/>
  <c r="BS80" i="54"/>
  <c r="BR80" i="54"/>
  <c r="BQ80" i="54"/>
  <c r="BP80" i="54"/>
  <c r="BO80" i="54"/>
  <c r="BN80" i="54"/>
  <c r="BM80" i="54"/>
  <c r="BL80" i="54"/>
  <c r="BK80" i="54"/>
  <c r="BJ80" i="54"/>
  <c r="BI80" i="54"/>
  <c r="AQ80" i="54"/>
  <c r="AM80" i="54"/>
  <c r="X80" i="54"/>
  <c r="Y80" i="12"/>
  <c r="Y80" i="54"/>
  <c r="J80" i="54"/>
  <c r="I80" i="54"/>
  <c r="B80" i="54"/>
  <c r="CJ79" i="54"/>
  <c r="CI79" i="54"/>
  <c r="CH79" i="54"/>
  <c r="CG79" i="54"/>
  <c r="CF79" i="54"/>
  <c r="CE79" i="54"/>
  <c r="CD79" i="54"/>
  <c r="CC79" i="54"/>
  <c r="CB79" i="54"/>
  <c r="CA79" i="54"/>
  <c r="BZ79" i="54"/>
  <c r="BY79" i="54"/>
  <c r="BX79" i="54"/>
  <c r="BW79" i="54"/>
  <c r="BV79" i="54"/>
  <c r="BU79" i="54"/>
  <c r="BT79" i="54"/>
  <c r="BS79" i="54"/>
  <c r="BR79" i="54"/>
  <c r="BQ79" i="54"/>
  <c r="BP79" i="54"/>
  <c r="BO79" i="54"/>
  <c r="BN79" i="54"/>
  <c r="BM79" i="54"/>
  <c r="BL79" i="54"/>
  <c r="BK79" i="54"/>
  <c r="BJ79" i="54"/>
  <c r="BI79" i="54"/>
  <c r="AQ79" i="54"/>
  <c r="AM79" i="54"/>
  <c r="X79" i="54"/>
  <c r="Y79" i="12"/>
  <c r="Y79" i="54"/>
  <c r="J79" i="54"/>
  <c r="I79" i="54"/>
  <c r="B79" i="54"/>
  <c r="CJ78" i="54"/>
  <c r="CI78" i="54"/>
  <c r="CH78" i="54"/>
  <c r="CG78" i="54"/>
  <c r="CF78" i="54"/>
  <c r="CE78" i="54"/>
  <c r="CD78" i="54"/>
  <c r="CC78" i="54"/>
  <c r="CB78" i="54"/>
  <c r="CA78" i="54"/>
  <c r="BZ78" i="54"/>
  <c r="BY78" i="54"/>
  <c r="BX78" i="54"/>
  <c r="BW78" i="54"/>
  <c r="BV78" i="54"/>
  <c r="BU78" i="54"/>
  <c r="BT78" i="54"/>
  <c r="BS78" i="54"/>
  <c r="BR78" i="54"/>
  <c r="BQ78" i="54"/>
  <c r="BP78" i="54"/>
  <c r="BO78" i="54"/>
  <c r="BN78" i="54"/>
  <c r="BM78" i="54"/>
  <c r="BL78" i="54"/>
  <c r="BK78" i="54"/>
  <c r="BJ78" i="54"/>
  <c r="BI78" i="54"/>
  <c r="AQ78" i="54"/>
  <c r="AM78" i="54"/>
  <c r="X78" i="54"/>
  <c r="Y78" i="12"/>
  <c r="Y78" i="54"/>
  <c r="J78" i="54"/>
  <c r="I78" i="54"/>
  <c r="B78" i="54"/>
  <c r="CJ77" i="54"/>
  <c r="CI77" i="54"/>
  <c r="CH77" i="54"/>
  <c r="CG77" i="54"/>
  <c r="CF77" i="54"/>
  <c r="CE77" i="54"/>
  <c r="CD77" i="54"/>
  <c r="CC77" i="54"/>
  <c r="CB77" i="54"/>
  <c r="CA77" i="54"/>
  <c r="BZ77" i="54"/>
  <c r="BY77" i="54"/>
  <c r="BX77" i="54"/>
  <c r="BW77" i="54"/>
  <c r="BV77" i="54"/>
  <c r="BU77" i="54"/>
  <c r="BT77" i="54"/>
  <c r="BS77" i="54"/>
  <c r="BR77" i="54"/>
  <c r="BQ77" i="54"/>
  <c r="BP77" i="54"/>
  <c r="BO77" i="54"/>
  <c r="BN77" i="54"/>
  <c r="BM77" i="54"/>
  <c r="BL77" i="54"/>
  <c r="BK77" i="54"/>
  <c r="BJ77" i="54"/>
  <c r="BI77" i="54"/>
  <c r="AQ77" i="54"/>
  <c r="AM77" i="54"/>
  <c r="X77" i="54"/>
  <c r="Y77" i="12"/>
  <c r="Y77" i="54"/>
  <c r="J77" i="54"/>
  <c r="I77" i="54"/>
  <c r="B77" i="54"/>
  <c r="CJ76" i="54"/>
  <c r="CI76" i="54"/>
  <c r="CH76" i="54"/>
  <c r="CG76" i="54"/>
  <c r="CF76" i="54"/>
  <c r="CE76" i="54"/>
  <c r="CD76" i="54"/>
  <c r="CC76" i="54"/>
  <c r="CB76" i="54"/>
  <c r="CA76" i="54"/>
  <c r="BZ76" i="54"/>
  <c r="BY76" i="54"/>
  <c r="BX76" i="54"/>
  <c r="BW76" i="54"/>
  <c r="BV76" i="54"/>
  <c r="BU76" i="54"/>
  <c r="BT76" i="54"/>
  <c r="BS76" i="54"/>
  <c r="BR76" i="54"/>
  <c r="BQ76" i="54"/>
  <c r="BP76" i="54"/>
  <c r="BO76" i="54"/>
  <c r="BN76" i="54"/>
  <c r="BM76" i="54"/>
  <c r="BL76" i="54"/>
  <c r="BK76" i="54"/>
  <c r="BJ76" i="54"/>
  <c r="BI76" i="54"/>
  <c r="AQ76" i="54"/>
  <c r="AM76" i="54"/>
  <c r="X76" i="54"/>
  <c r="Y76" i="12"/>
  <c r="Y76" i="54"/>
  <c r="J76" i="54"/>
  <c r="I76" i="54"/>
  <c r="B76" i="54"/>
  <c r="CJ75" i="54"/>
  <c r="CI75" i="54"/>
  <c r="AA17" i="12"/>
  <c r="CH75" i="54"/>
  <c r="CG75" i="54"/>
  <c r="CF75" i="54"/>
  <c r="CE75" i="54"/>
  <c r="AA14" i="12"/>
  <c r="CD75" i="54"/>
  <c r="CC75" i="54"/>
  <c r="CB75" i="54"/>
  <c r="AA11" i="12"/>
  <c r="CA75" i="54"/>
  <c r="BZ75" i="54"/>
  <c r="BY75" i="54"/>
  <c r="BX75" i="54"/>
  <c r="BW75" i="54"/>
  <c r="BV75" i="54"/>
  <c r="BU75" i="54"/>
  <c r="BT75" i="54"/>
  <c r="BS75" i="54"/>
  <c r="BR75" i="54"/>
  <c r="BQ75" i="54"/>
  <c r="AA13" i="12"/>
  <c r="BP75" i="54"/>
  <c r="BO75" i="54"/>
  <c r="BN75" i="54"/>
  <c r="AA10" i="12"/>
  <c r="BM75" i="54"/>
  <c r="BL75" i="54"/>
  <c r="BK75" i="54"/>
  <c r="BJ75" i="54"/>
  <c r="BI75" i="54"/>
  <c r="BH75" i="54"/>
  <c r="BG75" i="54"/>
  <c r="BF75" i="54"/>
  <c r="BE75" i="54"/>
  <c r="BD75" i="54"/>
  <c r="BC75" i="54"/>
  <c r="BB75" i="54"/>
  <c r="BA75" i="54"/>
  <c r="AZ75" i="54"/>
  <c r="AY75" i="54"/>
  <c r="AX75" i="54"/>
  <c r="AW75" i="54"/>
  <c r="AV75" i="54"/>
  <c r="AU75" i="54"/>
  <c r="J75" i="54"/>
  <c r="I75" i="54"/>
  <c r="G75" i="54"/>
  <c r="CJ74" i="54"/>
  <c r="CI74" i="54"/>
  <c r="CH74" i="54"/>
  <c r="CG74" i="54"/>
  <c r="CF74" i="54"/>
  <c r="CE74" i="54"/>
  <c r="CD74" i="54"/>
  <c r="CC74" i="54"/>
  <c r="CB74" i="54"/>
  <c r="CA74" i="54"/>
  <c r="BZ74" i="54"/>
  <c r="BY74" i="54"/>
  <c r="BX74" i="54"/>
  <c r="BW74" i="54"/>
  <c r="BV74" i="54"/>
  <c r="BU74" i="54"/>
  <c r="BT74" i="54"/>
  <c r="BS74" i="54"/>
  <c r="BR74" i="54"/>
  <c r="BQ74" i="54"/>
  <c r="BP74" i="54"/>
  <c r="BO74" i="54"/>
  <c r="BN74" i="54"/>
  <c r="BM74" i="54"/>
  <c r="BL74" i="54"/>
  <c r="BK74" i="54"/>
  <c r="BJ74" i="54"/>
  <c r="BI74" i="54"/>
  <c r="BZ27" i="54"/>
  <c r="X30" i="54"/>
  <c r="Y30" i="12"/>
  <c r="Y30" i="54"/>
  <c r="AA30" i="54"/>
  <c r="O30" i="12"/>
  <c r="AE30" i="54"/>
  <c r="AF30" i="54"/>
  <c r="AH30" i="54"/>
  <c r="BZ30" i="54" a="1"/>
  <c r="BZ30" i="54"/>
  <c r="X31" i="54"/>
  <c r="Y31" i="12"/>
  <c r="Y31" i="54"/>
  <c r="AA31" i="54"/>
  <c r="O31" i="12"/>
  <c r="AE31" i="54"/>
  <c r="AF31" i="54"/>
  <c r="AH31" i="54"/>
  <c r="BZ31" i="54" a="1"/>
  <c r="BZ31" i="54"/>
  <c r="X32" i="54"/>
  <c r="Y32" i="12"/>
  <c r="Y32" i="54"/>
  <c r="AA32" i="54"/>
  <c r="O32" i="12"/>
  <c r="AE32" i="54"/>
  <c r="AF32" i="54"/>
  <c r="AH32" i="54"/>
  <c r="BZ32" i="54" a="1"/>
  <c r="X33" i="54"/>
  <c r="Y33" i="12"/>
  <c r="Y33" i="54"/>
  <c r="AA33" i="54"/>
  <c r="O33" i="12"/>
  <c r="AE33" i="54"/>
  <c r="AF33" i="54"/>
  <c r="AH33" i="54"/>
  <c r="BZ33" i="54" a="1"/>
  <c r="X34" i="54"/>
  <c r="Y34" i="12"/>
  <c r="Y34" i="54"/>
  <c r="AA34" i="54"/>
  <c r="O34" i="12"/>
  <c r="AE34" i="54"/>
  <c r="AF34" i="54"/>
  <c r="AH34" i="54"/>
  <c r="BZ34" i="54" a="1"/>
  <c r="X35" i="54"/>
  <c r="Y35" i="12"/>
  <c r="Y35" i="54"/>
  <c r="AA35" i="54"/>
  <c r="O35" i="12"/>
  <c r="AE35" i="54"/>
  <c r="AF35" i="54"/>
  <c r="AH35" i="54"/>
  <c r="BZ35" i="54" a="1"/>
  <c r="X36" i="54"/>
  <c r="Y36" i="12"/>
  <c r="Y36" i="54"/>
  <c r="AA36" i="54"/>
  <c r="O36" i="12"/>
  <c r="AE36" i="54"/>
  <c r="AF36" i="54"/>
  <c r="AH36" i="54"/>
  <c r="BZ36" i="54" a="1"/>
  <c r="X37" i="54"/>
  <c r="Y37" i="12"/>
  <c r="Y37" i="54"/>
  <c r="AA37" i="54"/>
  <c r="O37" i="12"/>
  <c r="AE37" i="54"/>
  <c r="AF37" i="54"/>
  <c r="AH37" i="54"/>
  <c r="BZ37" i="54" a="1"/>
  <c r="X38" i="54"/>
  <c r="Y38" i="12"/>
  <c r="Y38" i="54"/>
  <c r="AA38" i="54"/>
  <c r="O38" i="12"/>
  <c r="AE38" i="54"/>
  <c r="AF38" i="54"/>
  <c r="AH38" i="54"/>
  <c r="BZ38" i="54" a="1"/>
  <c r="X39" i="54"/>
  <c r="Y39" i="12"/>
  <c r="Y39" i="54"/>
  <c r="AA39" i="54"/>
  <c r="AE39" i="54"/>
  <c r="AF39" i="54"/>
  <c r="AH39" i="54"/>
  <c r="BZ39" i="54" a="1"/>
  <c r="X40" i="54"/>
  <c r="Y40" i="12"/>
  <c r="Y40" i="54"/>
  <c r="AA40" i="54"/>
  <c r="O40" i="12"/>
  <c r="AE40" i="54"/>
  <c r="AF40" i="54"/>
  <c r="AH40" i="54"/>
  <c r="BZ40" i="54" a="1"/>
  <c r="X41" i="54"/>
  <c r="Y41" i="12"/>
  <c r="Y41" i="54"/>
  <c r="AA41" i="54"/>
  <c r="O41" i="12"/>
  <c r="AE41" i="54"/>
  <c r="AF41" i="54"/>
  <c r="AH41" i="54"/>
  <c r="BZ41" i="54" a="1"/>
  <c r="X42" i="54"/>
  <c r="Y42" i="12"/>
  <c r="Y42" i="54"/>
  <c r="AA42" i="54"/>
  <c r="O42" i="12"/>
  <c r="AE42" i="54"/>
  <c r="AF42" i="54"/>
  <c r="AH42" i="54"/>
  <c r="BZ42" i="54" a="1"/>
  <c r="X43" i="54"/>
  <c r="Y43" i="12"/>
  <c r="Y43" i="54"/>
  <c r="AA43" i="54"/>
  <c r="O43" i="12"/>
  <c r="AE43" i="54"/>
  <c r="AF43" i="54"/>
  <c r="AH43" i="54"/>
  <c r="BZ43" i="54" a="1"/>
  <c r="X44" i="54"/>
  <c r="Y44" i="12"/>
  <c r="Y44" i="54"/>
  <c r="AA44" i="54"/>
  <c r="O44" i="12"/>
  <c r="AE44" i="54"/>
  <c r="AF44" i="54"/>
  <c r="AH44" i="54"/>
  <c r="BZ44" i="54" a="1"/>
  <c r="X45" i="54"/>
  <c r="Y45" i="12"/>
  <c r="Y45" i="54"/>
  <c r="AA45" i="54"/>
  <c r="O45" i="12"/>
  <c r="AE45" i="54"/>
  <c r="AF45" i="54"/>
  <c r="AH45" i="54"/>
  <c r="BZ45" i="54" a="1"/>
  <c r="X46" i="54"/>
  <c r="Y46" i="12"/>
  <c r="Y46" i="54"/>
  <c r="AA46" i="54"/>
  <c r="O46" i="12"/>
  <c r="AE46" i="54"/>
  <c r="AF46" i="54"/>
  <c r="AH46" i="54"/>
  <c r="BZ46" i="54" a="1"/>
  <c r="X47" i="54"/>
  <c r="Y47" i="12"/>
  <c r="Y47" i="54"/>
  <c r="AA47" i="54"/>
  <c r="O47" i="12"/>
  <c r="AE47" i="54"/>
  <c r="AF47" i="54"/>
  <c r="AH47" i="54"/>
  <c r="BZ47" i="54" a="1"/>
  <c r="X48" i="54"/>
  <c r="Y48" i="12"/>
  <c r="Y48" i="54"/>
  <c r="AA48" i="54"/>
  <c r="O48" i="12"/>
  <c r="AE48" i="54"/>
  <c r="AF48" i="54"/>
  <c r="AH48" i="54"/>
  <c r="BZ48" i="54" a="1"/>
  <c r="X49" i="54"/>
  <c r="Y49" i="12"/>
  <c r="Y49" i="54"/>
  <c r="AA49" i="54"/>
  <c r="O49" i="12"/>
  <c r="AE49" i="54"/>
  <c r="AF49" i="54"/>
  <c r="AH49" i="54"/>
  <c r="BZ49" i="54" a="1"/>
  <c r="X50" i="54"/>
  <c r="Y50" i="12"/>
  <c r="Y50" i="54"/>
  <c r="AA50" i="54"/>
  <c r="O50" i="12"/>
  <c r="AE50" i="54"/>
  <c r="AF50" i="54"/>
  <c r="AH50" i="54"/>
  <c r="BZ50" i="54" a="1"/>
  <c r="X51" i="54"/>
  <c r="Y51" i="12"/>
  <c r="Y51" i="54"/>
  <c r="AA51" i="54"/>
  <c r="O51" i="12"/>
  <c r="AE51" i="54"/>
  <c r="AF51" i="54"/>
  <c r="AH51" i="54"/>
  <c r="BZ51" i="54" a="1"/>
  <c r="X52" i="54"/>
  <c r="Y52" i="12"/>
  <c r="Y52" i="54"/>
  <c r="AA52" i="54"/>
  <c r="O52" i="12"/>
  <c r="AE52" i="54"/>
  <c r="AF52" i="54"/>
  <c r="AH52" i="54"/>
  <c r="BZ52" i="54" a="1"/>
  <c r="X53" i="54"/>
  <c r="Y53" i="12"/>
  <c r="Y53" i="54"/>
  <c r="AA53" i="54"/>
  <c r="O53" i="12"/>
  <c r="AE53" i="54"/>
  <c r="AF53" i="54"/>
  <c r="AH53" i="54"/>
  <c r="BZ53" i="54" a="1"/>
  <c r="X54" i="54"/>
  <c r="Y54" i="12"/>
  <c r="Y54" i="54"/>
  <c r="AA54" i="54"/>
  <c r="O54" i="12"/>
  <c r="AE54" i="54"/>
  <c r="AF54" i="54"/>
  <c r="AH54" i="54"/>
  <c r="BZ54" i="54" a="1"/>
  <c r="X55" i="54"/>
  <c r="Y55" i="12"/>
  <c r="Y55" i="54"/>
  <c r="AA55" i="54"/>
  <c r="O55" i="12"/>
  <c r="AE55" i="54"/>
  <c r="AF55" i="54"/>
  <c r="AH55" i="54"/>
  <c r="BZ55" i="54" a="1"/>
  <c r="X56" i="54"/>
  <c r="Y56" i="12"/>
  <c r="Y56" i="54"/>
  <c r="AA56" i="54"/>
  <c r="O56" i="12"/>
  <c r="AE56" i="54"/>
  <c r="AF56" i="54"/>
  <c r="AH56" i="54"/>
  <c r="BZ56" i="54" a="1"/>
  <c r="X57" i="54"/>
  <c r="Y57" i="12"/>
  <c r="Y57" i="54"/>
  <c r="AA57" i="54"/>
  <c r="O57" i="12"/>
  <c r="AE57" i="54"/>
  <c r="AF57" i="54"/>
  <c r="AH57" i="54"/>
  <c r="BZ57" i="54" a="1"/>
  <c r="X58" i="54"/>
  <c r="Y58" i="12"/>
  <c r="Y58" i="54"/>
  <c r="AA58" i="54"/>
  <c r="O58" i="12"/>
  <c r="AE58" i="54"/>
  <c r="AF58" i="54"/>
  <c r="AH58" i="54"/>
  <c r="BZ58" i="54" a="1"/>
  <c r="X59" i="54"/>
  <c r="Y59" i="12"/>
  <c r="Y59" i="54"/>
  <c r="AA59" i="54"/>
  <c r="O59" i="12"/>
  <c r="AE59" i="54"/>
  <c r="AF59" i="54"/>
  <c r="AH59" i="54"/>
  <c r="BZ59" i="54" a="1"/>
  <c r="X60" i="54"/>
  <c r="Y60" i="12"/>
  <c r="Y60" i="54"/>
  <c r="AA60" i="54"/>
  <c r="O60" i="12"/>
  <c r="AE60" i="54"/>
  <c r="AF60" i="54"/>
  <c r="AH60" i="54"/>
  <c r="BZ60" i="54" a="1"/>
  <c r="X61" i="54"/>
  <c r="Y61" i="12"/>
  <c r="Y61" i="54"/>
  <c r="AA61" i="54"/>
  <c r="O61" i="12"/>
  <c r="AE61" i="54"/>
  <c r="AF61" i="54"/>
  <c r="AH61" i="54"/>
  <c r="BZ61" i="54" a="1"/>
  <c r="X62" i="54"/>
  <c r="Y62" i="12"/>
  <c r="Y62" i="54"/>
  <c r="AA62" i="54"/>
  <c r="O62" i="12"/>
  <c r="AE62" i="54"/>
  <c r="AF62" i="54"/>
  <c r="AH62" i="54"/>
  <c r="BZ62" i="54" a="1"/>
  <c r="X63" i="54"/>
  <c r="Y63" i="12"/>
  <c r="Y63" i="54"/>
  <c r="AA63" i="54"/>
  <c r="O63" i="12"/>
  <c r="AE63" i="54"/>
  <c r="AF63" i="54"/>
  <c r="AH63" i="54"/>
  <c r="BZ63" i="54" a="1"/>
  <c r="X64" i="54"/>
  <c r="Y64" i="12"/>
  <c r="Y64" i="54"/>
  <c r="AA64" i="54"/>
  <c r="O64" i="12"/>
  <c r="AE64" i="54"/>
  <c r="AF64" i="54"/>
  <c r="AH64" i="54"/>
  <c r="BZ64" i="54" a="1"/>
  <c r="BZ32" i="54"/>
  <c r="BZ33" i="54"/>
  <c r="BZ34" i="54"/>
  <c r="BZ35" i="54"/>
  <c r="BZ36" i="54"/>
  <c r="BZ37" i="54"/>
  <c r="BZ38" i="54"/>
  <c r="BZ39" i="54"/>
  <c r="BZ40" i="54"/>
  <c r="BZ41" i="54"/>
  <c r="BZ42" i="54"/>
  <c r="BZ43" i="54"/>
  <c r="BZ44" i="54"/>
  <c r="BZ45" i="54"/>
  <c r="BZ46" i="54"/>
  <c r="BZ47" i="54"/>
  <c r="BZ48" i="54"/>
  <c r="BZ49" i="54"/>
  <c r="BZ50" i="54"/>
  <c r="BZ51" i="54"/>
  <c r="BZ52" i="54"/>
  <c r="BZ53" i="54"/>
  <c r="BZ54" i="54"/>
  <c r="BZ55" i="54"/>
  <c r="BZ56" i="54"/>
  <c r="BZ57" i="54"/>
  <c r="BZ58" i="54"/>
  <c r="BZ59" i="54"/>
  <c r="BZ60" i="54"/>
  <c r="BZ61" i="54"/>
  <c r="BZ62" i="54"/>
  <c r="BZ63" i="54"/>
  <c r="BZ64" i="54"/>
  <c r="BZ68" i="54"/>
  <c r="CL27" i="54"/>
  <c r="AB30" i="54"/>
  <c r="AI30" i="54"/>
  <c r="CL30" i="54" a="1"/>
  <c r="CL30" i="54"/>
  <c r="AB31" i="54"/>
  <c r="AI31" i="54"/>
  <c r="CL31" i="54" a="1"/>
  <c r="CL31" i="54"/>
  <c r="AB32" i="54"/>
  <c r="AI32" i="54"/>
  <c r="CL32" i="54" a="1"/>
  <c r="AB33" i="54"/>
  <c r="AI33" i="54"/>
  <c r="CL33" i="54" a="1"/>
  <c r="AB34" i="54"/>
  <c r="AI34" i="54"/>
  <c r="CL34" i="54" a="1"/>
  <c r="AB35" i="54"/>
  <c r="AI35" i="54"/>
  <c r="CL35" i="54" a="1"/>
  <c r="AB36" i="54"/>
  <c r="AI36" i="54"/>
  <c r="CL36" i="54" a="1"/>
  <c r="AB37" i="54"/>
  <c r="AI37" i="54"/>
  <c r="CL37" i="54" a="1"/>
  <c r="AB38" i="54"/>
  <c r="AI38" i="54"/>
  <c r="CL38" i="54" a="1"/>
  <c r="AB39" i="54"/>
  <c r="AI39" i="54"/>
  <c r="CL39" i="54" a="1"/>
  <c r="AB40" i="54"/>
  <c r="AI40" i="54"/>
  <c r="CL40" i="54" a="1"/>
  <c r="AB41" i="54"/>
  <c r="AI41" i="54"/>
  <c r="CL41" i="54" a="1"/>
  <c r="AB42" i="54"/>
  <c r="AI42" i="54"/>
  <c r="CL42" i="54" a="1"/>
  <c r="AB43" i="54"/>
  <c r="AI43" i="54"/>
  <c r="CL43" i="54" a="1"/>
  <c r="AB44" i="54"/>
  <c r="AI44" i="54"/>
  <c r="CL44" i="54" a="1"/>
  <c r="AB45" i="54"/>
  <c r="AI45" i="54"/>
  <c r="CL45" i="54" a="1"/>
  <c r="AB46" i="54"/>
  <c r="AI46" i="54"/>
  <c r="CL46" i="54" a="1"/>
  <c r="AB47" i="54"/>
  <c r="AI47" i="54"/>
  <c r="CL47" i="54" a="1"/>
  <c r="AB48" i="54"/>
  <c r="AI48" i="54"/>
  <c r="CL48" i="54" a="1"/>
  <c r="AB49" i="54"/>
  <c r="AI49" i="54"/>
  <c r="CL49" i="54" a="1"/>
  <c r="AB50" i="54"/>
  <c r="AI50" i="54"/>
  <c r="CL50" i="54" a="1"/>
  <c r="AB51" i="54"/>
  <c r="AI51" i="54"/>
  <c r="CL51" i="54" a="1"/>
  <c r="AB52" i="54"/>
  <c r="AI52" i="54"/>
  <c r="CL52" i="54" a="1"/>
  <c r="AB53" i="54"/>
  <c r="AI53" i="54"/>
  <c r="CL53" i="54" a="1"/>
  <c r="AB54" i="54"/>
  <c r="AI54" i="54"/>
  <c r="CL54" i="54" a="1"/>
  <c r="AB55" i="54"/>
  <c r="AI55" i="54"/>
  <c r="CL55" i="54" a="1"/>
  <c r="AB56" i="54"/>
  <c r="AI56" i="54"/>
  <c r="CL56" i="54" a="1"/>
  <c r="AB57" i="54"/>
  <c r="AI57" i="54"/>
  <c r="CL57" i="54" a="1"/>
  <c r="AB58" i="54"/>
  <c r="AI58" i="54"/>
  <c r="CL58" i="54" a="1"/>
  <c r="AB59" i="54"/>
  <c r="AI59" i="54"/>
  <c r="CL59" i="54" a="1"/>
  <c r="AB60" i="54"/>
  <c r="AI60" i="54"/>
  <c r="CL60" i="54" a="1"/>
  <c r="AB61" i="54"/>
  <c r="AI61" i="54"/>
  <c r="CL61" i="54" a="1"/>
  <c r="AB62" i="54"/>
  <c r="AI62" i="54"/>
  <c r="CL62" i="54" a="1"/>
  <c r="AB63" i="54"/>
  <c r="AI63" i="54"/>
  <c r="CL63" i="54" a="1"/>
  <c r="AB64" i="54"/>
  <c r="AI64" i="54"/>
  <c r="CL64" i="54" a="1"/>
  <c r="CL32" i="54"/>
  <c r="CL33" i="54"/>
  <c r="CL34" i="54"/>
  <c r="CL35" i="54"/>
  <c r="CL36" i="54"/>
  <c r="CL37" i="54"/>
  <c r="CL38" i="54"/>
  <c r="CL39" i="54"/>
  <c r="CL40" i="54"/>
  <c r="CL41" i="54"/>
  <c r="CL42" i="54"/>
  <c r="CL43" i="54"/>
  <c r="CL44" i="54"/>
  <c r="CL45" i="54"/>
  <c r="CL46" i="54"/>
  <c r="CL47" i="54"/>
  <c r="CL48" i="54"/>
  <c r="CL49" i="54"/>
  <c r="CL50" i="54"/>
  <c r="CL51" i="54"/>
  <c r="CL52" i="54"/>
  <c r="CL53" i="54"/>
  <c r="CL54" i="54"/>
  <c r="CL55" i="54"/>
  <c r="CL56" i="54"/>
  <c r="CL57" i="54"/>
  <c r="CL58" i="54"/>
  <c r="CL59" i="54"/>
  <c r="CL60" i="54"/>
  <c r="CL61" i="54"/>
  <c r="CL62" i="54"/>
  <c r="CL63" i="54"/>
  <c r="CL64" i="54"/>
  <c r="CL68" i="54"/>
  <c r="CZ27" i="54"/>
  <c r="AC30" i="54"/>
  <c r="AJ30" i="54"/>
  <c r="CZ30" i="54" a="1"/>
  <c r="CZ30" i="54"/>
  <c r="AC31" i="54"/>
  <c r="AJ31" i="54"/>
  <c r="CZ31" i="54" a="1"/>
  <c r="CZ31" i="54"/>
  <c r="AC32" i="54"/>
  <c r="AJ32" i="54"/>
  <c r="CZ32" i="54" a="1"/>
  <c r="AC33" i="54"/>
  <c r="AJ33" i="54"/>
  <c r="CZ33" i="54" a="1"/>
  <c r="AC34" i="54"/>
  <c r="AJ34" i="54"/>
  <c r="CZ34" i="54" a="1"/>
  <c r="AC35" i="54"/>
  <c r="AJ35" i="54"/>
  <c r="CZ35" i="54" a="1"/>
  <c r="AC36" i="54"/>
  <c r="AJ36" i="54"/>
  <c r="CZ36" i="54" a="1"/>
  <c r="AC37" i="54"/>
  <c r="AJ37" i="54"/>
  <c r="CZ37" i="54" a="1"/>
  <c r="AC38" i="54"/>
  <c r="AJ38" i="54"/>
  <c r="CZ38" i="54" a="1"/>
  <c r="AC39" i="54"/>
  <c r="AJ39" i="54"/>
  <c r="CZ39" i="54" a="1"/>
  <c r="AC40" i="54"/>
  <c r="AJ40" i="54"/>
  <c r="CZ40" i="54" a="1"/>
  <c r="AC41" i="54"/>
  <c r="AJ41" i="54"/>
  <c r="CZ41" i="54" a="1"/>
  <c r="AC42" i="54"/>
  <c r="AJ42" i="54"/>
  <c r="CZ42" i="54" a="1"/>
  <c r="AC43" i="54"/>
  <c r="AJ43" i="54"/>
  <c r="CZ43" i="54" a="1"/>
  <c r="AC44" i="54"/>
  <c r="AJ44" i="54"/>
  <c r="CZ44" i="54" a="1"/>
  <c r="AC45" i="54"/>
  <c r="AJ45" i="54"/>
  <c r="CZ45" i="54" a="1"/>
  <c r="AC46" i="54"/>
  <c r="AJ46" i="54"/>
  <c r="CZ46" i="54" a="1"/>
  <c r="AC47" i="54"/>
  <c r="AJ47" i="54"/>
  <c r="CZ47" i="54" a="1"/>
  <c r="AC48" i="54"/>
  <c r="AJ48" i="54"/>
  <c r="CZ48" i="54" a="1"/>
  <c r="AC49" i="54"/>
  <c r="AJ49" i="54"/>
  <c r="CZ49" i="54" a="1"/>
  <c r="AC50" i="54"/>
  <c r="AJ50" i="54"/>
  <c r="CZ50" i="54" a="1"/>
  <c r="AC51" i="54"/>
  <c r="AJ51" i="54"/>
  <c r="CZ51" i="54" a="1"/>
  <c r="AC52" i="54"/>
  <c r="AJ52" i="54"/>
  <c r="CZ52" i="54" a="1"/>
  <c r="AC53" i="54"/>
  <c r="AJ53" i="54"/>
  <c r="CZ53" i="54" a="1"/>
  <c r="AC54" i="54"/>
  <c r="AJ54" i="54"/>
  <c r="CZ54" i="54" a="1"/>
  <c r="AC55" i="54"/>
  <c r="AJ55" i="54"/>
  <c r="CZ55" i="54" a="1"/>
  <c r="AC56" i="54"/>
  <c r="AJ56" i="54"/>
  <c r="CZ56" i="54" a="1"/>
  <c r="AC57" i="54"/>
  <c r="AJ57" i="54"/>
  <c r="CZ57" i="54" a="1"/>
  <c r="AC58" i="54"/>
  <c r="AJ58" i="54"/>
  <c r="CZ58" i="54" a="1"/>
  <c r="AC59" i="54"/>
  <c r="AJ59" i="54"/>
  <c r="CZ59" i="54" a="1"/>
  <c r="AC60" i="54"/>
  <c r="AJ60" i="54"/>
  <c r="CZ60" i="54" a="1"/>
  <c r="AC61" i="54"/>
  <c r="AJ61" i="54"/>
  <c r="CZ61" i="54" a="1"/>
  <c r="AC62" i="54"/>
  <c r="AJ62" i="54"/>
  <c r="CZ62" i="54" a="1"/>
  <c r="AC63" i="54"/>
  <c r="AJ63" i="54"/>
  <c r="CZ63" i="54" a="1"/>
  <c r="AC64" i="54"/>
  <c r="AJ64" i="54"/>
  <c r="CZ64" i="54" a="1"/>
  <c r="CZ32" i="54"/>
  <c r="CZ33" i="54"/>
  <c r="CZ34" i="54"/>
  <c r="CZ35" i="54"/>
  <c r="CZ36" i="54"/>
  <c r="CZ37" i="54"/>
  <c r="CZ38" i="54"/>
  <c r="CZ39" i="54"/>
  <c r="CZ40" i="54"/>
  <c r="CZ41" i="54"/>
  <c r="CZ42" i="54"/>
  <c r="CZ43" i="54"/>
  <c r="CZ44" i="54"/>
  <c r="CZ45" i="54"/>
  <c r="CZ46" i="54"/>
  <c r="CZ47" i="54"/>
  <c r="CZ48" i="54"/>
  <c r="CZ49" i="54"/>
  <c r="CZ50" i="54"/>
  <c r="CZ51" i="54"/>
  <c r="CZ52" i="54"/>
  <c r="CZ53" i="54"/>
  <c r="CZ54" i="54"/>
  <c r="CZ55" i="54"/>
  <c r="CZ56" i="54"/>
  <c r="CZ57" i="54"/>
  <c r="CZ58" i="54"/>
  <c r="CZ59" i="54"/>
  <c r="CZ60" i="54"/>
  <c r="CZ61" i="54"/>
  <c r="CZ62" i="54"/>
  <c r="CZ63" i="54"/>
  <c r="CZ64" i="54"/>
  <c r="CZ68" i="54"/>
  <c r="DN27" i="54"/>
  <c r="AD30" i="54"/>
  <c r="AK30" i="54"/>
  <c r="DN30" i="54" a="1"/>
  <c r="DN30" i="54"/>
  <c r="AD31" i="54"/>
  <c r="AK31" i="54"/>
  <c r="DN31" i="54" a="1"/>
  <c r="DN31" i="54"/>
  <c r="AD32" i="54"/>
  <c r="AK32" i="54"/>
  <c r="DN32" i="54" a="1"/>
  <c r="AD33" i="54"/>
  <c r="AK33" i="54"/>
  <c r="DN33" i="54" a="1"/>
  <c r="AD34" i="54"/>
  <c r="AK34" i="54"/>
  <c r="DN34" i="54" a="1"/>
  <c r="AD35" i="54"/>
  <c r="AK35" i="54"/>
  <c r="DN35" i="54" a="1"/>
  <c r="AD36" i="54"/>
  <c r="AK36" i="54"/>
  <c r="DN36" i="54" a="1"/>
  <c r="AD37" i="54"/>
  <c r="AK37" i="54"/>
  <c r="DN37" i="54" a="1"/>
  <c r="AD38" i="54"/>
  <c r="AK38" i="54"/>
  <c r="DN38" i="54" a="1"/>
  <c r="AD39" i="54"/>
  <c r="AK39" i="54"/>
  <c r="DN39" i="54" a="1"/>
  <c r="AD40" i="54"/>
  <c r="AK40" i="54"/>
  <c r="DN40" i="54" a="1"/>
  <c r="AD41" i="54"/>
  <c r="AK41" i="54"/>
  <c r="DN41" i="54" a="1"/>
  <c r="AD42" i="54"/>
  <c r="AK42" i="54"/>
  <c r="DN42" i="54" a="1"/>
  <c r="AD43" i="54"/>
  <c r="AK43" i="54"/>
  <c r="DN43" i="54" a="1"/>
  <c r="AD44" i="54"/>
  <c r="AK44" i="54"/>
  <c r="DN44" i="54" a="1"/>
  <c r="AD45" i="54"/>
  <c r="AK45" i="54"/>
  <c r="DN45" i="54" a="1"/>
  <c r="AD46" i="54"/>
  <c r="AK46" i="54"/>
  <c r="DN46" i="54" a="1"/>
  <c r="AD47" i="54"/>
  <c r="AK47" i="54"/>
  <c r="DN47" i="54" a="1"/>
  <c r="AD48" i="54"/>
  <c r="AK48" i="54"/>
  <c r="DN48" i="54" a="1"/>
  <c r="AD49" i="54"/>
  <c r="AK49" i="54"/>
  <c r="DN49" i="54" a="1"/>
  <c r="AD50" i="54"/>
  <c r="AK50" i="54"/>
  <c r="DN50" i="54" a="1"/>
  <c r="AD51" i="54"/>
  <c r="AK51" i="54"/>
  <c r="DN51" i="54" a="1"/>
  <c r="AD52" i="54"/>
  <c r="AK52" i="54"/>
  <c r="DN52" i="54" a="1"/>
  <c r="AD53" i="54"/>
  <c r="AK53" i="54"/>
  <c r="DN53" i="54" a="1"/>
  <c r="AD54" i="54"/>
  <c r="AK54" i="54"/>
  <c r="DN54" i="54" a="1"/>
  <c r="AD55" i="54"/>
  <c r="AK55" i="54"/>
  <c r="DN55" i="54" a="1"/>
  <c r="AD56" i="54"/>
  <c r="AK56" i="54"/>
  <c r="DN56" i="54" a="1"/>
  <c r="AD57" i="54"/>
  <c r="AK57" i="54"/>
  <c r="DN57" i="54" a="1"/>
  <c r="AD58" i="54"/>
  <c r="AK58" i="54"/>
  <c r="DN58" i="54" a="1"/>
  <c r="AD59" i="54"/>
  <c r="AK59" i="54"/>
  <c r="DN59" i="54" a="1"/>
  <c r="AD60" i="54"/>
  <c r="AK60" i="54"/>
  <c r="DN60" i="54" a="1"/>
  <c r="AD61" i="54"/>
  <c r="AK61" i="54"/>
  <c r="DN61" i="54" a="1"/>
  <c r="AD62" i="54"/>
  <c r="AK62" i="54"/>
  <c r="DN62" i="54" a="1"/>
  <c r="AD63" i="54"/>
  <c r="AK63" i="54"/>
  <c r="DN63" i="54" a="1"/>
  <c r="AD64" i="54"/>
  <c r="AK64" i="54"/>
  <c r="DN64" i="54" a="1"/>
  <c r="DN32" i="54"/>
  <c r="DN33" i="54"/>
  <c r="DN34" i="54"/>
  <c r="DN35" i="54"/>
  <c r="DN36" i="54"/>
  <c r="DN37" i="54"/>
  <c r="DN38" i="54"/>
  <c r="DN39" i="54"/>
  <c r="DN40" i="54"/>
  <c r="DN41" i="54"/>
  <c r="DN42" i="54"/>
  <c r="DN43" i="54"/>
  <c r="DN44" i="54"/>
  <c r="DN45" i="54"/>
  <c r="DN46" i="54"/>
  <c r="DN47" i="54"/>
  <c r="DN48" i="54"/>
  <c r="DN49" i="54"/>
  <c r="DN50" i="54"/>
  <c r="DN51" i="54"/>
  <c r="DN52" i="54"/>
  <c r="DN53" i="54"/>
  <c r="DN54" i="54"/>
  <c r="DN55" i="54"/>
  <c r="DN56" i="54"/>
  <c r="DN57" i="54"/>
  <c r="DN58" i="54"/>
  <c r="DN59" i="54"/>
  <c r="DN60" i="54"/>
  <c r="DN61" i="54"/>
  <c r="DN62" i="54"/>
  <c r="DN63" i="54"/>
  <c r="DN64" i="54"/>
  <c r="DN68" i="54"/>
  <c r="BZ71" i="54"/>
  <c r="BY27" i="54"/>
  <c r="BY30" i="54" a="1"/>
  <c r="BY30" i="54"/>
  <c r="BY31" i="54" a="1"/>
  <c r="BY31" i="54"/>
  <c r="BY32" i="54" a="1"/>
  <c r="BY33" i="54" a="1"/>
  <c r="BY34" i="54" a="1"/>
  <c r="BY35" i="54" a="1"/>
  <c r="BY36" i="54" a="1"/>
  <c r="BY37" i="54" a="1"/>
  <c r="BY38" i="54" a="1"/>
  <c r="BY39" i="54" a="1"/>
  <c r="BY40" i="54" a="1"/>
  <c r="BY41" i="54" a="1"/>
  <c r="BY42" i="54" a="1"/>
  <c r="BY43" i="54" a="1"/>
  <c r="BY44" i="54" a="1"/>
  <c r="BY45" i="54" a="1"/>
  <c r="BY46" i="54" a="1"/>
  <c r="BY47" i="54" a="1"/>
  <c r="BY48" i="54" a="1"/>
  <c r="BY49" i="54" a="1"/>
  <c r="BY50" i="54" a="1"/>
  <c r="BY51" i="54" a="1"/>
  <c r="BY52" i="54" a="1"/>
  <c r="BY53" i="54" a="1"/>
  <c r="BY54" i="54" a="1"/>
  <c r="BY55" i="54" a="1"/>
  <c r="BY56" i="54" a="1"/>
  <c r="BY57" i="54" a="1"/>
  <c r="BY58" i="54" a="1"/>
  <c r="BY59" i="54" a="1"/>
  <c r="BY60" i="54" a="1"/>
  <c r="BY61" i="54" a="1"/>
  <c r="BY62" i="54" a="1"/>
  <c r="BY63" i="54" a="1"/>
  <c r="BY64" i="54" a="1"/>
  <c r="BY32" i="54"/>
  <c r="BY33" i="54"/>
  <c r="BY34" i="54"/>
  <c r="BY35" i="54"/>
  <c r="BY36" i="54"/>
  <c r="BY37" i="54"/>
  <c r="BY38" i="54"/>
  <c r="BY39" i="54"/>
  <c r="BY40" i="54"/>
  <c r="BY41" i="54"/>
  <c r="BY42" i="54"/>
  <c r="BY43" i="54"/>
  <c r="BY44" i="54"/>
  <c r="BY45" i="54"/>
  <c r="BY46" i="54"/>
  <c r="BY47" i="54"/>
  <c r="BY48" i="54"/>
  <c r="BY49" i="54"/>
  <c r="BY50" i="54"/>
  <c r="BY51" i="54"/>
  <c r="BY52" i="54"/>
  <c r="BY53" i="54"/>
  <c r="BY54" i="54"/>
  <c r="BY55" i="54"/>
  <c r="BY56" i="54"/>
  <c r="BY57" i="54"/>
  <c r="BY58" i="54"/>
  <c r="BY59" i="54"/>
  <c r="BY60" i="54"/>
  <c r="BY61" i="54"/>
  <c r="BY62" i="54"/>
  <c r="BY63" i="54"/>
  <c r="BY64" i="54"/>
  <c r="BY68" i="54"/>
  <c r="CM27" i="54"/>
  <c r="CM30" i="54" a="1"/>
  <c r="CM30" i="54"/>
  <c r="CM31" i="54" a="1"/>
  <c r="CM31" i="54"/>
  <c r="CM32" i="54" a="1"/>
  <c r="CM33" i="54" a="1"/>
  <c r="CM34" i="54" a="1"/>
  <c r="CM35" i="54" a="1"/>
  <c r="CM36" i="54" a="1"/>
  <c r="CM37" i="54" a="1"/>
  <c r="CM38" i="54" a="1"/>
  <c r="CM39" i="54" a="1"/>
  <c r="CM40" i="54" a="1"/>
  <c r="CM41" i="54" a="1"/>
  <c r="CM42" i="54" a="1"/>
  <c r="CM43" i="54" a="1"/>
  <c r="CM44" i="54" a="1"/>
  <c r="CM45" i="54" a="1"/>
  <c r="CM46" i="54" a="1"/>
  <c r="CM47" i="54" a="1"/>
  <c r="CM48" i="54" a="1"/>
  <c r="CM49" i="54" a="1"/>
  <c r="CM50" i="54" a="1"/>
  <c r="CM51" i="54" a="1"/>
  <c r="CM52" i="54" a="1"/>
  <c r="CM53" i="54" a="1"/>
  <c r="CM54" i="54" a="1"/>
  <c r="CM55" i="54" a="1"/>
  <c r="CM56" i="54" a="1"/>
  <c r="CM57" i="54" a="1"/>
  <c r="CM58" i="54" a="1"/>
  <c r="CM59" i="54" a="1"/>
  <c r="CM60" i="54" a="1"/>
  <c r="CM61" i="54" a="1"/>
  <c r="CM62" i="54" a="1"/>
  <c r="CM63" i="54" a="1"/>
  <c r="CM64" i="54" a="1"/>
  <c r="CM32" i="54"/>
  <c r="CM33" i="54"/>
  <c r="CM34" i="54"/>
  <c r="CM35" i="54"/>
  <c r="CM36" i="54"/>
  <c r="CM37" i="54"/>
  <c r="CM38" i="54"/>
  <c r="CM39" i="54"/>
  <c r="CM40" i="54"/>
  <c r="CM41" i="54"/>
  <c r="CM42" i="54"/>
  <c r="CM43" i="54"/>
  <c r="CM44" i="54"/>
  <c r="CM45" i="54"/>
  <c r="CM46" i="54"/>
  <c r="CM47" i="54"/>
  <c r="CM48" i="54"/>
  <c r="CM49" i="54"/>
  <c r="CM50" i="54"/>
  <c r="CM51" i="54"/>
  <c r="CM52" i="54"/>
  <c r="CM53" i="54"/>
  <c r="CM54" i="54"/>
  <c r="CM55" i="54"/>
  <c r="CM56" i="54"/>
  <c r="CM57" i="54"/>
  <c r="CM58" i="54"/>
  <c r="CM59" i="54"/>
  <c r="CM60" i="54"/>
  <c r="CM61" i="54"/>
  <c r="CM62" i="54"/>
  <c r="CM63" i="54"/>
  <c r="CM64" i="54"/>
  <c r="CM68" i="54"/>
  <c r="CY30" i="54" a="1"/>
  <c r="CY30" i="54"/>
  <c r="CY31" i="54" a="1"/>
  <c r="CY31" i="54"/>
  <c r="CY32" i="54" a="1"/>
  <c r="CY33" i="54" a="1"/>
  <c r="CY34" i="54" a="1"/>
  <c r="CY35" i="54" a="1"/>
  <c r="CY36" i="54" a="1"/>
  <c r="CY37" i="54" a="1"/>
  <c r="CY38" i="54" a="1"/>
  <c r="CY39" i="54" a="1"/>
  <c r="CY40" i="54" a="1"/>
  <c r="CY41" i="54" a="1"/>
  <c r="CY42" i="54" a="1"/>
  <c r="CY43" i="54" a="1"/>
  <c r="CY44" i="54" a="1"/>
  <c r="CY45" i="54" a="1"/>
  <c r="CY46" i="54" a="1"/>
  <c r="CY47" i="54" a="1"/>
  <c r="CY48" i="54" a="1"/>
  <c r="CY49" i="54" a="1"/>
  <c r="CY50" i="54" a="1"/>
  <c r="CY51" i="54" a="1"/>
  <c r="CY52" i="54" a="1"/>
  <c r="CY53" i="54" a="1"/>
  <c r="CY54" i="54" a="1"/>
  <c r="CY55" i="54" a="1"/>
  <c r="CY56" i="54" a="1"/>
  <c r="CY57" i="54" a="1"/>
  <c r="CY58" i="54" a="1"/>
  <c r="CY59" i="54" a="1"/>
  <c r="CY60" i="54" a="1"/>
  <c r="CY61" i="54" a="1"/>
  <c r="CY62" i="54" a="1"/>
  <c r="CY63" i="54" a="1"/>
  <c r="CY64" i="54" a="1"/>
  <c r="CY32" i="54"/>
  <c r="CY33" i="54"/>
  <c r="CY34" i="54"/>
  <c r="CY35" i="54"/>
  <c r="CY36" i="54"/>
  <c r="CY37" i="54"/>
  <c r="CY38" i="54"/>
  <c r="CY39" i="54"/>
  <c r="CY40" i="54"/>
  <c r="CY41" i="54"/>
  <c r="CY42" i="54"/>
  <c r="CY43" i="54"/>
  <c r="CY44" i="54"/>
  <c r="CY45" i="54"/>
  <c r="CY46" i="54"/>
  <c r="CY47" i="54"/>
  <c r="CY48" i="54"/>
  <c r="CY49" i="54"/>
  <c r="CY50" i="54"/>
  <c r="CY51" i="54"/>
  <c r="CY52" i="54"/>
  <c r="CY53" i="54"/>
  <c r="CY54" i="54"/>
  <c r="CY55" i="54"/>
  <c r="CY56" i="54"/>
  <c r="CY57" i="54"/>
  <c r="CY58" i="54"/>
  <c r="CY59" i="54"/>
  <c r="CY60" i="54"/>
  <c r="CY61" i="54"/>
  <c r="CY62" i="54"/>
  <c r="CY63" i="54"/>
  <c r="CY64" i="54"/>
  <c r="CY68" i="54"/>
  <c r="DM30" i="54" a="1"/>
  <c r="DM30" i="54"/>
  <c r="DM31" i="54" a="1"/>
  <c r="DM31" i="54"/>
  <c r="DM32" i="54" a="1"/>
  <c r="DM33" i="54" a="1"/>
  <c r="DM34" i="54" a="1"/>
  <c r="DM35" i="54" a="1"/>
  <c r="DM36" i="54" a="1"/>
  <c r="DM37" i="54" a="1"/>
  <c r="DM38" i="54" a="1"/>
  <c r="DM39" i="54" a="1"/>
  <c r="DM40" i="54" a="1"/>
  <c r="DM41" i="54" a="1"/>
  <c r="DM42" i="54" a="1"/>
  <c r="DM43" i="54" a="1"/>
  <c r="DM44" i="54" a="1"/>
  <c r="DM45" i="54" a="1"/>
  <c r="DM46" i="54" a="1"/>
  <c r="DM47" i="54" a="1"/>
  <c r="DM48" i="54" a="1"/>
  <c r="DM49" i="54" a="1"/>
  <c r="DM50" i="54" a="1"/>
  <c r="DM51" i="54" a="1"/>
  <c r="DM52" i="54" a="1"/>
  <c r="DM53" i="54" a="1"/>
  <c r="DM54" i="54" a="1"/>
  <c r="DM55" i="54" a="1"/>
  <c r="DM56" i="54" a="1"/>
  <c r="DM57" i="54" a="1"/>
  <c r="DM58" i="54" a="1"/>
  <c r="DM59" i="54" a="1"/>
  <c r="DM60" i="54" a="1"/>
  <c r="DM61" i="54" a="1"/>
  <c r="DM62" i="54" a="1"/>
  <c r="DM63" i="54" a="1"/>
  <c r="DM64" i="54" a="1"/>
  <c r="DM32" i="54"/>
  <c r="DM33" i="54"/>
  <c r="DM34" i="54"/>
  <c r="DM35" i="54"/>
  <c r="DM36" i="54"/>
  <c r="DM37" i="54"/>
  <c r="DM38" i="54"/>
  <c r="DM39" i="54"/>
  <c r="DM40" i="54"/>
  <c r="DM41" i="54"/>
  <c r="DM42" i="54"/>
  <c r="DM43" i="54"/>
  <c r="DM44" i="54"/>
  <c r="DM45" i="54"/>
  <c r="DM46" i="54"/>
  <c r="DM47" i="54"/>
  <c r="DM48" i="54"/>
  <c r="DM49" i="54"/>
  <c r="DM50" i="54"/>
  <c r="DM51" i="54"/>
  <c r="DM52" i="54"/>
  <c r="DM53" i="54"/>
  <c r="DM54" i="54"/>
  <c r="DM55" i="54"/>
  <c r="DM56" i="54"/>
  <c r="DM57" i="54"/>
  <c r="DM58" i="54"/>
  <c r="DM59" i="54"/>
  <c r="DM60" i="54"/>
  <c r="DM61" i="54"/>
  <c r="DM62" i="54"/>
  <c r="DM63" i="54"/>
  <c r="DM64" i="54"/>
  <c r="DM68" i="54"/>
  <c r="BY71" i="54"/>
  <c r="BX27" i="54"/>
  <c r="BX30" i="54" a="1"/>
  <c r="BX30" i="54"/>
  <c r="BX31" i="54" a="1"/>
  <c r="BX31" i="54"/>
  <c r="BX32" i="54" a="1"/>
  <c r="BX33" i="54" a="1"/>
  <c r="BX34" i="54" a="1"/>
  <c r="BX35" i="54" a="1"/>
  <c r="BX36" i="54" a="1"/>
  <c r="BX37" i="54" a="1"/>
  <c r="BX38" i="54" a="1"/>
  <c r="BX39" i="54" a="1"/>
  <c r="BX40" i="54" a="1"/>
  <c r="BX41" i="54" a="1"/>
  <c r="BX42" i="54" a="1"/>
  <c r="BX43" i="54" a="1"/>
  <c r="BX44" i="54" a="1"/>
  <c r="BX45" i="54" a="1"/>
  <c r="BX46" i="54" a="1"/>
  <c r="BX47" i="54" a="1"/>
  <c r="BX48" i="54" a="1"/>
  <c r="BX49" i="54" a="1"/>
  <c r="BX50" i="54" a="1"/>
  <c r="BX51" i="54" a="1"/>
  <c r="BX52" i="54" a="1"/>
  <c r="BX53" i="54" a="1"/>
  <c r="BX54" i="54" a="1"/>
  <c r="BX55" i="54" a="1"/>
  <c r="BX56" i="54" a="1"/>
  <c r="BX57" i="54" a="1"/>
  <c r="BX58" i="54" a="1"/>
  <c r="BX59" i="54" a="1"/>
  <c r="BX60" i="54" a="1"/>
  <c r="BX61" i="54" a="1"/>
  <c r="BX62" i="54" a="1"/>
  <c r="BX63" i="54" a="1"/>
  <c r="BX64" i="54" a="1"/>
  <c r="BX32" i="54"/>
  <c r="BX33" i="54"/>
  <c r="BX34" i="54"/>
  <c r="BX35" i="54"/>
  <c r="BX36" i="54"/>
  <c r="BX37" i="54"/>
  <c r="BX38" i="54"/>
  <c r="BX39" i="54"/>
  <c r="BX40" i="54"/>
  <c r="BX41" i="54"/>
  <c r="BX42" i="54"/>
  <c r="BX43" i="54"/>
  <c r="BX44" i="54"/>
  <c r="BX45" i="54"/>
  <c r="BX46" i="54"/>
  <c r="BX47" i="54"/>
  <c r="BX48" i="54"/>
  <c r="BX49" i="54"/>
  <c r="BX50" i="54"/>
  <c r="BX51" i="54"/>
  <c r="BX52" i="54"/>
  <c r="BX53" i="54"/>
  <c r="BX54" i="54"/>
  <c r="BX55" i="54"/>
  <c r="BX56" i="54"/>
  <c r="BX57" i="54"/>
  <c r="BX58" i="54"/>
  <c r="BX59" i="54"/>
  <c r="BX60" i="54"/>
  <c r="BX61" i="54"/>
  <c r="BX62" i="54"/>
  <c r="BX63" i="54"/>
  <c r="BX64" i="54"/>
  <c r="BX68" i="54"/>
  <c r="CX30" i="54" a="1"/>
  <c r="CX30" i="54"/>
  <c r="CX31" i="54" a="1"/>
  <c r="CX31" i="54"/>
  <c r="CX32" i="54" a="1"/>
  <c r="CX33" i="54" a="1"/>
  <c r="CX34" i="54" a="1"/>
  <c r="CX35" i="54" a="1"/>
  <c r="CX36" i="54" a="1"/>
  <c r="CX37" i="54" a="1"/>
  <c r="CX38" i="54" a="1"/>
  <c r="CX39" i="54" a="1"/>
  <c r="CX40" i="54" a="1"/>
  <c r="CX41" i="54" a="1"/>
  <c r="CX42" i="54" a="1"/>
  <c r="CX43" i="54" a="1"/>
  <c r="CX44" i="54" a="1"/>
  <c r="CX45" i="54" a="1"/>
  <c r="CX46" i="54" a="1"/>
  <c r="CX47" i="54" a="1"/>
  <c r="CX48" i="54" a="1"/>
  <c r="CX49" i="54" a="1"/>
  <c r="CX50" i="54" a="1"/>
  <c r="CX51" i="54" a="1"/>
  <c r="CX52" i="54" a="1"/>
  <c r="CX53" i="54" a="1"/>
  <c r="CX54" i="54" a="1"/>
  <c r="CX55" i="54" a="1"/>
  <c r="CX56" i="54" a="1"/>
  <c r="CX57" i="54" a="1"/>
  <c r="CX58" i="54" a="1"/>
  <c r="CX59" i="54" a="1"/>
  <c r="CX60" i="54" a="1"/>
  <c r="CX61" i="54" a="1"/>
  <c r="CX62" i="54" a="1"/>
  <c r="CX63" i="54" a="1"/>
  <c r="CX64" i="54" a="1"/>
  <c r="CX32" i="54"/>
  <c r="CX33" i="54"/>
  <c r="CX34" i="54"/>
  <c r="CX35" i="54"/>
  <c r="CX36" i="54"/>
  <c r="CX37" i="54"/>
  <c r="CX38" i="54"/>
  <c r="CX39" i="54"/>
  <c r="CX40" i="54"/>
  <c r="CX41" i="54"/>
  <c r="CX42" i="54"/>
  <c r="CX43" i="54"/>
  <c r="CX44" i="54"/>
  <c r="CX45" i="54"/>
  <c r="CX46" i="54"/>
  <c r="CX47" i="54"/>
  <c r="CX48" i="54"/>
  <c r="CX49" i="54"/>
  <c r="CX50" i="54"/>
  <c r="CX51" i="54"/>
  <c r="CX52" i="54"/>
  <c r="CX53" i="54"/>
  <c r="CX54" i="54"/>
  <c r="CX55" i="54"/>
  <c r="CX56" i="54"/>
  <c r="CX57" i="54"/>
  <c r="CX58" i="54"/>
  <c r="CX59" i="54"/>
  <c r="CX60" i="54"/>
  <c r="CX61" i="54"/>
  <c r="CX62" i="54"/>
  <c r="CX63" i="54"/>
  <c r="CX64" i="54"/>
  <c r="CX68" i="54"/>
  <c r="DL30" i="54" a="1"/>
  <c r="DL30" i="54"/>
  <c r="DL31" i="54" a="1"/>
  <c r="DL31" i="54"/>
  <c r="DL32" i="54" a="1"/>
  <c r="DL33" i="54" a="1"/>
  <c r="DL34" i="54" a="1"/>
  <c r="DL35" i="54" a="1"/>
  <c r="DL36" i="54" a="1"/>
  <c r="DL37" i="54" a="1"/>
  <c r="DL38" i="54" a="1"/>
  <c r="DL39" i="54" a="1"/>
  <c r="DL40" i="54" a="1"/>
  <c r="DL41" i="54" a="1"/>
  <c r="DL42" i="54" a="1"/>
  <c r="DL43" i="54" a="1"/>
  <c r="DL44" i="54" a="1"/>
  <c r="DL45" i="54" a="1"/>
  <c r="DL46" i="54" a="1"/>
  <c r="DL47" i="54" a="1"/>
  <c r="DL48" i="54" a="1"/>
  <c r="DL49" i="54" a="1"/>
  <c r="DL50" i="54" a="1"/>
  <c r="DL51" i="54" a="1"/>
  <c r="DL52" i="54" a="1"/>
  <c r="DL53" i="54" a="1"/>
  <c r="DL54" i="54" a="1"/>
  <c r="DL55" i="54" a="1"/>
  <c r="DL56" i="54" a="1"/>
  <c r="DL57" i="54" a="1"/>
  <c r="DL58" i="54" a="1"/>
  <c r="DL59" i="54" a="1"/>
  <c r="DL60" i="54" a="1"/>
  <c r="DL61" i="54" a="1"/>
  <c r="DL62" i="54" a="1"/>
  <c r="DL63" i="54" a="1"/>
  <c r="DL64" i="54" a="1"/>
  <c r="DL32" i="54"/>
  <c r="DL33" i="54"/>
  <c r="DL34" i="54"/>
  <c r="DL35" i="54"/>
  <c r="DL36" i="54"/>
  <c r="DL37" i="54"/>
  <c r="DL38" i="54"/>
  <c r="DL39" i="54"/>
  <c r="DL40" i="54"/>
  <c r="DL41" i="54"/>
  <c r="DL42" i="54"/>
  <c r="DL43" i="54"/>
  <c r="DL44" i="54"/>
  <c r="DL45" i="54"/>
  <c r="DL46" i="54"/>
  <c r="DL47" i="54"/>
  <c r="DL48" i="54"/>
  <c r="DL49" i="54"/>
  <c r="DL50" i="54"/>
  <c r="DL51" i="54"/>
  <c r="DL52" i="54"/>
  <c r="DL53" i="54"/>
  <c r="DL54" i="54"/>
  <c r="DL55" i="54"/>
  <c r="DL56" i="54"/>
  <c r="DL57" i="54"/>
  <c r="DL58" i="54"/>
  <c r="DL59" i="54"/>
  <c r="DL60" i="54"/>
  <c r="DL61" i="54"/>
  <c r="DL62" i="54"/>
  <c r="DL63" i="54"/>
  <c r="DL64" i="54"/>
  <c r="DL68" i="54"/>
  <c r="BX71" i="54"/>
  <c r="BW27" i="54"/>
  <c r="BW30" i="54" a="1"/>
  <c r="BW30" i="54"/>
  <c r="BW31" i="54" a="1"/>
  <c r="BW31" i="54"/>
  <c r="BW32" i="54" a="1"/>
  <c r="BW33" i="54" a="1"/>
  <c r="BW34" i="54" a="1"/>
  <c r="BW35" i="54" a="1"/>
  <c r="BW36" i="54" a="1"/>
  <c r="BW37" i="54" a="1"/>
  <c r="BW38" i="54" a="1"/>
  <c r="BW39" i="54" a="1"/>
  <c r="BW40" i="54" a="1"/>
  <c r="BW41" i="54" a="1"/>
  <c r="BW42" i="54" a="1"/>
  <c r="BW43" i="54" a="1"/>
  <c r="BW44" i="54" a="1"/>
  <c r="BW45" i="54" a="1"/>
  <c r="BW46" i="54" a="1"/>
  <c r="BW47" i="54" a="1"/>
  <c r="BW48" i="54" a="1"/>
  <c r="BW49" i="54" a="1"/>
  <c r="BW50" i="54" a="1"/>
  <c r="BW51" i="54" a="1"/>
  <c r="BW52" i="54" a="1"/>
  <c r="BW53" i="54" a="1"/>
  <c r="BW54" i="54" a="1"/>
  <c r="BW55" i="54" a="1"/>
  <c r="BW56" i="54" a="1"/>
  <c r="BW57" i="54" a="1"/>
  <c r="BW58" i="54" a="1"/>
  <c r="BW59" i="54" a="1"/>
  <c r="BW60" i="54" a="1"/>
  <c r="BW61" i="54" a="1"/>
  <c r="BW62" i="54" a="1"/>
  <c r="BW63" i="54" a="1"/>
  <c r="BW64" i="54" a="1"/>
  <c r="BW32" i="54"/>
  <c r="BW33" i="54"/>
  <c r="BW34" i="54"/>
  <c r="BW35" i="54"/>
  <c r="BW36" i="54"/>
  <c r="BW37" i="54"/>
  <c r="BW38" i="54"/>
  <c r="BW39" i="54"/>
  <c r="BW40" i="54"/>
  <c r="BW41" i="54"/>
  <c r="BW42" i="54"/>
  <c r="BW43" i="54"/>
  <c r="BW44" i="54"/>
  <c r="BW45" i="54"/>
  <c r="BW46" i="54"/>
  <c r="BW47" i="54"/>
  <c r="BW48" i="54"/>
  <c r="BW49" i="54"/>
  <c r="BW50" i="54"/>
  <c r="BW51" i="54"/>
  <c r="BW52" i="54"/>
  <c r="BW53" i="54"/>
  <c r="BW54" i="54"/>
  <c r="BW55" i="54"/>
  <c r="BW56" i="54"/>
  <c r="BW57" i="54"/>
  <c r="BW58" i="54"/>
  <c r="BW59" i="54"/>
  <c r="BW60" i="54"/>
  <c r="BW61" i="54"/>
  <c r="BW62" i="54"/>
  <c r="BW63" i="54"/>
  <c r="BW64" i="54"/>
  <c r="BW68" i="54"/>
  <c r="CK27" i="54"/>
  <c r="CK30" i="54" a="1"/>
  <c r="CK30" i="54"/>
  <c r="CK31" i="54" a="1"/>
  <c r="CK31" i="54"/>
  <c r="CK32" i="54" a="1"/>
  <c r="CK33" i="54" a="1"/>
  <c r="CK34" i="54" a="1"/>
  <c r="CK35" i="54" a="1"/>
  <c r="CK36" i="54" a="1"/>
  <c r="CK37" i="54" a="1"/>
  <c r="CK38" i="54" a="1"/>
  <c r="CK39" i="54" a="1"/>
  <c r="CK40" i="54" a="1"/>
  <c r="CK41" i="54" a="1"/>
  <c r="CK42" i="54" a="1"/>
  <c r="CK43" i="54" a="1"/>
  <c r="CK44" i="54" a="1"/>
  <c r="CK45" i="54" a="1"/>
  <c r="CK46" i="54" a="1"/>
  <c r="CK47" i="54" a="1"/>
  <c r="CK48" i="54" a="1"/>
  <c r="CK49" i="54" a="1"/>
  <c r="CK50" i="54" a="1"/>
  <c r="CK51" i="54" a="1"/>
  <c r="CK52" i="54" a="1"/>
  <c r="CK53" i="54" a="1"/>
  <c r="CK54" i="54" a="1"/>
  <c r="CK55" i="54" a="1"/>
  <c r="CK56" i="54" a="1"/>
  <c r="CK57" i="54" a="1"/>
  <c r="CK58" i="54" a="1"/>
  <c r="CK59" i="54" a="1"/>
  <c r="CK60" i="54" a="1"/>
  <c r="CK61" i="54" a="1"/>
  <c r="CK62" i="54" a="1"/>
  <c r="CK63" i="54" a="1"/>
  <c r="CK64" i="54" a="1"/>
  <c r="CK32" i="54"/>
  <c r="CK33" i="54"/>
  <c r="CK34" i="54"/>
  <c r="CK35" i="54"/>
  <c r="CK36" i="54"/>
  <c r="CK37" i="54"/>
  <c r="CK38" i="54"/>
  <c r="CK39" i="54"/>
  <c r="CK40" i="54"/>
  <c r="CK41" i="54"/>
  <c r="CK42" i="54"/>
  <c r="CK43" i="54"/>
  <c r="CK44" i="54"/>
  <c r="CK45" i="54"/>
  <c r="CK46" i="54"/>
  <c r="CK47" i="54"/>
  <c r="CK48" i="54"/>
  <c r="CK49" i="54"/>
  <c r="CK50" i="54"/>
  <c r="CK51" i="54"/>
  <c r="CK52" i="54"/>
  <c r="CK53" i="54"/>
  <c r="CK54" i="54"/>
  <c r="CK55" i="54"/>
  <c r="CK56" i="54"/>
  <c r="CK57" i="54"/>
  <c r="CK58" i="54"/>
  <c r="CK59" i="54"/>
  <c r="CK60" i="54"/>
  <c r="CK61" i="54"/>
  <c r="CK62" i="54"/>
  <c r="CK63" i="54"/>
  <c r="CK64" i="54"/>
  <c r="CK68" i="54"/>
  <c r="CW27" i="54"/>
  <c r="CW30" i="54" a="1"/>
  <c r="CW30" i="54"/>
  <c r="CW31" i="54" a="1"/>
  <c r="CW31" i="54"/>
  <c r="CW32" i="54" a="1"/>
  <c r="CW33" i="54" a="1"/>
  <c r="CW34" i="54" a="1"/>
  <c r="CW35" i="54" a="1"/>
  <c r="CW36" i="54" a="1"/>
  <c r="CW37" i="54" a="1"/>
  <c r="CW38" i="54" a="1"/>
  <c r="CW39" i="54" a="1"/>
  <c r="CW40" i="54" a="1"/>
  <c r="CW41" i="54" a="1"/>
  <c r="CW42" i="54" a="1"/>
  <c r="CW43" i="54" a="1"/>
  <c r="CW44" i="54" a="1"/>
  <c r="CW45" i="54" a="1"/>
  <c r="CW46" i="54" a="1"/>
  <c r="CW47" i="54" a="1"/>
  <c r="CW48" i="54" a="1"/>
  <c r="CW49" i="54" a="1"/>
  <c r="CW50" i="54" a="1"/>
  <c r="CW51" i="54" a="1"/>
  <c r="CW52" i="54" a="1"/>
  <c r="CW53" i="54" a="1"/>
  <c r="CW54" i="54" a="1"/>
  <c r="CW55" i="54" a="1"/>
  <c r="CW56" i="54" a="1"/>
  <c r="CW57" i="54" a="1"/>
  <c r="CW58" i="54" a="1"/>
  <c r="CW59" i="54" a="1"/>
  <c r="CW60" i="54" a="1"/>
  <c r="CW61" i="54" a="1"/>
  <c r="CW62" i="54" a="1"/>
  <c r="CW63" i="54" a="1"/>
  <c r="CW64" i="54" a="1"/>
  <c r="CW32" i="54"/>
  <c r="CW33" i="54"/>
  <c r="CW34" i="54"/>
  <c r="CW35" i="54"/>
  <c r="CW36" i="54"/>
  <c r="CW37" i="54"/>
  <c r="CW38" i="54"/>
  <c r="CW39" i="54"/>
  <c r="CW40" i="54"/>
  <c r="CW41" i="54"/>
  <c r="CW42" i="54"/>
  <c r="CW43" i="54"/>
  <c r="CW44" i="54"/>
  <c r="CW45" i="54"/>
  <c r="CW46" i="54"/>
  <c r="CW47" i="54"/>
  <c r="CW48" i="54"/>
  <c r="CW49" i="54"/>
  <c r="CW50" i="54"/>
  <c r="CW51" i="54"/>
  <c r="CW52" i="54"/>
  <c r="CW53" i="54"/>
  <c r="CW54" i="54"/>
  <c r="CW55" i="54"/>
  <c r="CW56" i="54"/>
  <c r="CW57" i="54"/>
  <c r="CW58" i="54"/>
  <c r="CW59" i="54"/>
  <c r="CW60" i="54"/>
  <c r="CW61" i="54"/>
  <c r="CW62" i="54"/>
  <c r="CW63" i="54"/>
  <c r="CW64" i="54"/>
  <c r="CW68" i="54"/>
  <c r="DK27" i="54"/>
  <c r="DK30" i="54" a="1"/>
  <c r="DK30" i="54"/>
  <c r="DK31" i="54" a="1"/>
  <c r="DK31" i="54"/>
  <c r="DK32" i="54" a="1"/>
  <c r="DK33" i="54" a="1"/>
  <c r="DK34" i="54" a="1"/>
  <c r="DK35" i="54" a="1"/>
  <c r="DK36" i="54" a="1"/>
  <c r="DK37" i="54" a="1"/>
  <c r="DK38" i="54" a="1"/>
  <c r="DK39" i="54" a="1"/>
  <c r="DK40" i="54" a="1"/>
  <c r="DK41" i="54" a="1"/>
  <c r="DK42" i="54" a="1"/>
  <c r="DK43" i="54" a="1"/>
  <c r="DK44" i="54" a="1"/>
  <c r="DK45" i="54" a="1"/>
  <c r="DK46" i="54" a="1"/>
  <c r="DK47" i="54" a="1"/>
  <c r="DK48" i="54" a="1"/>
  <c r="DK49" i="54" a="1"/>
  <c r="DK50" i="54" a="1"/>
  <c r="DK51" i="54" a="1"/>
  <c r="DK52" i="54" a="1"/>
  <c r="DK53" i="54" a="1"/>
  <c r="DK54" i="54" a="1"/>
  <c r="DK55" i="54" a="1"/>
  <c r="DK56" i="54" a="1"/>
  <c r="DK57" i="54" a="1"/>
  <c r="DK58" i="54" a="1"/>
  <c r="DK59" i="54" a="1"/>
  <c r="DK60" i="54" a="1"/>
  <c r="DK61" i="54" a="1"/>
  <c r="DK62" i="54" a="1"/>
  <c r="DK63" i="54" a="1"/>
  <c r="DK64" i="54" a="1"/>
  <c r="DK32" i="54"/>
  <c r="DK33" i="54"/>
  <c r="DK34" i="54"/>
  <c r="DK35" i="54"/>
  <c r="DK36" i="54"/>
  <c r="DK37" i="54"/>
  <c r="DK38" i="54"/>
  <c r="DK39" i="54"/>
  <c r="DK40" i="54"/>
  <c r="DK41" i="54"/>
  <c r="DK42" i="54"/>
  <c r="DK43" i="54"/>
  <c r="DK44" i="54"/>
  <c r="DK45" i="54"/>
  <c r="DK46" i="54"/>
  <c r="DK47" i="54"/>
  <c r="DK48" i="54"/>
  <c r="DK49" i="54"/>
  <c r="DK50" i="54"/>
  <c r="DK51" i="54"/>
  <c r="DK52" i="54"/>
  <c r="DK53" i="54"/>
  <c r="DK54" i="54"/>
  <c r="DK55" i="54"/>
  <c r="DK56" i="54"/>
  <c r="DK57" i="54"/>
  <c r="DK58" i="54"/>
  <c r="DK59" i="54"/>
  <c r="DK60" i="54"/>
  <c r="DK61" i="54"/>
  <c r="DK62" i="54"/>
  <c r="DK63" i="54"/>
  <c r="DK64" i="54"/>
  <c r="DK68" i="54"/>
  <c r="BW71" i="54"/>
  <c r="BV27" i="54"/>
  <c r="BV30" i="54" a="1"/>
  <c r="BV30" i="54"/>
  <c r="BV31" i="54" a="1"/>
  <c r="BV31" i="54"/>
  <c r="BV32" i="54" a="1"/>
  <c r="BV33" i="54" a="1"/>
  <c r="BV34" i="54" a="1"/>
  <c r="BV35" i="54" a="1"/>
  <c r="BV36" i="54" a="1"/>
  <c r="BV37" i="54" a="1"/>
  <c r="BV38" i="54" a="1"/>
  <c r="BV39" i="54" a="1"/>
  <c r="BV40" i="54" a="1"/>
  <c r="BV41" i="54" a="1"/>
  <c r="BV42" i="54" a="1"/>
  <c r="BV43" i="54" a="1"/>
  <c r="BV44" i="54" a="1"/>
  <c r="BV45" i="54" a="1"/>
  <c r="BV46" i="54" a="1"/>
  <c r="BV47" i="54" a="1"/>
  <c r="BV48" i="54" a="1"/>
  <c r="BV49" i="54" a="1"/>
  <c r="BV50" i="54" a="1"/>
  <c r="BV51" i="54" a="1"/>
  <c r="BV52" i="54" a="1"/>
  <c r="BV53" i="54" a="1"/>
  <c r="BV54" i="54" a="1"/>
  <c r="BV55" i="54" a="1"/>
  <c r="BV56" i="54" a="1"/>
  <c r="BV57" i="54" a="1"/>
  <c r="BV58" i="54" a="1"/>
  <c r="BV59" i="54" a="1"/>
  <c r="BV60" i="54" a="1"/>
  <c r="BV61" i="54" a="1"/>
  <c r="BV62" i="54" a="1"/>
  <c r="BV63" i="54" a="1"/>
  <c r="BV64" i="54" a="1"/>
  <c r="BV32" i="54"/>
  <c r="BV33" i="54"/>
  <c r="BV34" i="54"/>
  <c r="BV35" i="54"/>
  <c r="BV36" i="54"/>
  <c r="BV37" i="54"/>
  <c r="BV38" i="54"/>
  <c r="BV39" i="54"/>
  <c r="BV40" i="54"/>
  <c r="BV41" i="54"/>
  <c r="BV42" i="54"/>
  <c r="BV43" i="54"/>
  <c r="BV44" i="54"/>
  <c r="BV45" i="54"/>
  <c r="BV46" i="54"/>
  <c r="BV47" i="54"/>
  <c r="BV48" i="54"/>
  <c r="BV49" i="54"/>
  <c r="BV50" i="54"/>
  <c r="BV51" i="54"/>
  <c r="BV52" i="54"/>
  <c r="BV53" i="54"/>
  <c r="BV54" i="54"/>
  <c r="BV55" i="54"/>
  <c r="BV56" i="54"/>
  <c r="BV57" i="54"/>
  <c r="BV58" i="54"/>
  <c r="BV59" i="54"/>
  <c r="BV60" i="54"/>
  <c r="BV61" i="54"/>
  <c r="BV62" i="54"/>
  <c r="BV63" i="54"/>
  <c r="BV64" i="54"/>
  <c r="BV68" i="54"/>
  <c r="CJ27" i="54"/>
  <c r="CJ30" i="54" a="1"/>
  <c r="CJ30" i="54"/>
  <c r="CJ31" i="54" a="1"/>
  <c r="CJ31" i="54"/>
  <c r="CJ32" i="54" a="1"/>
  <c r="CJ33" i="54" a="1"/>
  <c r="CJ34" i="54" a="1"/>
  <c r="CJ35" i="54" a="1"/>
  <c r="CJ36" i="54" a="1"/>
  <c r="CJ37" i="54" a="1"/>
  <c r="CJ38" i="54" a="1"/>
  <c r="CJ39" i="54" a="1"/>
  <c r="CJ40" i="54" a="1"/>
  <c r="CJ41" i="54" a="1"/>
  <c r="CJ42" i="54" a="1"/>
  <c r="CJ43" i="54" a="1"/>
  <c r="CJ44" i="54" a="1"/>
  <c r="CJ45" i="54" a="1"/>
  <c r="CJ46" i="54" a="1"/>
  <c r="CJ47" i="54" a="1"/>
  <c r="CJ48" i="54" a="1"/>
  <c r="CJ49" i="54" a="1"/>
  <c r="CJ50" i="54" a="1"/>
  <c r="CJ51" i="54" a="1"/>
  <c r="CJ52" i="54" a="1"/>
  <c r="CJ53" i="54" a="1"/>
  <c r="CJ54" i="54" a="1"/>
  <c r="CJ55" i="54" a="1"/>
  <c r="CJ56" i="54" a="1"/>
  <c r="CJ57" i="54" a="1"/>
  <c r="CJ58" i="54" a="1"/>
  <c r="CJ59" i="54" a="1"/>
  <c r="CJ60" i="54" a="1"/>
  <c r="CJ61" i="54" a="1"/>
  <c r="CJ62" i="54" a="1"/>
  <c r="CJ63" i="54" a="1"/>
  <c r="CJ64" i="54" a="1"/>
  <c r="CJ32" i="54"/>
  <c r="CJ33" i="54"/>
  <c r="CJ34" i="54"/>
  <c r="CJ35" i="54"/>
  <c r="CJ36" i="54"/>
  <c r="CJ37" i="54"/>
  <c r="CJ38" i="54"/>
  <c r="CJ39" i="54"/>
  <c r="CJ40" i="54"/>
  <c r="CJ41" i="54"/>
  <c r="CJ42" i="54"/>
  <c r="CJ43" i="54"/>
  <c r="CJ44" i="54"/>
  <c r="CJ45" i="54"/>
  <c r="CJ46" i="54"/>
  <c r="CJ47" i="54"/>
  <c r="CJ48" i="54"/>
  <c r="CJ49" i="54"/>
  <c r="CJ50" i="54"/>
  <c r="CJ51" i="54"/>
  <c r="CJ52" i="54"/>
  <c r="CJ53" i="54"/>
  <c r="CJ54" i="54"/>
  <c r="CJ55" i="54"/>
  <c r="CJ56" i="54"/>
  <c r="CJ57" i="54"/>
  <c r="CJ58" i="54"/>
  <c r="CJ59" i="54"/>
  <c r="CJ60" i="54"/>
  <c r="CJ61" i="54"/>
  <c r="CJ62" i="54"/>
  <c r="CJ63" i="54"/>
  <c r="CJ64" i="54"/>
  <c r="CJ68" i="54"/>
  <c r="CV27" i="54"/>
  <c r="CV30" i="54" a="1"/>
  <c r="CV30" i="54"/>
  <c r="CV31" i="54" a="1"/>
  <c r="CV31" i="54"/>
  <c r="CV32" i="54" a="1"/>
  <c r="CV33" i="54" a="1"/>
  <c r="CV34" i="54" a="1"/>
  <c r="CV35" i="54" a="1"/>
  <c r="CV36" i="54" a="1"/>
  <c r="CV37" i="54" a="1"/>
  <c r="CV38" i="54" a="1"/>
  <c r="CV39" i="54" a="1"/>
  <c r="CV40" i="54" a="1"/>
  <c r="CV41" i="54" a="1"/>
  <c r="CV42" i="54" a="1"/>
  <c r="CV43" i="54" a="1"/>
  <c r="CV44" i="54" a="1"/>
  <c r="CV45" i="54" a="1"/>
  <c r="CV46" i="54" a="1"/>
  <c r="CV47" i="54" a="1"/>
  <c r="CV48" i="54" a="1"/>
  <c r="CV49" i="54" a="1"/>
  <c r="CV50" i="54" a="1"/>
  <c r="CV51" i="54" a="1"/>
  <c r="CV52" i="54" a="1"/>
  <c r="CV53" i="54" a="1"/>
  <c r="CV54" i="54" a="1"/>
  <c r="CV55" i="54" a="1"/>
  <c r="CV56" i="54" a="1"/>
  <c r="CV57" i="54" a="1"/>
  <c r="CV58" i="54" a="1"/>
  <c r="CV59" i="54" a="1"/>
  <c r="CV60" i="54" a="1"/>
  <c r="CV61" i="54" a="1"/>
  <c r="CV62" i="54" a="1"/>
  <c r="CV63" i="54" a="1"/>
  <c r="CV64" i="54" a="1"/>
  <c r="CV32" i="54"/>
  <c r="CV33" i="54"/>
  <c r="CV34" i="54"/>
  <c r="CV35" i="54"/>
  <c r="CV36" i="54"/>
  <c r="CV37" i="54"/>
  <c r="CV38" i="54"/>
  <c r="CV39" i="54"/>
  <c r="CV40" i="54"/>
  <c r="CV41" i="54"/>
  <c r="CV42" i="54"/>
  <c r="CV43" i="54"/>
  <c r="CV44" i="54"/>
  <c r="CV45" i="54"/>
  <c r="CV46" i="54"/>
  <c r="CV47" i="54"/>
  <c r="CV48" i="54"/>
  <c r="CV49" i="54"/>
  <c r="CV50" i="54"/>
  <c r="CV51" i="54"/>
  <c r="CV52" i="54"/>
  <c r="CV53" i="54"/>
  <c r="CV54" i="54"/>
  <c r="CV55" i="54"/>
  <c r="CV56" i="54"/>
  <c r="CV57" i="54"/>
  <c r="CV58" i="54"/>
  <c r="CV59" i="54"/>
  <c r="CV60" i="54"/>
  <c r="CV61" i="54"/>
  <c r="CV62" i="54"/>
  <c r="CV63" i="54"/>
  <c r="CV64" i="54"/>
  <c r="CV68" i="54"/>
  <c r="DJ27" i="54"/>
  <c r="DJ30" i="54" a="1"/>
  <c r="DJ30" i="54"/>
  <c r="DJ31" i="54" a="1"/>
  <c r="DJ31" i="54"/>
  <c r="DJ32" i="54" a="1"/>
  <c r="DJ33" i="54" a="1"/>
  <c r="DJ34" i="54" a="1"/>
  <c r="DJ35" i="54" a="1"/>
  <c r="DJ36" i="54" a="1"/>
  <c r="DJ37" i="54" a="1"/>
  <c r="DJ38" i="54" a="1"/>
  <c r="DJ39" i="54" a="1"/>
  <c r="DJ40" i="54" a="1"/>
  <c r="DJ41" i="54" a="1"/>
  <c r="DJ42" i="54" a="1"/>
  <c r="DJ43" i="54" a="1"/>
  <c r="DJ44" i="54" a="1"/>
  <c r="DJ45" i="54" a="1"/>
  <c r="DJ46" i="54" a="1"/>
  <c r="DJ47" i="54" a="1"/>
  <c r="DJ48" i="54" a="1"/>
  <c r="DJ49" i="54" a="1"/>
  <c r="DJ50" i="54" a="1"/>
  <c r="DJ51" i="54" a="1"/>
  <c r="DJ52" i="54" a="1"/>
  <c r="DJ53" i="54" a="1"/>
  <c r="DJ54" i="54" a="1"/>
  <c r="DJ55" i="54" a="1"/>
  <c r="DJ56" i="54" a="1"/>
  <c r="DJ57" i="54" a="1"/>
  <c r="DJ58" i="54" a="1"/>
  <c r="DJ59" i="54" a="1"/>
  <c r="DJ60" i="54" a="1"/>
  <c r="DJ61" i="54" a="1"/>
  <c r="DJ62" i="54" a="1"/>
  <c r="DJ63" i="54" a="1"/>
  <c r="DJ64" i="54" a="1"/>
  <c r="DJ32" i="54"/>
  <c r="DJ33" i="54"/>
  <c r="DJ34" i="54"/>
  <c r="DJ35" i="54"/>
  <c r="DJ36" i="54"/>
  <c r="DJ37" i="54"/>
  <c r="DJ38" i="54"/>
  <c r="DJ39" i="54"/>
  <c r="DJ40" i="54"/>
  <c r="DJ41" i="54"/>
  <c r="DJ42" i="54"/>
  <c r="DJ43" i="54"/>
  <c r="DJ44" i="54"/>
  <c r="DJ45" i="54"/>
  <c r="DJ46" i="54"/>
  <c r="DJ47" i="54"/>
  <c r="DJ48" i="54"/>
  <c r="DJ49" i="54"/>
  <c r="DJ50" i="54"/>
  <c r="DJ51" i="54"/>
  <c r="DJ52" i="54"/>
  <c r="DJ53" i="54"/>
  <c r="DJ54" i="54"/>
  <c r="DJ55" i="54"/>
  <c r="DJ56" i="54"/>
  <c r="DJ57" i="54"/>
  <c r="DJ58" i="54"/>
  <c r="DJ59" i="54"/>
  <c r="DJ60" i="54"/>
  <c r="DJ61" i="54"/>
  <c r="DJ62" i="54"/>
  <c r="DJ63" i="54"/>
  <c r="DJ64" i="54"/>
  <c r="DJ68" i="54"/>
  <c r="BV71" i="54"/>
  <c r="BU27" i="54"/>
  <c r="BU30" i="54" a="1"/>
  <c r="BU30" i="54"/>
  <c r="BU31" i="54" a="1"/>
  <c r="BU31" i="54"/>
  <c r="BU32" i="54" a="1"/>
  <c r="BU33" i="54" a="1"/>
  <c r="BU34" i="54" a="1"/>
  <c r="BU35" i="54" a="1"/>
  <c r="BU36" i="54" a="1"/>
  <c r="BU37" i="54" a="1"/>
  <c r="BU38" i="54" a="1"/>
  <c r="BU39" i="54" a="1"/>
  <c r="BU40" i="54" a="1"/>
  <c r="BU41" i="54" a="1"/>
  <c r="BU42" i="54" a="1"/>
  <c r="BU43" i="54" a="1"/>
  <c r="BU44" i="54" a="1"/>
  <c r="BU45" i="54" a="1"/>
  <c r="BU46" i="54" a="1"/>
  <c r="BU47" i="54" a="1"/>
  <c r="BU48" i="54" a="1"/>
  <c r="BU49" i="54" a="1"/>
  <c r="BU50" i="54" a="1"/>
  <c r="BU51" i="54" a="1"/>
  <c r="BU52" i="54" a="1"/>
  <c r="BU53" i="54" a="1"/>
  <c r="BU54" i="54" a="1"/>
  <c r="BU55" i="54" a="1"/>
  <c r="BU56" i="54" a="1"/>
  <c r="BU57" i="54" a="1"/>
  <c r="BU58" i="54" a="1"/>
  <c r="BU59" i="54" a="1"/>
  <c r="BU60" i="54" a="1"/>
  <c r="BU61" i="54" a="1"/>
  <c r="BU62" i="54" a="1"/>
  <c r="BU63" i="54" a="1"/>
  <c r="BU64" i="54" a="1"/>
  <c r="BU32" i="54"/>
  <c r="BU33" i="54"/>
  <c r="BU34" i="54"/>
  <c r="BU35" i="54"/>
  <c r="BU36" i="54"/>
  <c r="BU37" i="54"/>
  <c r="BU38" i="54"/>
  <c r="BU39" i="54"/>
  <c r="BU40" i="54"/>
  <c r="BU41" i="54"/>
  <c r="BU42" i="54"/>
  <c r="BU43" i="54"/>
  <c r="BU44" i="54"/>
  <c r="BU45" i="54"/>
  <c r="BU46" i="54"/>
  <c r="BU47" i="54"/>
  <c r="BU48" i="54"/>
  <c r="BU49" i="54"/>
  <c r="BU50" i="54"/>
  <c r="BU51" i="54"/>
  <c r="BU52" i="54"/>
  <c r="BU53" i="54"/>
  <c r="BU54" i="54"/>
  <c r="BU55" i="54"/>
  <c r="BU56" i="54"/>
  <c r="BU57" i="54"/>
  <c r="BU58" i="54"/>
  <c r="BU59" i="54"/>
  <c r="BU60" i="54"/>
  <c r="BU61" i="54"/>
  <c r="BU62" i="54"/>
  <c r="BU63" i="54"/>
  <c r="BU64" i="54"/>
  <c r="BU68" i="54"/>
  <c r="CI27" i="54"/>
  <c r="CI30" i="54" a="1"/>
  <c r="CI30" i="54"/>
  <c r="CI31" i="54" a="1"/>
  <c r="CI31" i="54"/>
  <c r="CI32" i="54" a="1"/>
  <c r="CI33" i="54" a="1"/>
  <c r="CI34" i="54" a="1"/>
  <c r="CI35" i="54" a="1"/>
  <c r="CI36" i="54" a="1"/>
  <c r="CI37" i="54" a="1"/>
  <c r="CI38" i="54" a="1"/>
  <c r="CI39" i="54" a="1"/>
  <c r="CI40" i="54" a="1"/>
  <c r="CI41" i="54" a="1"/>
  <c r="CI42" i="54" a="1"/>
  <c r="CI43" i="54" a="1"/>
  <c r="CI44" i="54" a="1"/>
  <c r="CI45" i="54" a="1"/>
  <c r="CI46" i="54" a="1"/>
  <c r="CI47" i="54" a="1"/>
  <c r="CI48" i="54" a="1"/>
  <c r="CI49" i="54" a="1"/>
  <c r="CI50" i="54" a="1"/>
  <c r="CI51" i="54" a="1"/>
  <c r="CI52" i="54" a="1"/>
  <c r="CI53" i="54" a="1"/>
  <c r="CI54" i="54" a="1"/>
  <c r="CI55" i="54" a="1"/>
  <c r="CI56" i="54" a="1"/>
  <c r="CI57" i="54" a="1"/>
  <c r="CI58" i="54" a="1"/>
  <c r="CI59" i="54" a="1"/>
  <c r="CI60" i="54" a="1"/>
  <c r="CI61" i="54" a="1"/>
  <c r="CI62" i="54" a="1"/>
  <c r="CI63" i="54" a="1"/>
  <c r="CI64" i="54" a="1"/>
  <c r="CI32" i="54"/>
  <c r="CI33" i="54"/>
  <c r="CI34" i="54"/>
  <c r="CI35" i="54"/>
  <c r="CI36" i="54"/>
  <c r="CI37" i="54"/>
  <c r="CI38" i="54"/>
  <c r="CI39" i="54"/>
  <c r="CI40" i="54"/>
  <c r="CI41" i="54"/>
  <c r="CI42" i="54"/>
  <c r="CI43" i="54"/>
  <c r="CI44" i="54"/>
  <c r="CI45" i="54"/>
  <c r="CI46" i="54"/>
  <c r="CI47" i="54"/>
  <c r="CI48" i="54"/>
  <c r="CI49" i="54"/>
  <c r="CI50" i="54"/>
  <c r="CI51" i="54"/>
  <c r="CI52" i="54"/>
  <c r="CI53" i="54"/>
  <c r="CI54" i="54"/>
  <c r="CI55" i="54"/>
  <c r="CI56" i="54"/>
  <c r="CI57" i="54"/>
  <c r="CI58" i="54"/>
  <c r="CI59" i="54"/>
  <c r="CI60" i="54"/>
  <c r="CI61" i="54"/>
  <c r="CI62" i="54"/>
  <c r="CI63" i="54"/>
  <c r="CI64" i="54"/>
  <c r="CI68" i="54"/>
  <c r="CU27" i="54"/>
  <c r="CU30" i="54" a="1"/>
  <c r="CU30" i="54"/>
  <c r="CU31" i="54" a="1"/>
  <c r="CU31" i="54"/>
  <c r="CU32" i="54" a="1"/>
  <c r="CU33" i="54" a="1"/>
  <c r="CU34" i="54" a="1"/>
  <c r="CU35" i="54" a="1"/>
  <c r="CU36" i="54" a="1"/>
  <c r="CU37" i="54" a="1"/>
  <c r="CU38" i="54" a="1"/>
  <c r="CU39" i="54" a="1"/>
  <c r="CU40" i="54" a="1"/>
  <c r="CU41" i="54" a="1"/>
  <c r="CU42" i="54" a="1"/>
  <c r="CU43" i="54" a="1"/>
  <c r="CU44" i="54" a="1"/>
  <c r="CU45" i="54" a="1"/>
  <c r="CU46" i="54" a="1"/>
  <c r="CU47" i="54" a="1"/>
  <c r="CU48" i="54" a="1"/>
  <c r="CU49" i="54" a="1"/>
  <c r="CU50" i="54" a="1"/>
  <c r="CU51" i="54" a="1"/>
  <c r="CU52" i="54" a="1"/>
  <c r="CU53" i="54" a="1"/>
  <c r="CU54" i="54" a="1"/>
  <c r="CU55" i="54" a="1"/>
  <c r="CU56" i="54" a="1"/>
  <c r="CU57" i="54" a="1"/>
  <c r="CU58" i="54" a="1"/>
  <c r="CU59" i="54" a="1"/>
  <c r="CU60" i="54" a="1"/>
  <c r="CU61" i="54" a="1"/>
  <c r="CU62" i="54" a="1"/>
  <c r="CU63" i="54" a="1"/>
  <c r="CU64" i="54" a="1"/>
  <c r="CU32" i="54"/>
  <c r="CU33" i="54"/>
  <c r="CU34" i="54"/>
  <c r="CU35" i="54"/>
  <c r="CU36" i="54"/>
  <c r="CU37" i="54"/>
  <c r="CU38" i="54"/>
  <c r="CU39" i="54"/>
  <c r="CU40" i="54"/>
  <c r="CU41" i="54"/>
  <c r="CU42" i="54"/>
  <c r="CU43" i="54"/>
  <c r="CU44" i="54"/>
  <c r="CU45" i="54"/>
  <c r="CU46" i="54"/>
  <c r="CU47" i="54"/>
  <c r="CU48" i="54"/>
  <c r="CU49" i="54"/>
  <c r="CU50" i="54"/>
  <c r="CU51" i="54"/>
  <c r="CU52" i="54"/>
  <c r="CU53" i="54"/>
  <c r="CU54" i="54"/>
  <c r="CU55" i="54"/>
  <c r="CU56" i="54"/>
  <c r="CU57" i="54"/>
  <c r="CU58" i="54"/>
  <c r="CU59" i="54"/>
  <c r="CU60" i="54"/>
  <c r="CU61" i="54"/>
  <c r="CU62" i="54"/>
  <c r="CU63" i="54"/>
  <c r="CU64" i="54"/>
  <c r="CU68" i="54"/>
  <c r="DI27" i="54"/>
  <c r="DI30" i="54" a="1"/>
  <c r="DI30" i="54"/>
  <c r="DI31" i="54" a="1"/>
  <c r="DI31" i="54"/>
  <c r="DI32" i="54" a="1"/>
  <c r="DI33" i="54" a="1"/>
  <c r="DI34" i="54" a="1"/>
  <c r="DI35" i="54" a="1"/>
  <c r="DI36" i="54" a="1"/>
  <c r="DI37" i="54" a="1"/>
  <c r="DI38" i="54" a="1"/>
  <c r="DI39" i="54" a="1"/>
  <c r="DI40" i="54" a="1"/>
  <c r="DI41" i="54" a="1"/>
  <c r="DI42" i="54" a="1"/>
  <c r="DI43" i="54" a="1"/>
  <c r="DI44" i="54" a="1"/>
  <c r="DI45" i="54" a="1"/>
  <c r="DI46" i="54" a="1"/>
  <c r="DI47" i="54" a="1"/>
  <c r="DI48" i="54" a="1"/>
  <c r="DI49" i="54" a="1"/>
  <c r="DI50" i="54" a="1"/>
  <c r="DI51" i="54" a="1"/>
  <c r="DI52" i="54" a="1"/>
  <c r="DI53" i="54" a="1"/>
  <c r="DI54" i="54" a="1"/>
  <c r="DI55" i="54" a="1"/>
  <c r="DI56" i="54" a="1"/>
  <c r="DI57" i="54" a="1"/>
  <c r="DI58" i="54" a="1"/>
  <c r="DI59" i="54" a="1"/>
  <c r="DI60" i="54" a="1"/>
  <c r="DI61" i="54" a="1"/>
  <c r="DI62" i="54" a="1"/>
  <c r="DI63" i="54" a="1"/>
  <c r="DI64" i="54" a="1"/>
  <c r="DI32" i="54"/>
  <c r="DI33" i="54"/>
  <c r="DI34" i="54"/>
  <c r="DI35" i="54"/>
  <c r="DI36" i="54"/>
  <c r="DI37" i="54"/>
  <c r="DI38" i="54"/>
  <c r="DI39" i="54"/>
  <c r="DI40" i="54"/>
  <c r="DI41" i="54"/>
  <c r="DI42" i="54"/>
  <c r="DI43" i="54"/>
  <c r="DI44" i="54"/>
  <c r="DI45" i="54"/>
  <c r="DI46" i="54"/>
  <c r="DI47" i="54"/>
  <c r="DI48" i="54"/>
  <c r="DI49" i="54"/>
  <c r="DI50" i="54"/>
  <c r="DI51" i="54"/>
  <c r="DI52" i="54"/>
  <c r="DI53" i="54"/>
  <c r="DI54" i="54"/>
  <c r="DI55" i="54"/>
  <c r="DI56" i="54"/>
  <c r="DI57" i="54"/>
  <c r="DI58" i="54"/>
  <c r="DI59" i="54"/>
  <c r="DI60" i="54"/>
  <c r="DI61" i="54"/>
  <c r="DI62" i="54"/>
  <c r="DI63" i="54"/>
  <c r="DI64" i="54"/>
  <c r="DI68" i="54"/>
  <c r="BU71" i="54"/>
  <c r="BT27" i="54"/>
  <c r="BT30" i="54" a="1"/>
  <c r="BT30" i="54"/>
  <c r="BT31" i="54" a="1"/>
  <c r="BT31" i="54"/>
  <c r="BT32" i="54" a="1"/>
  <c r="BT33" i="54" a="1"/>
  <c r="BT34" i="54" a="1"/>
  <c r="BT35" i="54" a="1"/>
  <c r="BT36" i="54" a="1"/>
  <c r="BT37" i="54" a="1"/>
  <c r="BT38" i="54" a="1"/>
  <c r="BT39" i="54" a="1"/>
  <c r="BT40" i="54" a="1"/>
  <c r="BT41" i="54" a="1"/>
  <c r="BT42" i="54" a="1"/>
  <c r="BT43" i="54" a="1"/>
  <c r="BT44" i="54" a="1"/>
  <c r="BT45" i="54" a="1"/>
  <c r="BT46" i="54" a="1"/>
  <c r="BT47" i="54" a="1"/>
  <c r="BT48" i="54" a="1"/>
  <c r="BT49" i="54" a="1"/>
  <c r="BT50" i="54" a="1"/>
  <c r="BT51" i="54" a="1"/>
  <c r="BT52" i="54" a="1"/>
  <c r="BT53" i="54" a="1"/>
  <c r="BT54" i="54" a="1"/>
  <c r="BT55" i="54" a="1"/>
  <c r="BT56" i="54" a="1"/>
  <c r="BT57" i="54" a="1"/>
  <c r="BT58" i="54" a="1"/>
  <c r="BT59" i="54" a="1"/>
  <c r="BT60" i="54" a="1"/>
  <c r="BT61" i="54" a="1"/>
  <c r="BT62" i="54" a="1"/>
  <c r="BT63" i="54" a="1"/>
  <c r="BT64" i="54" a="1"/>
  <c r="BT32" i="54"/>
  <c r="BT33" i="54"/>
  <c r="BT34" i="54"/>
  <c r="BT35" i="54"/>
  <c r="BT36" i="54"/>
  <c r="BT37" i="54"/>
  <c r="BT38" i="54"/>
  <c r="BT39" i="54"/>
  <c r="BT40" i="54"/>
  <c r="BT41" i="54"/>
  <c r="BT42" i="54"/>
  <c r="BT43" i="54"/>
  <c r="BT44" i="54"/>
  <c r="BT45" i="54"/>
  <c r="BT46" i="54"/>
  <c r="BT47" i="54"/>
  <c r="BT48" i="54"/>
  <c r="BT49" i="54"/>
  <c r="BT50" i="54"/>
  <c r="BT51" i="54"/>
  <c r="BT52" i="54"/>
  <c r="BT53" i="54"/>
  <c r="BT54" i="54"/>
  <c r="BT55" i="54"/>
  <c r="BT56" i="54"/>
  <c r="BT57" i="54"/>
  <c r="BT58" i="54"/>
  <c r="BT59" i="54"/>
  <c r="BT60" i="54"/>
  <c r="BT61" i="54"/>
  <c r="BT62" i="54"/>
  <c r="BT63" i="54"/>
  <c r="BT64" i="54"/>
  <c r="BT68" i="54"/>
  <c r="CH27" i="54"/>
  <c r="CH30" i="54" a="1"/>
  <c r="CH30" i="54"/>
  <c r="CH31" i="54" a="1"/>
  <c r="CH31" i="54"/>
  <c r="CH32" i="54" a="1"/>
  <c r="CH33" i="54" a="1"/>
  <c r="CH34" i="54" a="1"/>
  <c r="CH35" i="54" a="1"/>
  <c r="CH36" i="54" a="1"/>
  <c r="CH37" i="54" a="1"/>
  <c r="CH38" i="54" a="1"/>
  <c r="CH39" i="54" a="1"/>
  <c r="CH40" i="54" a="1"/>
  <c r="CH41" i="54" a="1"/>
  <c r="CH42" i="54" a="1"/>
  <c r="CH43" i="54" a="1"/>
  <c r="CH44" i="54" a="1"/>
  <c r="CH45" i="54" a="1"/>
  <c r="CH46" i="54" a="1"/>
  <c r="CH47" i="54" a="1"/>
  <c r="CH48" i="54" a="1"/>
  <c r="CH49" i="54" a="1"/>
  <c r="CH50" i="54" a="1"/>
  <c r="CH51" i="54" a="1"/>
  <c r="CH52" i="54" a="1"/>
  <c r="CH53" i="54" a="1"/>
  <c r="CH54" i="54" a="1"/>
  <c r="CH55" i="54" a="1"/>
  <c r="CH56" i="54" a="1"/>
  <c r="CH57" i="54" a="1"/>
  <c r="CH58" i="54" a="1"/>
  <c r="CH59" i="54" a="1"/>
  <c r="CH60" i="54" a="1"/>
  <c r="CH61" i="54" a="1"/>
  <c r="CH62" i="54" a="1"/>
  <c r="CH63" i="54" a="1"/>
  <c r="CH64" i="54" a="1"/>
  <c r="CH32" i="54"/>
  <c r="CH33" i="54"/>
  <c r="CH34" i="54"/>
  <c r="CH35" i="54"/>
  <c r="CH36" i="54"/>
  <c r="CH37" i="54"/>
  <c r="CH38" i="54"/>
  <c r="CH39" i="54"/>
  <c r="CH40" i="54"/>
  <c r="CH41" i="54"/>
  <c r="CH42" i="54"/>
  <c r="CH43" i="54"/>
  <c r="CH44" i="54"/>
  <c r="CH45" i="54"/>
  <c r="CH46" i="54"/>
  <c r="CH47" i="54"/>
  <c r="CH48" i="54"/>
  <c r="CH49" i="54"/>
  <c r="CH50" i="54"/>
  <c r="CH51" i="54"/>
  <c r="CH52" i="54"/>
  <c r="CH53" i="54"/>
  <c r="CH54" i="54"/>
  <c r="CH55" i="54"/>
  <c r="CH56" i="54"/>
  <c r="CH57" i="54"/>
  <c r="CH58" i="54"/>
  <c r="CH59" i="54"/>
  <c r="CH60" i="54"/>
  <c r="CH61" i="54"/>
  <c r="CH62" i="54"/>
  <c r="CH63" i="54"/>
  <c r="CH64" i="54"/>
  <c r="CH68" i="54"/>
  <c r="CT27" i="54"/>
  <c r="CT30" i="54" a="1"/>
  <c r="CT30" i="54"/>
  <c r="CT31" i="54" a="1"/>
  <c r="CT31" i="54"/>
  <c r="CT32" i="54" a="1"/>
  <c r="CT33" i="54" a="1"/>
  <c r="CT34" i="54" a="1"/>
  <c r="CT35" i="54" a="1"/>
  <c r="CT36" i="54" a="1"/>
  <c r="CT37" i="54" a="1"/>
  <c r="CT38" i="54" a="1"/>
  <c r="CT39" i="54" a="1"/>
  <c r="CT40" i="54" a="1"/>
  <c r="CT41" i="54" a="1"/>
  <c r="CT42" i="54" a="1"/>
  <c r="CT43" i="54" a="1"/>
  <c r="CT44" i="54" a="1"/>
  <c r="CT45" i="54" a="1"/>
  <c r="CT46" i="54" a="1"/>
  <c r="CT47" i="54" a="1"/>
  <c r="CT48" i="54" a="1"/>
  <c r="CT49" i="54" a="1"/>
  <c r="CT50" i="54" a="1"/>
  <c r="CT51" i="54" a="1"/>
  <c r="CT52" i="54" a="1"/>
  <c r="CT53" i="54" a="1"/>
  <c r="CT54" i="54" a="1"/>
  <c r="CT55" i="54" a="1"/>
  <c r="CT56" i="54" a="1"/>
  <c r="CT57" i="54" a="1"/>
  <c r="CT58" i="54" a="1"/>
  <c r="CT59" i="54" a="1"/>
  <c r="CT60" i="54" a="1"/>
  <c r="CT61" i="54" a="1"/>
  <c r="CT62" i="54" a="1"/>
  <c r="CT63" i="54" a="1"/>
  <c r="CT64" i="54" a="1"/>
  <c r="CT32" i="54"/>
  <c r="CT33" i="54"/>
  <c r="CT34" i="54"/>
  <c r="CT35" i="54"/>
  <c r="CT36" i="54"/>
  <c r="CT37" i="54"/>
  <c r="CT38" i="54"/>
  <c r="CT39" i="54"/>
  <c r="CT40" i="54"/>
  <c r="CT41" i="54"/>
  <c r="CT42" i="54"/>
  <c r="CT43" i="54"/>
  <c r="CT44" i="54"/>
  <c r="CT45" i="54"/>
  <c r="CT46" i="54"/>
  <c r="CT47" i="54"/>
  <c r="CT48" i="54"/>
  <c r="CT49" i="54"/>
  <c r="CT50" i="54"/>
  <c r="CT51" i="54"/>
  <c r="CT52" i="54"/>
  <c r="CT53" i="54"/>
  <c r="CT54" i="54"/>
  <c r="CT55" i="54"/>
  <c r="CT56" i="54"/>
  <c r="CT57" i="54"/>
  <c r="CT58" i="54"/>
  <c r="CT59" i="54"/>
  <c r="CT60" i="54"/>
  <c r="CT61" i="54"/>
  <c r="CT62" i="54"/>
  <c r="CT63" i="54"/>
  <c r="CT64" i="54"/>
  <c r="CT68" i="54"/>
  <c r="DH27" i="54"/>
  <c r="DH30" i="54" a="1"/>
  <c r="DH30" i="54"/>
  <c r="DH31" i="54" a="1"/>
  <c r="DH31" i="54"/>
  <c r="DH32" i="54" a="1"/>
  <c r="DH33" i="54" a="1"/>
  <c r="DH34" i="54" a="1"/>
  <c r="DH35" i="54" a="1"/>
  <c r="DH36" i="54" a="1"/>
  <c r="DH37" i="54" a="1"/>
  <c r="DH38" i="54" a="1"/>
  <c r="DH39" i="54" a="1"/>
  <c r="DH40" i="54" a="1"/>
  <c r="DH41" i="54" a="1"/>
  <c r="DH42" i="54" a="1"/>
  <c r="DH43" i="54" a="1"/>
  <c r="DH44" i="54" a="1"/>
  <c r="DH45" i="54" a="1"/>
  <c r="DH46" i="54" a="1"/>
  <c r="DH47" i="54" a="1"/>
  <c r="DH48" i="54" a="1"/>
  <c r="DH49" i="54" a="1"/>
  <c r="DH50" i="54" a="1"/>
  <c r="DH51" i="54" a="1"/>
  <c r="DH52" i="54" a="1"/>
  <c r="DH53" i="54" a="1"/>
  <c r="DH54" i="54" a="1"/>
  <c r="DH55" i="54" a="1"/>
  <c r="DH56" i="54" a="1"/>
  <c r="DH57" i="54" a="1"/>
  <c r="DH58" i="54" a="1"/>
  <c r="DH59" i="54" a="1"/>
  <c r="DH60" i="54" a="1"/>
  <c r="DH61" i="54" a="1"/>
  <c r="DH62" i="54" a="1"/>
  <c r="DH63" i="54" a="1"/>
  <c r="DH64" i="54" a="1"/>
  <c r="DH32" i="54"/>
  <c r="DH33" i="54"/>
  <c r="DH34" i="54"/>
  <c r="DH35" i="54"/>
  <c r="DH36" i="54"/>
  <c r="DH37" i="54"/>
  <c r="DH38" i="54"/>
  <c r="DH39" i="54"/>
  <c r="DH40" i="54"/>
  <c r="DH41" i="54"/>
  <c r="DH42" i="54"/>
  <c r="DH43" i="54"/>
  <c r="DH44" i="54"/>
  <c r="DH45" i="54"/>
  <c r="DH46" i="54"/>
  <c r="DH47" i="54"/>
  <c r="DH48" i="54"/>
  <c r="DH49" i="54"/>
  <c r="DH50" i="54"/>
  <c r="DH51" i="54"/>
  <c r="DH52" i="54"/>
  <c r="DH53" i="54"/>
  <c r="DH54" i="54"/>
  <c r="DH55" i="54"/>
  <c r="DH56" i="54"/>
  <c r="DH57" i="54"/>
  <c r="DH58" i="54"/>
  <c r="DH59" i="54"/>
  <c r="DH60" i="54"/>
  <c r="DH61" i="54"/>
  <c r="DH62" i="54"/>
  <c r="DH63" i="54"/>
  <c r="DH64" i="54"/>
  <c r="DH68" i="54"/>
  <c r="BT71" i="54"/>
  <c r="BS27" i="54"/>
  <c r="BS30" i="54" a="1"/>
  <c r="BS30" i="54"/>
  <c r="BS31" i="54" a="1"/>
  <c r="BS31" i="54"/>
  <c r="BS32" i="54" a="1"/>
  <c r="BS33" i="54" a="1"/>
  <c r="BS34" i="54" a="1"/>
  <c r="BS35" i="54" a="1"/>
  <c r="BS36" i="54" a="1"/>
  <c r="BS37" i="54" a="1"/>
  <c r="BS38" i="54" a="1"/>
  <c r="BS39" i="54" a="1"/>
  <c r="BS40" i="54" a="1"/>
  <c r="BS41" i="54" a="1"/>
  <c r="BS42" i="54" a="1"/>
  <c r="BS43" i="54" a="1"/>
  <c r="BS44" i="54" a="1"/>
  <c r="BS45" i="54" a="1"/>
  <c r="BS46" i="54" a="1"/>
  <c r="BS47" i="54" a="1"/>
  <c r="BS48" i="54" a="1"/>
  <c r="BS49" i="54" a="1"/>
  <c r="BS50" i="54" a="1"/>
  <c r="BS51" i="54" a="1"/>
  <c r="BS52" i="54" a="1"/>
  <c r="BS53" i="54" a="1"/>
  <c r="BS54" i="54" a="1"/>
  <c r="BS55" i="54" a="1"/>
  <c r="BS56" i="54" a="1"/>
  <c r="BS57" i="54" a="1"/>
  <c r="BS58" i="54" a="1"/>
  <c r="BS59" i="54" a="1"/>
  <c r="BS60" i="54" a="1"/>
  <c r="BS61" i="54" a="1"/>
  <c r="BS62" i="54" a="1"/>
  <c r="BS63" i="54" a="1"/>
  <c r="BS64" i="54" a="1"/>
  <c r="BS32" i="54"/>
  <c r="BS33" i="54"/>
  <c r="BS34" i="54"/>
  <c r="BS35" i="54"/>
  <c r="BS36" i="54"/>
  <c r="BS37" i="54"/>
  <c r="BS38" i="54"/>
  <c r="BS39" i="54"/>
  <c r="BS40" i="54"/>
  <c r="BS41" i="54"/>
  <c r="BS42" i="54"/>
  <c r="BS43" i="54"/>
  <c r="BS44" i="54"/>
  <c r="BS45" i="54"/>
  <c r="BS46" i="54"/>
  <c r="BS47" i="54"/>
  <c r="BS48" i="54"/>
  <c r="BS49" i="54"/>
  <c r="BS50" i="54"/>
  <c r="BS51" i="54"/>
  <c r="BS52" i="54"/>
  <c r="BS53" i="54"/>
  <c r="BS54" i="54"/>
  <c r="BS55" i="54"/>
  <c r="BS56" i="54"/>
  <c r="BS57" i="54"/>
  <c r="BS58" i="54"/>
  <c r="BS59" i="54"/>
  <c r="BS60" i="54"/>
  <c r="BS61" i="54"/>
  <c r="BS62" i="54"/>
  <c r="BS63" i="54"/>
  <c r="BS64" i="54"/>
  <c r="BS68" i="54"/>
  <c r="CG27" i="54"/>
  <c r="CG30" i="54" a="1"/>
  <c r="CG30" i="54"/>
  <c r="CG31" i="54" a="1"/>
  <c r="CG31" i="54"/>
  <c r="CG32" i="54" a="1"/>
  <c r="CG33" i="54" a="1"/>
  <c r="CG34" i="54" a="1"/>
  <c r="CG35" i="54" a="1"/>
  <c r="CG36" i="54" a="1"/>
  <c r="CG37" i="54" a="1"/>
  <c r="CG38" i="54" a="1"/>
  <c r="CG39" i="54" a="1"/>
  <c r="CG40" i="54" a="1"/>
  <c r="CG41" i="54" a="1"/>
  <c r="CG42" i="54" a="1"/>
  <c r="CG43" i="54" a="1"/>
  <c r="CG44" i="54" a="1"/>
  <c r="CG45" i="54" a="1"/>
  <c r="CG46" i="54" a="1"/>
  <c r="CG47" i="54" a="1"/>
  <c r="CG48" i="54" a="1"/>
  <c r="CG49" i="54" a="1"/>
  <c r="CG50" i="54" a="1"/>
  <c r="CG51" i="54" a="1"/>
  <c r="CG52" i="54" a="1"/>
  <c r="CG53" i="54" a="1"/>
  <c r="CG54" i="54" a="1"/>
  <c r="CG55" i="54" a="1"/>
  <c r="CG56" i="54" a="1"/>
  <c r="CG57" i="54" a="1"/>
  <c r="CG58" i="54" a="1"/>
  <c r="CG59" i="54" a="1"/>
  <c r="CG60" i="54" a="1"/>
  <c r="CG61" i="54" a="1"/>
  <c r="CG62" i="54" a="1"/>
  <c r="CG63" i="54" a="1"/>
  <c r="CG64" i="54" a="1"/>
  <c r="CG32" i="54"/>
  <c r="CG33" i="54"/>
  <c r="CG34" i="54"/>
  <c r="CG35" i="54"/>
  <c r="CG36" i="54"/>
  <c r="CG37" i="54"/>
  <c r="CG38" i="54"/>
  <c r="CG39" i="54"/>
  <c r="CG40" i="54"/>
  <c r="CG41" i="54"/>
  <c r="CG42" i="54"/>
  <c r="CG43" i="54"/>
  <c r="CG44" i="54"/>
  <c r="CG45" i="54"/>
  <c r="CG46" i="54"/>
  <c r="CG47" i="54"/>
  <c r="CG48" i="54"/>
  <c r="CG49" i="54"/>
  <c r="CG50" i="54"/>
  <c r="CG51" i="54"/>
  <c r="CG52" i="54"/>
  <c r="CG53" i="54"/>
  <c r="CG54" i="54"/>
  <c r="CG55" i="54"/>
  <c r="CG56" i="54"/>
  <c r="CG57" i="54"/>
  <c r="CG58" i="54"/>
  <c r="CG59" i="54"/>
  <c r="CG60" i="54"/>
  <c r="CG61" i="54"/>
  <c r="CG62" i="54"/>
  <c r="CG63" i="54"/>
  <c r="CG64" i="54"/>
  <c r="CG68" i="54"/>
  <c r="CS27" i="54"/>
  <c r="CS30" i="54" a="1"/>
  <c r="CS30" i="54"/>
  <c r="CS31" i="54" a="1"/>
  <c r="CS31" i="54"/>
  <c r="CS32" i="54" a="1"/>
  <c r="CS33" i="54" a="1"/>
  <c r="CS34" i="54" a="1"/>
  <c r="CS35" i="54" a="1"/>
  <c r="CS36" i="54" a="1"/>
  <c r="CS37" i="54" a="1"/>
  <c r="CS38" i="54" a="1"/>
  <c r="CS39" i="54" a="1"/>
  <c r="CS40" i="54" a="1"/>
  <c r="CS41" i="54" a="1"/>
  <c r="CS42" i="54" a="1"/>
  <c r="CS43" i="54" a="1"/>
  <c r="CS44" i="54" a="1"/>
  <c r="CS45" i="54" a="1"/>
  <c r="CS46" i="54" a="1"/>
  <c r="CS47" i="54" a="1"/>
  <c r="CS48" i="54" a="1"/>
  <c r="CS49" i="54" a="1"/>
  <c r="CS50" i="54" a="1"/>
  <c r="CS51" i="54" a="1"/>
  <c r="CS52" i="54" a="1"/>
  <c r="CS53" i="54" a="1"/>
  <c r="CS54" i="54" a="1"/>
  <c r="CS55" i="54" a="1"/>
  <c r="CS56" i="54" a="1"/>
  <c r="CS57" i="54" a="1"/>
  <c r="CS58" i="54" a="1"/>
  <c r="CS59" i="54" a="1"/>
  <c r="CS60" i="54" a="1"/>
  <c r="CS61" i="54" a="1"/>
  <c r="CS62" i="54" a="1"/>
  <c r="CS63" i="54" a="1"/>
  <c r="CS64" i="54" a="1"/>
  <c r="CS32" i="54"/>
  <c r="CS33" i="54"/>
  <c r="CS34" i="54"/>
  <c r="CS35" i="54"/>
  <c r="CS36" i="54"/>
  <c r="CS37" i="54"/>
  <c r="CS38" i="54"/>
  <c r="CS39" i="54"/>
  <c r="CS40" i="54"/>
  <c r="CS41" i="54"/>
  <c r="CS42" i="54"/>
  <c r="CS43" i="54"/>
  <c r="CS44" i="54"/>
  <c r="CS45" i="54"/>
  <c r="CS46" i="54"/>
  <c r="CS47" i="54"/>
  <c r="CS48" i="54"/>
  <c r="CS49" i="54"/>
  <c r="CS50" i="54"/>
  <c r="CS51" i="54"/>
  <c r="CS52" i="54"/>
  <c r="CS53" i="54"/>
  <c r="CS54" i="54"/>
  <c r="CS55" i="54"/>
  <c r="CS56" i="54"/>
  <c r="CS57" i="54"/>
  <c r="CS58" i="54"/>
  <c r="CS59" i="54"/>
  <c r="CS60" i="54"/>
  <c r="CS61" i="54"/>
  <c r="CS62" i="54"/>
  <c r="CS63" i="54"/>
  <c r="CS64" i="54"/>
  <c r="CS68" i="54"/>
  <c r="DG27" i="54"/>
  <c r="DG30" i="54" a="1"/>
  <c r="DG30" i="54"/>
  <c r="DG31" i="54" a="1"/>
  <c r="DG31" i="54"/>
  <c r="DG32" i="54" a="1"/>
  <c r="DG33" i="54" a="1"/>
  <c r="DG34" i="54" a="1"/>
  <c r="DG35" i="54" a="1"/>
  <c r="DG36" i="54" a="1"/>
  <c r="DG37" i="54" a="1"/>
  <c r="DG38" i="54" a="1"/>
  <c r="DG39" i="54" a="1"/>
  <c r="DG40" i="54" a="1"/>
  <c r="DG41" i="54" a="1"/>
  <c r="DG42" i="54" a="1"/>
  <c r="DG43" i="54" a="1"/>
  <c r="DG44" i="54" a="1"/>
  <c r="DG45" i="54" a="1"/>
  <c r="DG46" i="54" a="1"/>
  <c r="DG47" i="54" a="1"/>
  <c r="DG48" i="54" a="1"/>
  <c r="DG49" i="54" a="1"/>
  <c r="DG50" i="54" a="1"/>
  <c r="DG51" i="54" a="1"/>
  <c r="DG52" i="54" a="1"/>
  <c r="DG53" i="54" a="1"/>
  <c r="DG54" i="54" a="1"/>
  <c r="DG55" i="54" a="1"/>
  <c r="DG56" i="54" a="1"/>
  <c r="DG57" i="54" a="1"/>
  <c r="DG58" i="54" a="1"/>
  <c r="DG59" i="54" a="1"/>
  <c r="DG60" i="54" a="1"/>
  <c r="DG61" i="54" a="1"/>
  <c r="DG62" i="54" a="1"/>
  <c r="DG63" i="54" a="1"/>
  <c r="DG64" i="54" a="1"/>
  <c r="DG32" i="54"/>
  <c r="DG33" i="54"/>
  <c r="DG34" i="54"/>
  <c r="DG35" i="54"/>
  <c r="DG36" i="54"/>
  <c r="DG37" i="54"/>
  <c r="DG38" i="54"/>
  <c r="DG39" i="54"/>
  <c r="DG40" i="54"/>
  <c r="DG41" i="54"/>
  <c r="DG42" i="54"/>
  <c r="DG43" i="54"/>
  <c r="DG44" i="54"/>
  <c r="DG45" i="54"/>
  <c r="DG46" i="54"/>
  <c r="DG47" i="54"/>
  <c r="DG48" i="54"/>
  <c r="DG49" i="54"/>
  <c r="DG50" i="54"/>
  <c r="DG51" i="54"/>
  <c r="DG52" i="54"/>
  <c r="DG53" i="54"/>
  <c r="DG54" i="54"/>
  <c r="DG55" i="54"/>
  <c r="DG56" i="54"/>
  <c r="DG57" i="54"/>
  <c r="DG58" i="54"/>
  <c r="DG59" i="54"/>
  <c r="DG60" i="54"/>
  <c r="DG61" i="54"/>
  <c r="DG62" i="54"/>
  <c r="DG63" i="54"/>
  <c r="DG64" i="54"/>
  <c r="DG68" i="54"/>
  <c r="BS71" i="54"/>
  <c r="BR27" i="54"/>
  <c r="BR30" i="54" a="1"/>
  <c r="BR30" i="54"/>
  <c r="BR31" i="54" a="1"/>
  <c r="BR31" i="54"/>
  <c r="BR32" i="54" a="1"/>
  <c r="BR33" i="54" a="1"/>
  <c r="BR34" i="54" a="1"/>
  <c r="BR35" i="54" a="1"/>
  <c r="BR36" i="54" a="1"/>
  <c r="BR37" i="54" a="1"/>
  <c r="BR38" i="54" a="1"/>
  <c r="BR39" i="54" a="1"/>
  <c r="BR40" i="54" a="1"/>
  <c r="BR41" i="54" a="1"/>
  <c r="BR42" i="54" a="1"/>
  <c r="BR43" i="54" a="1"/>
  <c r="BR44" i="54" a="1"/>
  <c r="BR45" i="54" a="1"/>
  <c r="BR46" i="54" a="1"/>
  <c r="BR47" i="54" a="1"/>
  <c r="BR48" i="54" a="1"/>
  <c r="BR49" i="54" a="1"/>
  <c r="BR50" i="54" a="1"/>
  <c r="BR51" i="54" a="1"/>
  <c r="BR52" i="54" a="1"/>
  <c r="BR53" i="54" a="1"/>
  <c r="BR54" i="54" a="1"/>
  <c r="BR55" i="54" a="1"/>
  <c r="BR56" i="54" a="1"/>
  <c r="BR57" i="54" a="1"/>
  <c r="BR58" i="54" a="1"/>
  <c r="BR59" i="54" a="1"/>
  <c r="BR60" i="54" a="1"/>
  <c r="BR61" i="54" a="1"/>
  <c r="BR62" i="54" a="1"/>
  <c r="BR63" i="54" a="1"/>
  <c r="BR64" i="54" a="1"/>
  <c r="BR32" i="54"/>
  <c r="BR33" i="54"/>
  <c r="BR34" i="54"/>
  <c r="BR35" i="54"/>
  <c r="BR36" i="54"/>
  <c r="BR37" i="54"/>
  <c r="BR38" i="54"/>
  <c r="BR39" i="54"/>
  <c r="BR40" i="54"/>
  <c r="BR41" i="54"/>
  <c r="BR42" i="54"/>
  <c r="BR43" i="54"/>
  <c r="BR44" i="54"/>
  <c r="BR45" i="54"/>
  <c r="BR46" i="54"/>
  <c r="BR47" i="54"/>
  <c r="BR48" i="54"/>
  <c r="BR49" i="54"/>
  <c r="BR50" i="54"/>
  <c r="BR51" i="54"/>
  <c r="BR52" i="54"/>
  <c r="BR53" i="54"/>
  <c r="BR54" i="54"/>
  <c r="BR55" i="54"/>
  <c r="BR56" i="54"/>
  <c r="BR57" i="54"/>
  <c r="BR58" i="54"/>
  <c r="BR59" i="54"/>
  <c r="BR60" i="54"/>
  <c r="BR61" i="54"/>
  <c r="BR62" i="54"/>
  <c r="BR63" i="54"/>
  <c r="BR64" i="54"/>
  <c r="BR68" i="54"/>
  <c r="CF27" i="54"/>
  <c r="CF30" i="54" a="1"/>
  <c r="CF30" i="54"/>
  <c r="CF31" i="54" a="1"/>
  <c r="CF31" i="54"/>
  <c r="CF32" i="54" a="1"/>
  <c r="CF33" i="54" a="1"/>
  <c r="CF34" i="54" a="1"/>
  <c r="CF35" i="54" a="1"/>
  <c r="CF36" i="54" a="1"/>
  <c r="CF37" i="54" a="1"/>
  <c r="CF38" i="54" a="1"/>
  <c r="CF39" i="54" a="1"/>
  <c r="CF40" i="54" a="1"/>
  <c r="CF41" i="54" a="1"/>
  <c r="CF42" i="54" a="1"/>
  <c r="CF43" i="54" a="1"/>
  <c r="CF44" i="54" a="1"/>
  <c r="CF45" i="54" a="1"/>
  <c r="CF46" i="54" a="1"/>
  <c r="CF47" i="54" a="1"/>
  <c r="CF48" i="54" a="1"/>
  <c r="CF49" i="54" a="1"/>
  <c r="CF50" i="54" a="1"/>
  <c r="CF51" i="54" a="1"/>
  <c r="CF52" i="54" a="1"/>
  <c r="CF53" i="54" a="1"/>
  <c r="CF54" i="54" a="1"/>
  <c r="CF55" i="54" a="1"/>
  <c r="CF56" i="54" a="1"/>
  <c r="CF57" i="54" a="1"/>
  <c r="CF58" i="54" a="1"/>
  <c r="CF59" i="54" a="1"/>
  <c r="CF60" i="54" a="1"/>
  <c r="CF61" i="54" a="1"/>
  <c r="CF62" i="54" a="1"/>
  <c r="CF63" i="54" a="1"/>
  <c r="CF64" i="54" a="1"/>
  <c r="CF32" i="54"/>
  <c r="CF33" i="54"/>
  <c r="CF34" i="54"/>
  <c r="CF35" i="54"/>
  <c r="CF36" i="54"/>
  <c r="CF37" i="54"/>
  <c r="CF38" i="54"/>
  <c r="CF39" i="54"/>
  <c r="CF40" i="54"/>
  <c r="CF41" i="54"/>
  <c r="CF42" i="54"/>
  <c r="CF43" i="54"/>
  <c r="CF44" i="54"/>
  <c r="CF45" i="54"/>
  <c r="CF46" i="54"/>
  <c r="CF47" i="54"/>
  <c r="CF48" i="54"/>
  <c r="CF49" i="54"/>
  <c r="CF50" i="54"/>
  <c r="CF51" i="54"/>
  <c r="CF52" i="54"/>
  <c r="CF53" i="54"/>
  <c r="CF54" i="54"/>
  <c r="CF55" i="54"/>
  <c r="CF56" i="54"/>
  <c r="CF57" i="54"/>
  <c r="CF58" i="54"/>
  <c r="CF59" i="54"/>
  <c r="CF60" i="54"/>
  <c r="CF61" i="54"/>
  <c r="CF62" i="54"/>
  <c r="CF63" i="54"/>
  <c r="CF64" i="54"/>
  <c r="CF68" i="54"/>
  <c r="CR27" i="54"/>
  <c r="CR30" i="54" a="1"/>
  <c r="CR30" i="54"/>
  <c r="CR31" i="54" a="1"/>
  <c r="CR31" i="54"/>
  <c r="CR32" i="54" a="1"/>
  <c r="CR33" i="54" a="1"/>
  <c r="CR34" i="54" a="1"/>
  <c r="CR35" i="54" a="1"/>
  <c r="CR36" i="54" a="1"/>
  <c r="CR37" i="54" a="1"/>
  <c r="CR38" i="54" a="1"/>
  <c r="CR39" i="54" a="1"/>
  <c r="CR40" i="54" a="1"/>
  <c r="CR41" i="54" a="1"/>
  <c r="CR42" i="54" a="1"/>
  <c r="CR43" i="54" a="1"/>
  <c r="CR44" i="54" a="1"/>
  <c r="CR45" i="54" a="1"/>
  <c r="CR46" i="54" a="1"/>
  <c r="CR47" i="54" a="1"/>
  <c r="CR48" i="54" a="1"/>
  <c r="CR49" i="54" a="1"/>
  <c r="CR50" i="54" a="1"/>
  <c r="CR51" i="54" a="1"/>
  <c r="CR52" i="54" a="1"/>
  <c r="CR53" i="54" a="1"/>
  <c r="CR54" i="54" a="1"/>
  <c r="CR55" i="54" a="1"/>
  <c r="CR56" i="54" a="1"/>
  <c r="CR57" i="54" a="1"/>
  <c r="CR58" i="54" a="1"/>
  <c r="CR59" i="54" a="1"/>
  <c r="CR60" i="54" a="1"/>
  <c r="CR61" i="54" a="1"/>
  <c r="CR62" i="54" a="1"/>
  <c r="CR63" i="54" a="1"/>
  <c r="CR64" i="54" a="1"/>
  <c r="CR32" i="54"/>
  <c r="CR33" i="54"/>
  <c r="CR34" i="54"/>
  <c r="CR35" i="54"/>
  <c r="CR36" i="54"/>
  <c r="CR37" i="54"/>
  <c r="CR38" i="54"/>
  <c r="CR39" i="54"/>
  <c r="CR40" i="54"/>
  <c r="CR41" i="54"/>
  <c r="CR42" i="54"/>
  <c r="CR43" i="54"/>
  <c r="CR44" i="54"/>
  <c r="CR45" i="54"/>
  <c r="CR46" i="54"/>
  <c r="CR47" i="54"/>
  <c r="CR48" i="54"/>
  <c r="CR49" i="54"/>
  <c r="CR50" i="54"/>
  <c r="CR51" i="54"/>
  <c r="CR52" i="54"/>
  <c r="CR53" i="54"/>
  <c r="CR54" i="54"/>
  <c r="CR55" i="54"/>
  <c r="CR56" i="54"/>
  <c r="CR57" i="54"/>
  <c r="CR58" i="54"/>
  <c r="CR59" i="54"/>
  <c r="CR60" i="54"/>
  <c r="CR61" i="54"/>
  <c r="CR62" i="54"/>
  <c r="CR63" i="54"/>
  <c r="CR64" i="54"/>
  <c r="CR68" i="54"/>
  <c r="DF27" i="54"/>
  <c r="DF30" i="54" a="1"/>
  <c r="DF30" i="54"/>
  <c r="DF31" i="54" a="1"/>
  <c r="DF31" i="54"/>
  <c r="DF32" i="54" a="1"/>
  <c r="DF33" i="54" a="1"/>
  <c r="DF34" i="54" a="1"/>
  <c r="DF35" i="54" a="1"/>
  <c r="DF36" i="54" a="1"/>
  <c r="DF37" i="54" a="1"/>
  <c r="DF38" i="54" a="1"/>
  <c r="DF39" i="54" a="1"/>
  <c r="DF40" i="54" a="1"/>
  <c r="DF41" i="54" a="1"/>
  <c r="DF42" i="54" a="1"/>
  <c r="DF43" i="54" a="1"/>
  <c r="DF44" i="54" a="1"/>
  <c r="DF45" i="54" a="1"/>
  <c r="DF46" i="54" a="1"/>
  <c r="DF47" i="54" a="1"/>
  <c r="DF48" i="54" a="1"/>
  <c r="DF49" i="54" a="1"/>
  <c r="DF50" i="54" a="1"/>
  <c r="DF51" i="54" a="1"/>
  <c r="DF52" i="54" a="1"/>
  <c r="DF53" i="54" a="1"/>
  <c r="DF54" i="54" a="1"/>
  <c r="DF55" i="54" a="1"/>
  <c r="DF56" i="54" a="1"/>
  <c r="DF57" i="54" a="1"/>
  <c r="DF58" i="54" a="1"/>
  <c r="DF59" i="54" a="1"/>
  <c r="DF60" i="54" a="1"/>
  <c r="DF61" i="54" a="1"/>
  <c r="DF62" i="54" a="1"/>
  <c r="DF63" i="54" a="1"/>
  <c r="DF64" i="54" a="1"/>
  <c r="DF32" i="54"/>
  <c r="DF33" i="54"/>
  <c r="DF34" i="54"/>
  <c r="DF35" i="54"/>
  <c r="DF36" i="54"/>
  <c r="DF37" i="54"/>
  <c r="DF38" i="54"/>
  <c r="DF39" i="54"/>
  <c r="DF40" i="54"/>
  <c r="DF41" i="54"/>
  <c r="DF42" i="54"/>
  <c r="DF43" i="54"/>
  <c r="DF44" i="54"/>
  <c r="DF45" i="54"/>
  <c r="DF46" i="54"/>
  <c r="DF47" i="54"/>
  <c r="DF48" i="54"/>
  <c r="DF49" i="54"/>
  <c r="DF50" i="54"/>
  <c r="DF51" i="54"/>
  <c r="DF52" i="54"/>
  <c r="DF53" i="54"/>
  <c r="DF54" i="54"/>
  <c r="DF55" i="54"/>
  <c r="DF56" i="54"/>
  <c r="DF57" i="54"/>
  <c r="DF58" i="54"/>
  <c r="DF59" i="54"/>
  <c r="DF60" i="54"/>
  <c r="DF61" i="54"/>
  <c r="DF62" i="54"/>
  <c r="DF63" i="54"/>
  <c r="DF64" i="54"/>
  <c r="DF68" i="54"/>
  <c r="BR71" i="54"/>
  <c r="BQ27" i="54"/>
  <c r="BQ30" i="54" a="1"/>
  <c r="BQ30" i="54"/>
  <c r="BQ31" i="54" a="1"/>
  <c r="BQ31" i="54"/>
  <c r="BQ32" i="54" a="1"/>
  <c r="BQ33" i="54" a="1"/>
  <c r="BQ34" i="54" a="1"/>
  <c r="BQ35" i="54" a="1"/>
  <c r="BQ36" i="54" a="1"/>
  <c r="BQ37" i="54" a="1"/>
  <c r="BQ38" i="54" a="1"/>
  <c r="BQ39" i="54" a="1"/>
  <c r="BQ40" i="54" a="1"/>
  <c r="BQ41" i="54" a="1"/>
  <c r="BQ42" i="54" a="1"/>
  <c r="BQ43" i="54" a="1"/>
  <c r="BQ44" i="54" a="1"/>
  <c r="BQ45" i="54" a="1"/>
  <c r="BQ46" i="54" a="1"/>
  <c r="BQ47" i="54" a="1"/>
  <c r="BQ48" i="54" a="1"/>
  <c r="BQ49" i="54" a="1"/>
  <c r="BQ50" i="54" a="1"/>
  <c r="BQ51" i="54" a="1"/>
  <c r="BQ52" i="54" a="1"/>
  <c r="BQ53" i="54" a="1"/>
  <c r="BQ54" i="54" a="1"/>
  <c r="BQ55" i="54" a="1"/>
  <c r="BQ56" i="54" a="1"/>
  <c r="BQ57" i="54" a="1"/>
  <c r="BQ58" i="54" a="1"/>
  <c r="BQ59" i="54" a="1"/>
  <c r="BQ60" i="54" a="1"/>
  <c r="BQ61" i="54" a="1"/>
  <c r="BQ62" i="54" a="1"/>
  <c r="BQ63" i="54" a="1"/>
  <c r="BQ64" i="54" a="1"/>
  <c r="BQ32" i="54"/>
  <c r="BQ33" i="54"/>
  <c r="BQ34" i="54"/>
  <c r="BQ35" i="54"/>
  <c r="BQ36" i="54"/>
  <c r="BQ37" i="54"/>
  <c r="BQ38" i="54"/>
  <c r="BQ39" i="54"/>
  <c r="BQ40" i="54"/>
  <c r="BQ41" i="54"/>
  <c r="BQ42" i="54"/>
  <c r="BQ43" i="54"/>
  <c r="BQ44" i="54"/>
  <c r="BQ45" i="54"/>
  <c r="BQ46" i="54"/>
  <c r="BQ47" i="54"/>
  <c r="BQ48" i="54"/>
  <c r="BQ49" i="54"/>
  <c r="BQ50" i="54"/>
  <c r="BQ51" i="54"/>
  <c r="BQ52" i="54"/>
  <c r="BQ53" i="54"/>
  <c r="BQ54" i="54"/>
  <c r="BQ55" i="54"/>
  <c r="BQ56" i="54"/>
  <c r="BQ57" i="54"/>
  <c r="BQ58" i="54"/>
  <c r="BQ59" i="54"/>
  <c r="BQ60" i="54"/>
  <c r="BQ61" i="54"/>
  <c r="BQ62" i="54"/>
  <c r="BQ63" i="54"/>
  <c r="BQ64" i="54"/>
  <c r="BQ68" i="54"/>
  <c r="CE27" i="54"/>
  <c r="CE30" i="54" a="1"/>
  <c r="CE30" i="54"/>
  <c r="CE31" i="54" a="1"/>
  <c r="CE31" i="54"/>
  <c r="CE32" i="54" a="1"/>
  <c r="CE33" i="54" a="1"/>
  <c r="CE34" i="54" a="1"/>
  <c r="CE35" i="54" a="1"/>
  <c r="CE36" i="54" a="1"/>
  <c r="CE37" i="54" a="1"/>
  <c r="CE38" i="54" a="1"/>
  <c r="CE39" i="54" a="1"/>
  <c r="CE40" i="54" a="1"/>
  <c r="CE41" i="54" a="1"/>
  <c r="CE42" i="54" a="1"/>
  <c r="CE43" i="54" a="1"/>
  <c r="CE44" i="54" a="1"/>
  <c r="CE45" i="54" a="1"/>
  <c r="CE46" i="54" a="1"/>
  <c r="CE47" i="54" a="1"/>
  <c r="CE48" i="54" a="1"/>
  <c r="CE49" i="54" a="1"/>
  <c r="CE50" i="54" a="1"/>
  <c r="CE51" i="54" a="1"/>
  <c r="CE52" i="54" a="1"/>
  <c r="CE53" i="54" a="1"/>
  <c r="CE54" i="54" a="1"/>
  <c r="CE55" i="54" a="1"/>
  <c r="CE56" i="54" a="1"/>
  <c r="CE57" i="54" a="1"/>
  <c r="CE58" i="54" a="1"/>
  <c r="CE59" i="54" a="1"/>
  <c r="CE60" i="54" a="1"/>
  <c r="CE61" i="54" a="1"/>
  <c r="CE62" i="54" a="1"/>
  <c r="CE63" i="54" a="1"/>
  <c r="CE64" i="54" a="1"/>
  <c r="CE32" i="54"/>
  <c r="CE33" i="54"/>
  <c r="CE34" i="54"/>
  <c r="CE35" i="54"/>
  <c r="CE36" i="54"/>
  <c r="CE37" i="54"/>
  <c r="CE38" i="54"/>
  <c r="CE39" i="54"/>
  <c r="CE40" i="54"/>
  <c r="CE41" i="54"/>
  <c r="CE42" i="54"/>
  <c r="CE43" i="54"/>
  <c r="CE44" i="54"/>
  <c r="CE45" i="54"/>
  <c r="CE46" i="54"/>
  <c r="CE47" i="54"/>
  <c r="CE48" i="54"/>
  <c r="CE49" i="54"/>
  <c r="CE50" i="54"/>
  <c r="CE51" i="54"/>
  <c r="CE52" i="54"/>
  <c r="CE53" i="54"/>
  <c r="CE54" i="54"/>
  <c r="CE55" i="54"/>
  <c r="CE56" i="54"/>
  <c r="CE57" i="54"/>
  <c r="CE58" i="54"/>
  <c r="CE59" i="54"/>
  <c r="CE60" i="54"/>
  <c r="CE61" i="54"/>
  <c r="CE62" i="54"/>
  <c r="CE63" i="54"/>
  <c r="CE64" i="54"/>
  <c r="CE68" i="54"/>
  <c r="CQ27" i="54"/>
  <c r="CQ30" i="54" a="1"/>
  <c r="CQ30" i="54"/>
  <c r="CQ31" i="54" a="1"/>
  <c r="CQ31" i="54"/>
  <c r="CQ32" i="54" a="1"/>
  <c r="CQ33" i="54" a="1"/>
  <c r="CQ34" i="54" a="1"/>
  <c r="CQ35" i="54" a="1"/>
  <c r="CQ36" i="54" a="1"/>
  <c r="CQ37" i="54" a="1"/>
  <c r="CQ38" i="54" a="1"/>
  <c r="CQ39" i="54" a="1"/>
  <c r="CQ40" i="54" a="1"/>
  <c r="CQ41" i="54" a="1"/>
  <c r="CQ42" i="54" a="1"/>
  <c r="CQ43" i="54" a="1"/>
  <c r="CQ44" i="54" a="1"/>
  <c r="CQ45" i="54" a="1"/>
  <c r="CQ46" i="54" a="1"/>
  <c r="CQ47" i="54" a="1"/>
  <c r="CQ48" i="54" a="1"/>
  <c r="CQ49" i="54" a="1"/>
  <c r="CQ50" i="54" a="1"/>
  <c r="CQ51" i="54" a="1"/>
  <c r="CQ52" i="54" a="1"/>
  <c r="CQ53" i="54" a="1"/>
  <c r="CQ54" i="54" a="1"/>
  <c r="CQ55" i="54" a="1"/>
  <c r="CQ56" i="54" a="1"/>
  <c r="CQ57" i="54" a="1"/>
  <c r="CQ58" i="54" a="1"/>
  <c r="CQ59" i="54" a="1"/>
  <c r="CQ60" i="54" a="1"/>
  <c r="CQ61" i="54" a="1"/>
  <c r="CQ62" i="54" a="1"/>
  <c r="CQ63" i="54" a="1"/>
  <c r="CQ64" i="54" a="1"/>
  <c r="CQ32" i="54"/>
  <c r="CQ33" i="54"/>
  <c r="CQ34" i="54"/>
  <c r="CQ35" i="54"/>
  <c r="CQ36" i="54"/>
  <c r="CQ37" i="54"/>
  <c r="CQ38" i="54"/>
  <c r="CQ39" i="54"/>
  <c r="CQ40" i="54"/>
  <c r="CQ41" i="54"/>
  <c r="CQ42" i="54"/>
  <c r="CQ43" i="54"/>
  <c r="CQ44" i="54"/>
  <c r="CQ45" i="54"/>
  <c r="CQ46" i="54"/>
  <c r="CQ47" i="54"/>
  <c r="CQ48" i="54"/>
  <c r="CQ49" i="54"/>
  <c r="CQ50" i="54"/>
  <c r="CQ51" i="54"/>
  <c r="CQ52" i="54"/>
  <c r="CQ53" i="54"/>
  <c r="CQ54" i="54"/>
  <c r="CQ55" i="54"/>
  <c r="CQ56" i="54"/>
  <c r="CQ57" i="54"/>
  <c r="CQ58" i="54"/>
  <c r="CQ59" i="54"/>
  <c r="CQ60" i="54"/>
  <c r="CQ61" i="54"/>
  <c r="CQ62" i="54"/>
  <c r="CQ63" i="54"/>
  <c r="CQ64" i="54"/>
  <c r="CQ68" i="54"/>
  <c r="DE27" i="54"/>
  <c r="DE30" i="54" a="1"/>
  <c r="DE30" i="54"/>
  <c r="DE31" i="54" a="1"/>
  <c r="DE31" i="54"/>
  <c r="DE32" i="54" a="1"/>
  <c r="DE33" i="54" a="1"/>
  <c r="DE34" i="54" a="1"/>
  <c r="DE35" i="54" a="1"/>
  <c r="DE36" i="54" a="1"/>
  <c r="DE37" i="54" a="1"/>
  <c r="DE38" i="54" a="1"/>
  <c r="DE39" i="54" a="1"/>
  <c r="DE40" i="54" a="1"/>
  <c r="DE41" i="54" a="1"/>
  <c r="DE42" i="54" a="1"/>
  <c r="DE43" i="54" a="1"/>
  <c r="DE44" i="54" a="1"/>
  <c r="DE45" i="54" a="1"/>
  <c r="DE46" i="54" a="1"/>
  <c r="DE47" i="54" a="1"/>
  <c r="DE48" i="54" a="1"/>
  <c r="DE49" i="54" a="1"/>
  <c r="DE50" i="54" a="1"/>
  <c r="DE51" i="54" a="1"/>
  <c r="DE52" i="54" a="1"/>
  <c r="DE53" i="54" a="1"/>
  <c r="DE54" i="54" a="1"/>
  <c r="DE55" i="54" a="1"/>
  <c r="DE56" i="54" a="1"/>
  <c r="DE57" i="54" a="1"/>
  <c r="DE58" i="54" a="1"/>
  <c r="DE59" i="54" a="1"/>
  <c r="DE60" i="54" a="1"/>
  <c r="DE61" i="54" a="1"/>
  <c r="DE62" i="54" a="1"/>
  <c r="DE63" i="54" a="1"/>
  <c r="DE64" i="54" a="1"/>
  <c r="DE32" i="54"/>
  <c r="DE33" i="54"/>
  <c r="DE34" i="54"/>
  <c r="DE35" i="54"/>
  <c r="DE36" i="54"/>
  <c r="DE37" i="54"/>
  <c r="DE38" i="54"/>
  <c r="DE39" i="54"/>
  <c r="DE40" i="54"/>
  <c r="DE41" i="54"/>
  <c r="DE42" i="54"/>
  <c r="DE43" i="54"/>
  <c r="DE44" i="54"/>
  <c r="DE45" i="54"/>
  <c r="DE46" i="54"/>
  <c r="DE47" i="54"/>
  <c r="DE48" i="54"/>
  <c r="DE49" i="54"/>
  <c r="DE50" i="54"/>
  <c r="DE51" i="54"/>
  <c r="DE52" i="54"/>
  <c r="DE53" i="54"/>
  <c r="DE54" i="54"/>
  <c r="DE55" i="54"/>
  <c r="DE56" i="54"/>
  <c r="DE57" i="54"/>
  <c r="DE58" i="54"/>
  <c r="DE59" i="54"/>
  <c r="DE60" i="54"/>
  <c r="DE61" i="54"/>
  <c r="DE62" i="54"/>
  <c r="DE63" i="54"/>
  <c r="DE64" i="54"/>
  <c r="DE68" i="54"/>
  <c r="BQ71" i="54"/>
  <c r="BP27" i="54"/>
  <c r="BP30" i="54" a="1"/>
  <c r="BP30" i="54"/>
  <c r="BP31" i="54" a="1"/>
  <c r="BP31" i="54"/>
  <c r="BP32" i="54" a="1"/>
  <c r="BP33" i="54" a="1"/>
  <c r="BP34" i="54" a="1"/>
  <c r="BP35" i="54" a="1"/>
  <c r="BP36" i="54" a="1"/>
  <c r="BP37" i="54" a="1"/>
  <c r="BP38" i="54" a="1"/>
  <c r="BP39" i="54" a="1"/>
  <c r="BP40" i="54" a="1"/>
  <c r="BP41" i="54" a="1"/>
  <c r="BP42" i="54" a="1"/>
  <c r="BP43" i="54" a="1"/>
  <c r="BP44" i="54" a="1"/>
  <c r="BP45" i="54" a="1"/>
  <c r="BP46" i="54" a="1"/>
  <c r="BP47" i="54" a="1"/>
  <c r="BP48" i="54" a="1"/>
  <c r="BP49" i="54" a="1"/>
  <c r="BP50" i="54" a="1"/>
  <c r="BP51" i="54" a="1"/>
  <c r="BP52" i="54" a="1"/>
  <c r="BP53" i="54" a="1"/>
  <c r="BP54" i="54" a="1"/>
  <c r="BP55" i="54" a="1"/>
  <c r="BP56" i="54" a="1"/>
  <c r="BP57" i="54" a="1"/>
  <c r="BP58" i="54" a="1"/>
  <c r="BP59" i="54" a="1"/>
  <c r="BP60" i="54" a="1"/>
  <c r="BP61" i="54" a="1"/>
  <c r="BP62" i="54" a="1"/>
  <c r="BP63" i="54" a="1"/>
  <c r="BP64" i="54" a="1"/>
  <c r="BP32" i="54"/>
  <c r="BP33" i="54"/>
  <c r="BP34" i="54"/>
  <c r="BP35" i="54"/>
  <c r="BP36" i="54"/>
  <c r="BP37" i="54"/>
  <c r="BP38" i="54"/>
  <c r="BP39" i="54"/>
  <c r="BP40" i="54"/>
  <c r="BP41" i="54"/>
  <c r="BP42" i="54"/>
  <c r="BP43" i="54"/>
  <c r="BP44" i="54"/>
  <c r="BP45" i="54"/>
  <c r="BP46" i="54"/>
  <c r="BP47" i="54"/>
  <c r="BP48" i="54"/>
  <c r="BP49" i="54"/>
  <c r="BP50" i="54"/>
  <c r="BP51" i="54"/>
  <c r="BP52" i="54"/>
  <c r="BP53" i="54"/>
  <c r="BP54" i="54"/>
  <c r="BP55" i="54"/>
  <c r="BP56" i="54"/>
  <c r="BP57" i="54"/>
  <c r="BP58" i="54"/>
  <c r="BP59" i="54"/>
  <c r="BP60" i="54"/>
  <c r="BP61" i="54"/>
  <c r="BP62" i="54"/>
  <c r="BP63" i="54"/>
  <c r="BP64" i="54"/>
  <c r="BP68" i="54"/>
  <c r="CD27" i="54"/>
  <c r="CD30" i="54" a="1"/>
  <c r="CD30" i="54"/>
  <c r="CD31" i="54" a="1"/>
  <c r="CD31" i="54"/>
  <c r="CD32" i="54" a="1"/>
  <c r="CD33" i="54" a="1"/>
  <c r="CD34" i="54" a="1"/>
  <c r="CD35" i="54" a="1"/>
  <c r="CD36" i="54" a="1"/>
  <c r="CD37" i="54" a="1"/>
  <c r="CD38" i="54" a="1"/>
  <c r="CD39" i="54" a="1"/>
  <c r="CD40" i="54" a="1"/>
  <c r="CD41" i="54" a="1"/>
  <c r="CD42" i="54" a="1"/>
  <c r="CD43" i="54" a="1"/>
  <c r="CD44" i="54" a="1"/>
  <c r="CD45" i="54" a="1"/>
  <c r="CD46" i="54" a="1"/>
  <c r="CD47" i="54" a="1"/>
  <c r="CD48" i="54" a="1"/>
  <c r="CD49" i="54" a="1"/>
  <c r="CD50" i="54" a="1"/>
  <c r="CD51" i="54" a="1"/>
  <c r="CD52" i="54" a="1"/>
  <c r="CD53" i="54" a="1"/>
  <c r="CD54" i="54" a="1"/>
  <c r="CD55" i="54" a="1"/>
  <c r="CD56" i="54" a="1"/>
  <c r="CD57" i="54" a="1"/>
  <c r="CD58" i="54" a="1"/>
  <c r="CD59" i="54" a="1"/>
  <c r="CD60" i="54" a="1"/>
  <c r="CD61" i="54" a="1"/>
  <c r="CD62" i="54" a="1"/>
  <c r="CD63" i="54" a="1"/>
  <c r="CD64" i="54" a="1"/>
  <c r="CD32" i="54"/>
  <c r="CD33" i="54"/>
  <c r="CD34" i="54"/>
  <c r="CD35" i="54"/>
  <c r="CD36" i="54"/>
  <c r="CD37" i="54"/>
  <c r="CD38" i="54"/>
  <c r="CD39" i="54"/>
  <c r="CD40" i="54"/>
  <c r="CD41" i="54"/>
  <c r="CD42" i="54"/>
  <c r="CD43" i="54"/>
  <c r="CD44" i="54"/>
  <c r="CD45" i="54"/>
  <c r="CD46" i="54"/>
  <c r="CD47" i="54"/>
  <c r="CD48" i="54"/>
  <c r="CD49" i="54"/>
  <c r="CD50" i="54"/>
  <c r="CD51" i="54"/>
  <c r="CD52" i="54"/>
  <c r="CD53" i="54"/>
  <c r="CD54" i="54"/>
  <c r="CD55" i="54"/>
  <c r="CD56" i="54"/>
  <c r="CD57" i="54"/>
  <c r="CD58" i="54"/>
  <c r="CD59" i="54"/>
  <c r="CD60" i="54"/>
  <c r="CD61" i="54"/>
  <c r="CD62" i="54"/>
  <c r="CD63" i="54"/>
  <c r="CD64" i="54"/>
  <c r="CD68" i="54"/>
  <c r="CP27" i="54"/>
  <c r="CP30" i="54" a="1"/>
  <c r="CP30" i="54"/>
  <c r="CP31" i="54" a="1"/>
  <c r="CP31" i="54"/>
  <c r="CP32" i="54" a="1"/>
  <c r="CP33" i="54" a="1"/>
  <c r="CP34" i="54" a="1"/>
  <c r="CP35" i="54" a="1"/>
  <c r="CP36" i="54" a="1"/>
  <c r="CP37" i="54" a="1"/>
  <c r="CP38" i="54" a="1"/>
  <c r="CP39" i="54" a="1"/>
  <c r="CP40" i="54" a="1"/>
  <c r="CP41" i="54" a="1"/>
  <c r="CP42" i="54" a="1"/>
  <c r="CP43" i="54" a="1"/>
  <c r="CP44" i="54" a="1"/>
  <c r="CP45" i="54" a="1"/>
  <c r="CP46" i="54" a="1"/>
  <c r="CP47" i="54" a="1"/>
  <c r="CP48" i="54" a="1"/>
  <c r="CP49" i="54" a="1"/>
  <c r="CP50" i="54" a="1"/>
  <c r="CP51" i="54" a="1"/>
  <c r="CP52" i="54" a="1"/>
  <c r="CP53" i="54" a="1"/>
  <c r="CP54" i="54" a="1"/>
  <c r="CP55" i="54" a="1"/>
  <c r="CP56" i="54" a="1"/>
  <c r="CP57" i="54" a="1"/>
  <c r="CP58" i="54" a="1"/>
  <c r="CP59" i="54" a="1"/>
  <c r="CP60" i="54" a="1"/>
  <c r="CP61" i="54" a="1"/>
  <c r="CP62" i="54" a="1"/>
  <c r="CP63" i="54" a="1"/>
  <c r="CP64" i="54" a="1"/>
  <c r="CP32" i="54"/>
  <c r="CP33" i="54"/>
  <c r="CP34" i="54"/>
  <c r="CP35" i="54"/>
  <c r="CP36" i="54"/>
  <c r="CP37" i="54"/>
  <c r="CP38" i="54"/>
  <c r="CP39" i="54"/>
  <c r="CP40" i="54"/>
  <c r="CP41" i="54"/>
  <c r="CP42" i="54"/>
  <c r="CP43" i="54"/>
  <c r="CP44" i="54"/>
  <c r="CP45" i="54"/>
  <c r="CP46" i="54"/>
  <c r="CP47" i="54"/>
  <c r="CP48" i="54"/>
  <c r="CP49" i="54"/>
  <c r="CP50" i="54"/>
  <c r="CP51" i="54"/>
  <c r="CP52" i="54"/>
  <c r="CP53" i="54"/>
  <c r="CP54" i="54"/>
  <c r="CP55" i="54"/>
  <c r="CP56" i="54"/>
  <c r="CP57" i="54"/>
  <c r="CP58" i="54"/>
  <c r="CP59" i="54"/>
  <c r="CP60" i="54"/>
  <c r="CP61" i="54"/>
  <c r="CP62" i="54"/>
  <c r="CP63" i="54"/>
  <c r="CP64" i="54"/>
  <c r="CP68" i="54"/>
  <c r="DD27" i="54"/>
  <c r="DD30" i="54" a="1"/>
  <c r="DD30" i="54"/>
  <c r="DD31" i="54" a="1"/>
  <c r="DD31" i="54"/>
  <c r="DD32" i="54" a="1"/>
  <c r="DD33" i="54" a="1"/>
  <c r="DD34" i="54" a="1"/>
  <c r="DD35" i="54" a="1"/>
  <c r="DD36" i="54" a="1"/>
  <c r="DD37" i="54" a="1"/>
  <c r="DD38" i="54" a="1"/>
  <c r="DD39" i="54" a="1"/>
  <c r="DD40" i="54" a="1"/>
  <c r="DD41" i="54" a="1"/>
  <c r="DD42" i="54" a="1"/>
  <c r="DD43" i="54" a="1"/>
  <c r="DD44" i="54" a="1"/>
  <c r="DD45" i="54" a="1"/>
  <c r="DD46" i="54" a="1"/>
  <c r="DD47" i="54" a="1"/>
  <c r="DD48" i="54" a="1"/>
  <c r="DD49" i="54" a="1"/>
  <c r="DD50" i="54" a="1"/>
  <c r="DD51" i="54" a="1"/>
  <c r="DD52" i="54" a="1"/>
  <c r="DD53" i="54" a="1"/>
  <c r="DD54" i="54" a="1"/>
  <c r="DD55" i="54" a="1"/>
  <c r="DD56" i="54" a="1"/>
  <c r="DD57" i="54" a="1"/>
  <c r="DD58" i="54" a="1"/>
  <c r="DD59" i="54" a="1"/>
  <c r="DD60" i="54" a="1"/>
  <c r="DD61" i="54" a="1"/>
  <c r="DD62" i="54" a="1"/>
  <c r="DD63" i="54" a="1"/>
  <c r="DD64" i="54" a="1"/>
  <c r="DD32" i="54"/>
  <c r="DD33" i="54"/>
  <c r="DD34" i="54"/>
  <c r="DD35" i="54"/>
  <c r="DD36" i="54"/>
  <c r="DD37" i="54"/>
  <c r="DD38" i="54"/>
  <c r="DD39" i="54"/>
  <c r="DD40" i="54"/>
  <c r="DD41" i="54"/>
  <c r="DD42" i="54"/>
  <c r="DD43" i="54"/>
  <c r="DD44" i="54"/>
  <c r="DD45" i="54"/>
  <c r="DD46" i="54"/>
  <c r="DD47" i="54"/>
  <c r="DD48" i="54"/>
  <c r="DD49" i="54"/>
  <c r="DD50" i="54"/>
  <c r="DD51" i="54"/>
  <c r="DD52" i="54"/>
  <c r="DD53" i="54"/>
  <c r="DD54" i="54"/>
  <c r="DD55" i="54"/>
  <c r="DD56" i="54"/>
  <c r="DD57" i="54"/>
  <c r="DD58" i="54"/>
  <c r="DD59" i="54"/>
  <c r="DD60" i="54"/>
  <c r="DD61" i="54"/>
  <c r="DD62" i="54"/>
  <c r="DD63" i="54"/>
  <c r="DD64" i="54"/>
  <c r="DD68" i="54"/>
  <c r="BP71" i="54"/>
  <c r="BO27" i="54"/>
  <c r="BO30" i="54" a="1"/>
  <c r="BO30" i="54"/>
  <c r="BO31" i="54" a="1"/>
  <c r="BO31" i="54"/>
  <c r="BO32" i="54" a="1"/>
  <c r="BO33" i="54" a="1"/>
  <c r="BO34" i="54" a="1"/>
  <c r="BO35" i="54" a="1"/>
  <c r="BO36" i="54" a="1"/>
  <c r="BO37" i="54" a="1"/>
  <c r="BO38" i="54" a="1"/>
  <c r="BO39" i="54" a="1"/>
  <c r="BO40" i="54" a="1"/>
  <c r="BO41" i="54" a="1"/>
  <c r="BO42" i="54" a="1"/>
  <c r="BO43" i="54" a="1"/>
  <c r="BO44" i="54" a="1"/>
  <c r="BO45" i="54" a="1"/>
  <c r="BO46" i="54" a="1"/>
  <c r="BO47" i="54" a="1"/>
  <c r="BO48" i="54" a="1"/>
  <c r="BO49" i="54" a="1"/>
  <c r="BO50" i="54" a="1"/>
  <c r="BO51" i="54" a="1"/>
  <c r="BO52" i="54" a="1"/>
  <c r="BO53" i="54" a="1"/>
  <c r="BO54" i="54" a="1"/>
  <c r="BO55" i="54" a="1"/>
  <c r="BO56" i="54" a="1"/>
  <c r="BO57" i="54" a="1"/>
  <c r="BO58" i="54" a="1"/>
  <c r="BO59" i="54" a="1"/>
  <c r="BO60" i="54" a="1"/>
  <c r="BO61" i="54" a="1"/>
  <c r="BO62" i="54" a="1"/>
  <c r="BO63" i="54" a="1"/>
  <c r="BO64" i="54" a="1"/>
  <c r="BO32" i="54"/>
  <c r="BO33" i="54"/>
  <c r="BO34" i="54"/>
  <c r="BO35" i="54"/>
  <c r="BO36" i="54"/>
  <c r="BO37" i="54"/>
  <c r="BO38" i="54"/>
  <c r="BO39" i="54"/>
  <c r="BO40" i="54"/>
  <c r="BO41" i="54"/>
  <c r="BO42" i="54"/>
  <c r="BO43" i="54"/>
  <c r="BO44" i="54"/>
  <c r="BO45" i="54"/>
  <c r="BO46" i="54"/>
  <c r="BO47" i="54"/>
  <c r="BO48" i="54"/>
  <c r="BO49" i="54"/>
  <c r="BO50" i="54"/>
  <c r="BO51" i="54"/>
  <c r="BO52" i="54"/>
  <c r="BO53" i="54"/>
  <c r="BO54" i="54"/>
  <c r="BO55" i="54"/>
  <c r="BO56" i="54"/>
  <c r="BO57" i="54"/>
  <c r="BO58" i="54"/>
  <c r="BO59" i="54"/>
  <c r="BO60" i="54"/>
  <c r="BO61" i="54"/>
  <c r="BO62" i="54"/>
  <c r="BO63" i="54"/>
  <c r="BO64" i="54"/>
  <c r="BO68" i="54"/>
  <c r="CC27" i="54"/>
  <c r="CC30" i="54" a="1"/>
  <c r="CC30" i="54"/>
  <c r="CC31" i="54" a="1"/>
  <c r="CC31" i="54"/>
  <c r="CC32" i="54" a="1"/>
  <c r="CC33" i="54" a="1"/>
  <c r="CC34" i="54" a="1"/>
  <c r="CC35" i="54" a="1"/>
  <c r="CC36" i="54" a="1"/>
  <c r="CC37" i="54" a="1"/>
  <c r="CC38" i="54" a="1"/>
  <c r="CC39" i="54" a="1"/>
  <c r="CC40" i="54" a="1"/>
  <c r="CC41" i="54" a="1"/>
  <c r="CC42" i="54" a="1"/>
  <c r="CC43" i="54" a="1"/>
  <c r="CC44" i="54" a="1"/>
  <c r="CC45" i="54" a="1"/>
  <c r="CC46" i="54" a="1"/>
  <c r="CC47" i="54" a="1"/>
  <c r="CC48" i="54" a="1"/>
  <c r="CC49" i="54" a="1"/>
  <c r="CC50" i="54" a="1"/>
  <c r="CC51" i="54" a="1"/>
  <c r="CC52" i="54" a="1"/>
  <c r="CC53" i="54" a="1"/>
  <c r="CC54" i="54" a="1"/>
  <c r="CC55" i="54" a="1"/>
  <c r="CC56" i="54" a="1"/>
  <c r="CC57" i="54" a="1"/>
  <c r="CC58" i="54" a="1"/>
  <c r="CC59" i="54" a="1"/>
  <c r="CC60" i="54" a="1"/>
  <c r="CC61" i="54" a="1"/>
  <c r="CC62" i="54" a="1"/>
  <c r="CC63" i="54" a="1"/>
  <c r="CC64" i="54" a="1"/>
  <c r="CC32" i="54"/>
  <c r="CC33" i="54"/>
  <c r="CC34" i="54"/>
  <c r="CC35" i="54"/>
  <c r="CC36" i="54"/>
  <c r="CC37" i="54"/>
  <c r="CC38" i="54"/>
  <c r="CC39" i="54"/>
  <c r="CC40" i="54"/>
  <c r="CC41" i="54"/>
  <c r="CC42" i="54"/>
  <c r="CC43" i="54"/>
  <c r="CC44" i="54"/>
  <c r="CC45" i="54"/>
  <c r="CC46" i="54"/>
  <c r="CC47" i="54"/>
  <c r="CC48" i="54"/>
  <c r="CC49" i="54"/>
  <c r="CC50" i="54"/>
  <c r="CC51" i="54"/>
  <c r="CC52" i="54"/>
  <c r="CC53" i="54"/>
  <c r="CC54" i="54"/>
  <c r="CC55" i="54"/>
  <c r="CC56" i="54"/>
  <c r="CC57" i="54"/>
  <c r="CC58" i="54"/>
  <c r="CC59" i="54"/>
  <c r="CC60" i="54"/>
  <c r="CC61" i="54"/>
  <c r="CC62" i="54"/>
  <c r="CC63" i="54"/>
  <c r="CC64" i="54"/>
  <c r="CC68" i="54"/>
  <c r="CO27" i="54"/>
  <c r="CO30" i="54" a="1"/>
  <c r="CO30" i="54"/>
  <c r="CO31" i="54" a="1"/>
  <c r="CO31" i="54"/>
  <c r="CO32" i="54" a="1"/>
  <c r="CO33" i="54" a="1"/>
  <c r="CO34" i="54" a="1"/>
  <c r="CO35" i="54" a="1"/>
  <c r="CO36" i="54" a="1"/>
  <c r="CO37" i="54" a="1"/>
  <c r="CO38" i="54" a="1"/>
  <c r="CO39" i="54" a="1"/>
  <c r="CO40" i="54" a="1"/>
  <c r="CO41" i="54" a="1"/>
  <c r="CO42" i="54" a="1"/>
  <c r="CO43" i="54" a="1"/>
  <c r="CO44" i="54" a="1"/>
  <c r="CO45" i="54" a="1"/>
  <c r="CO46" i="54" a="1"/>
  <c r="CO47" i="54" a="1"/>
  <c r="CO48" i="54" a="1"/>
  <c r="CO49" i="54" a="1"/>
  <c r="CO50" i="54" a="1"/>
  <c r="CO51" i="54" a="1"/>
  <c r="CO52" i="54" a="1"/>
  <c r="CO53" i="54" a="1"/>
  <c r="CO54" i="54" a="1"/>
  <c r="CO55" i="54" a="1"/>
  <c r="CO56" i="54" a="1"/>
  <c r="CO57" i="54" a="1"/>
  <c r="CO58" i="54" a="1"/>
  <c r="CO59" i="54" a="1"/>
  <c r="CO60" i="54" a="1"/>
  <c r="CO61" i="54" a="1"/>
  <c r="CO62" i="54" a="1"/>
  <c r="CO63" i="54" a="1"/>
  <c r="CO64" i="54" a="1"/>
  <c r="CO32" i="54"/>
  <c r="CO33" i="54"/>
  <c r="CO34" i="54"/>
  <c r="CO35" i="54"/>
  <c r="CO36" i="54"/>
  <c r="CO37" i="54"/>
  <c r="CO38" i="54"/>
  <c r="CO39" i="54"/>
  <c r="CO40" i="54"/>
  <c r="CO41" i="54"/>
  <c r="CO42" i="54"/>
  <c r="CO43" i="54"/>
  <c r="CO44" i="54"/>
  <c r="CO45" i="54"/>
  <c r="CO46" i="54"/>
  <c r="CO47" i="54"/>
  <c r="CO48" i="54"/>
  <c r="CO49" i="54"/>
  <c r="CO50" i="54"/>
  <c r="CO51" i="54"/>
  <c r="CO52" i="54"/>
  <c r="CO53" i="54"/>
  <c r="CO54" i="54"/>
  <c r="CO55" i="54"/>
  <c r="CO56" i="54"/>
  <c r="CO57" i="54"/>
  <c r="CO58" i="54"/>
  <c r="CO59" i="54"/>
  <c r="CO60" i="54"/>
  <c r="CO61" i="54"/>
  <c r="CO62" i="54"/>
  <c r="CO63" i="54"/>
  <c r="CO64" i="54"/>
  <c r="CO68" i="54"/>
  <c r="DC27" i="54"/>
  <c r="DC30" i="54" a="1"/>
  <c r="DC30" i="54"/>
  <c r="DC31" i="54" a="1"/>
  <c r="DC31" i="54"/>
  <c r="DC32" i="54" a="1"/>
  <c r="DC33" i="54" a="1"/>
  <c r="DC34" i="54" a="1"/>
  <c r="DC35" i="54" a="1"/>
  <c r="DC36" i="54" a="1"/>
  <c r="DC37" i="54" a="1"/>
  <c r="DC38" i="54" a="1"/>
  <c r="DC39" i="54" a="1"/>
  <c r="DC40" i="54" a="1"/>
  <c r="DC41" i="54" a="1"/>
  <c r="DC42" i="54" a="1"/>
  <c r="DC43" i="54" a="1"/>
  <c r="DC44" i="54" a="1"/>
  <c r="DC45" i="54" a="1"/>
  <c r="DC46" i="54" a="1"/>
  <c r="DC47" i="54" a="1"/>
  <c r="DC48" i="54" a="1"/>
  <c r="DC49" i="54" a="1"/>
  <c r="DC50" i="54" a="1"/>
  <c r="DC51" i="54" a="1"/>
  <c r="DC52" i="54" a="1"/>
  <c r="DC53" i="54" a="1"/>
  <c r="DC54" i="54" a="1"/>
  <c r="DC55" i="54" a="1"/>
  <c r="DC56" i="54" a="1"/>
  <c r="DC57" i="54" a="1"/>
  <c r="DC58" i="54" a="1"/>
  <c r="DC59" i="54" a="1"/>
  <c r="DC60" i="54" a="1"/>
  <c r="DC61" i="54" a="1"/>
  <c r="DC62" i="54" a="1"/>
  <c r="DC63" i="54" a="1"/>
  <c r="DC64" i="54" a="1"/>
  <c r="DC32" i="54"/>
  <c r="DC33" i="54"/>
  <c r="DC34" i="54"/>
  <c r="DC35" i="54"/>
  <c r="DC36" i="54"/>
  <c r="DC37" i="54"/>
  <c r="DC38" i="54"/>
  <c r="DC39" i="54"/>
  <c r="DC40" i="54"/>
  <c r="DC41" i="54"/>
  <c r="DC42" i="54"/>
  <c r="DC43" i="54"/>
  <c r="DC44" i="54"/>
  <c r="DC45" i="54"/>
  <c r="DC46" i="54"/>
  <c r="DC47" i="54"/>
  <c r="DC48" i="54"/>
  <c r="DC49" i="54"/>
  <c r="DC50" i="54"/>
  <c r="DC51" i="54"/>
  <c r="DC52" i="54"/>
  <c r="DC53" i="54"/>
  <c r="DC54" i="54"/>
  <c r="DC55" i="54"/>
  <c r="DC56" i="54"/>
  <c r="DC57" i="54"/>
  <c r="DC58" i="54"/>
  <c r="DC59" i="54"/>
  <c r="DC60" i="54"/>
  <c r="DC61" i="54"/>
  <c r="DC62" i="54"/>
  <c r="DC63" i="54"/>
  <c r="DC64" i="54"/>
  <c r="DC68" i="54"/>
  <c r="BO71" i="54"/>
  <c r="BN27" i="54"/>
  <c r="BN30" i="54" a="1"/>
  <c r="BN30" i="54"/>
  <c r="BN31" i="54" a="1"/>
  <c r="BN31" i="54"/>
  <c r="BN32" i="54" a="1"/>
  <c r="BN33" i="54" a="1"/>
  <c r="BN34" i="54" a="1"/>
  <c r="BN35" i="54" a="1"/>
  <c r="BN36" i="54" a="1"/>
  <c r="BN37" i="54" a="1"/>
  <c r="BN38" i="54" a="1"/>
  <c r="BN39" i="54" a="1"/>
  <c r="BN40" i="54" a="1"/>
  <c r="BN41" i="54" a="1"/>
  <c r="BN42" i="54" a="1"/>
  <c r="BN43" i="54" a="1"/>
  <c r="BN44" i="54" a="1"/>
  <c r="BN45" i="54" a="1"/>
  <c r="BN46" i="54" a="1"/>
  <c r="BN47" i="54" a="1"/>
  <c r="BN48" i="54" a="1"/>
  <c r="BN49" i="54" a="1"/>
  <c r="BN50" i="54" a="1"/>
  <c r="BN51" i="54" a="1"/>
  <c r="BN52" i="54" a="1"/>
  <c r="BN53" i="54" a="1"/>
  <c r="BN54" i="54" a="1"/>
  <c r="BN55" i="54" a="1"/>
  <c r="BN56" i="54" a="1"/>
  <c r="BN57" i="54" a="1"/>
  <c r="BN58" i="54" a="1"/>
  <c r="BN59" i="54" a="1"/>
  <c r="BN60" i="54" a="1"/>
  <c r="BN61" i="54" a="1"/>
  <c r="BN62" i="54" a="1"/>
  <c r="BN63" i="54" a="1"/>
  <c r="BN64" i="54" a="1"/>
  <c r="BN32" i="54"/>
  <c r="BN33" i="54"/>
  <c r="BN34" i="54"/>
  <c r="BN35" i="54"/>
  <c r="BN36" i="54"/>
  <c r="BN37" i="54"/>
  <c r="BN38" i="54"/>
  <c r="BN39" i="54"/>
  <c r="BN40" i="54"/>
  <c r="BN41" i="54"/>
  <c r="BN42" i="54"/>
  <c r="BN43" i="54"/>
  <c r="BN44" i="54"/>
  <c r="BN45" i="54"/>
  <c r="BN46" i="54"/>
  <c r="BN47" i="54"/>
  <c r="BN48" i="54"/>
  <c r="BN49" i="54"/>
  <c r="BN50" i="54"/>
  <c r="BN51" i="54"/>
  <c r="BN52" i="54"/>
  <c r="BN53" i="54"/>
  <c r="BN54" i="54"/>
  <c r="BN55" i="54"/>
  <c r="BN56" i="54"/>
  <c r="BN57" i="54"/>
  <c r="BN58" i="54"/>
  <c r="BN59" i="54"/>
  <c r="BN60" i="54"/>
  <c r="BN61" i="54"/>
  <c r="BN62" i="54"/>
  <c r="BN63" i="54"/>
  <c r="BN64" i="54"/>
  <c r="BN68" i="54"/>
  <c r="CB27" i="54"/>
  <c r="CB30" i="54" a="1"/>
  <c r="CB30" i="54"/>
  <c r="CB31" i="54" a="1"/>
  <c r="CB31" i="54"/>
  <c r="CB32" i="54" a="1"/>
  <c r="CB33" i="54" a="1"/>
  <c r="CB34" i="54" a="1"/>
  <c r="CB35" i="54" a="1"/>
  <c r="CB36" i="54" a="1"/>
  <c r="CB37" i="54" a="1"/>
  <c r="CB38" i="54" a="1"/>
  <c r="CB39" i="54" a="1"/>
  <c r="CB40" i="54" a="1"/>
  <c r="CB41" i="54" a="1"/>
  <c r="CB42" i="54" a="1"/>
  <c r="CB43" i="54" a="1"/>
  <c r="CB44" i="54" a="1"/>
  <c r="CB45" i="54" a="1"/>
  <c r="CB46" i="54" a="1"/>
  <c r="CB47" i="54" a="1"/>
  <c r="CB48" i="54" a="1"/>
  <c r="CB49" i="54" a="1"/>
  <c r="CB50" i="54" a="1"/>
  <c r="CB51" i="54" a="1"/>
  <c r="CB52" i="54" a="1"/>
  <c r="CB53" i="54" a="1"/>
  <c r="CB54" i="54" a="1"/>
  <c r="CB55" i="54" a="1"/>
  <c r="CB56" i="54" a="1"/>
  <c r="CB57" i="54" a="1"/>
  <c r="CB58" i="54" a="1"/>
  <c r="CB59" i="54" a="1"/>
  <c r="CB60" i="54" a="1"/>
  <c r="CB61" i="54" a="1"/>
  <c r="CB62" i="54" a="1"/>
  <c r="CB63" i="54" a="1"/>
  <c r="CB64" i="54" a="1"/>
  <c r="CB32" i="54"/>
  <c r="CB33" i="54"/>
  <c r="CB34" i="54"/>
  <c r="CB35" i="54"/>
  <c r="CB36" i="54"/>
  <c r="CB37" i="54"/>
  <c r="CB38" i="54"/>
  <c r="CB39" i="54"/>
  <c r="CB40" i="54"/>
  <c r="CB41" i="54"/>
  <c r="CB42" i="54"/>
  <c r="CB43" i="54"/>
  <c r="CB44" i="54"/>
  <c r="CB45" i="54"/>
  <c r="CB46" i="54"/>
  <c r="CB47" i="54"/>
  <c r="CB48" i="54"/>
  <c r="CB49" i="54"/>
  <c r="CB50" i="54"/>
  <c r="CB51" i="54"/>
  <c r="CB52" i="54"/>
  <c r="CB53" i="54"/>
  <c r="CB54" i="54"/>
  <c r="CB55" i="54"/>
  <c r="CB56" i="54"/>
  <c r="CB57" i="54"/>
  <c r="CB58" i="54"/>
  <c r="CB59" i="54"/>
  <c r="CB60" i="54"/>
  <c r="CB61" i="54"/>
  <c r="CB62" i="54"/>
  <c r="CB63" i="54"/>
  <c r="CB64" i="54"/>
  <c r="CB68" i="54"/>
  <c r="CN27" i="54"/>
  <c r="CN30" i="54" a="1"/>
  <c r="CN30" i="54"/>
  <c r="CN31" i="54" a="1"/>
  <c r="CN31" i="54"/>
  <c r="CN32" i="54" a="1"/>
  <c r="CN33" i="54" a="1"/>
  <c r="CN34" i="54" a="1"/>
  <c r="CN35" i="54" a="1"/>
  <c r="CN36" i="54" a="1"/>
  <c r="CN37" i="54" a="1"/>
  <c r="CN38" i="54" a="1"/>
  <c r="CN39" i="54" a="1"/>
  <c r="CN40" i="54" a="1"/>
  <c r="CN41" i="54" a="1"/>
  <c r="CN42" i="54" a="1"/>
  <c r="CN43" i="54" a="1"/>
  <c r="CN44" i="54" a="1"/>
  <c r="CN45" i="54" a="1"/>
  <c r="CN46" i="54" a="1"/>
  <c r="CN47" i="54" a="1"/>
  <c r="CN48" i="54" a="1"/>
  <c r="CN49" i="54" a="1"/>
  <c r="CN50" i="54" a="1"/>
  <c r="CN51" i="54" a="1"/>
  <c r="CN52" i="54" a="1"/>
  <c r="CN53" i="54" a="1"/>
  <c r="CN54" i="54" a="1"/>
  <c r="CN55" i="54" a="1"/>
  <c r="CN56" i="54" a="1"/>
  <c r="CN57" i="54" a="1"/>
  <c r="CN58" i="54" a="1"/>
  <c r="CN59" i="54" a="1"/>
  <c r="CN60" i="54" a="1"/>
  <c r="CN61" i="54" a="1"/>
  <c r="CN62" i="54" a="1"/>
  <c r="CN63" i="54" a="1"/>
  <c r="CN64" i="54" a="1"/>
  <c r="CN32" i="54"/>
  <c r="CN33" i="54"/>
  <c r="CN34" i="54"/>
  <c r="CN35" i="54"/>
  <c r="CN36" i="54"/>
  <c r="CN37" i="54"/>
  <c r="CN38" i="54"/>
  <c r="CN39" i="54"/>
  <c r="CN40" i="54"/>
  <c r="CN41" i="54"/>
  <c r="CN42" i="54"/>
  <c r="CN43" i="54"/>
  <c r="CN44" i="54"/>
  <c r="CN45" i="54"/>
  <c r="CN46" i="54"/>
  <c r="CN47" i="54"/>
  <c r="CN48" i="54"/>
  <c r="CN49" i="54"/>
  <c r="CN50" i="54"/>
  <c r="CN51" i="54"/>
  <c r="CN52" i="54"/>
  <c r="CN53" i="54"/>
  <c r="CN54" i="54"/>
  <c r="CN55" i="54"/>
  <c r="CN56" i="54"/>
  <c r="CN57" i="54"/>
  <c r="CN58" i="54"/>
  <c r="CN59" i="54"/>
  <c r="CN60" i="54"/>
  <c r="CN61" i="54"/>
  <c r="CN62" i="54"/>
  <c r="CN63" i="54"/>
  <c r="CN64" i="54"/>
  <c r="CN68" i="54"/>
  <c r="DB27" i="54"/>
  <c r="DB30" i="54" a="1"/>
  <c r="DB30" i="54"/>
  <c r="DB31" i="54" a="1"/>
  <c r="DB31" i="54"/>
  <c r="DB32" i="54" a="1"/>
  <c r="DB33" i="54" a="1"/>
  <c r="DB34" i="54" a="1"/>
  <c r="DB35" i="54" a="1"/>
  <c r="DB36" i="54" a="1"/>
  <c r="DB37" i="54" a="1"/>
  <c r="DB38" i="54" a="1"/>
  <c r="DB39" i="54" a="1"/>
  <c r="DB40" i="54" a="1"/>
  <c r="DB41" i="54" a="1"/>
  <c r="DB42" i="54" a="1"/>
  <c r="DB43" i="54" a="1"/>
  <c r="DB44" i="54" a="1"/>
  <c r="DB45" i="54" a="1"/>
  <c r="DB46" i="54" a="1"/>
  <c r="DB47" i="54" a="1"/>
  <c r="DB48" i="54" a="1"/>
  <c r="DB49" i="54" a="1"/>
  <c r="DB50" i="54" a="1"/>
  <c r="DB51" i="54" a="1"/>
  <c r="DB52" i="54" a="1"/>
  <c r="DB53" i="54" a="1"/>
  <c r="DB54" i="54" a="1"/>
  <c r="DB55" i="54" a="1"/>
  <c r="DB56" i="54" a="1"/>
  <c r="DB57" i="54" a="1"/>
  <c r="DB58" i="54" a="1"/>
  <c r="DB59" i="54" a="1"/>
  <c r="DB60" i="54" a="1"/>
  <c r="DB61" i="54" a="1"/>
  <c r="DB62" i="54" a="1"/>
  <c r="DB63" i="54" a="1"/>
  <c r="DB64" i="54" a="1"/>
  <c r="DB32" i="54"/>
  <c r="DB33" i="54"/>
  <c r="DB34" i="54"/>
  <c r="DB35" i="54"/>
  <c r="DB36" i="54"/>
  <c r="DB37" i="54"/>
  <c r="DB38" i="54"/>
  <c r="DB39" i="54"/>
  <c r="DB40" i="54"/>
  <c r="DB41" i="54"/>
  <c r="DB42" i="54"/>
  <c r="DB43" i="54"/>
  <c r="DB44" i="54"/>
  <c r="DB45" i="54"/>
  <c r="DB46" i="54"/>
  <c r="DB47" i="54"/>
  <c r="DB48" i="54"/>
  <c r="DB49" i="54"/>
  <c r="DB50" i="54"/>
  <c r="DB51" i="54"/>
  <c r="DB52" i="54"/>
  <c r="DB53" i="54"/>
  <c r="DB54" i="54"/>
  <c r="DB55" i="54"/>
  <c r="DB56" i="54"/>
  <c r="DB57" i="54"/>
  <c r="DB58" i="54"/>
  <c r="DB59" i="54"/>
  <c r="DB60" i="54"/>
  <c r="DB61" i="54"/>
  <c r="DB62" i="54"/>
  <c r="DB63" i="54"/>
  <c r="DB64" i="54"/>
  <c r="DB68" i="54"/>
  <c r="BN71" i="54"/>
  <c r="BM27" i="54"/>
  <c r="BM30" i="54" a="1"/>
  <c r="BM30" i="54"/>
  <c r="BM31" i="54" a="1"/>
  <c r="BM31" i="54"/>
  <c r="BM32" i="54" a="1"/>
  <c r="BM33" i="54" a="1"/>
  <c r="BM34" i="54" a="1"/>
  <c r="BM35" i="54" a="1"/>
  <c r="BM36" i="54" a="1"/>
  <c r="BM37" i="54" a="1"/>
  <c r="BM38" i="54" a="1"/>
  <c r="BM39" i="54" a="1"/>
  <c r="BM40" i="54" a="1"/>
  <c r="BM41" i="54" a="1"/>
  <c r="BM42" i="54" a="1"/>
  <c r="BM43" i="54" a="1"/>
  <c r="BM44" i="54" a="1"/>
  <c r="BM45" i="54" a="1"/>
  <c r="BM46" i="54" a="1"/>
  <c r="BM47" i="54" a="1"/>
  <c r="BM48" i="54" a="1"/>
  <c r="BM49" i="54" a="1"/>
  <c r="BM50" i="54" a="1"/>
  <c r="BM51" i="54" a="1"/>
  <c r="BM52" i="54" a="1"/>
  <c r="BM53" i="54" a="1"/>
  <c r="BM54" i="54" a="1"/>
  <c r="BM55" i="54" a="1"/>
  <c r="BM56" i="54" a="1"/>
  <c r="BM57" i="54" a="1"/>
  <c r="BM58" i="54" a="1"/>
  <c r="BM59" i="54" a="1"/>
  <c r="BM60" i="54" a="1"/>
  <c r="BM61" i="54" a="1"/>
  <c r="BM62" i="54" a="1"/>
  <c r="BM63" i="54" a="1"/>
  <c r="BM64" i="54" a="1"/>
  <c r="BM32" i="54"/>
  <c r="BM33" i="54"/>
  <c r="BM34" i="54"/>
  <c r="BM35" i="54"/>
  <c r="BM36" i="54"/>
  <c r="BM37" i="54"/>
  <c r="BM38" i="54"/>
  <c r="BM39" i="54"/>
  <c r="BM40" i="54"/>
  <c r="BM41" i="54"/>
  <c r="BM42" i="54"/>
  <c r="BM43" i="54"/>
  <c r="BM44" i="54"/>
  <c r="BM45" i="54"/>
  <c r="BM46" i="54"/>
  <c r="BM47" i="54"/>
  <c r="BM48" i="54"/>
  <c r="BM49" i="54"/>
  <c r="BM50" i="54"/>
  <c r="BM51" i="54"/>
  <c r="BM52" i="54"/>
  <c r="BM53" i="54"/>
  <c r="BM54" i="54"/>
  <c r="BM55" i="54"/>
  <c r="BM56" i="54"/>
  <c r="BM57" i="54"/>
  <c r="BM58" i="54"/>
  <c r="BM59" i="54"/>
  <c r="BM60" i="54"/>
  <c r="BM61" i="54"/>
  <c r="BM62" i="54"/>
  <c r="BM63" i="54"/>
  <c r="BM64" i="54"/>
  <c r="BM68" i="54"/>
  <c r="CA27" i="54"/>
  <c r="CA30" i="54" a="1"/>
  <c r="CA30" i="54"/>
  <c r="CA31" i="54" a="1"/>
  <c r="CA31" i="54"/>
  <c r="CA32" i="54" a="1"/>
  <c r="CA33" i="54" a="1"/>
  <c r="CA34" i="54" a="1"/>
  <c r="CA35" i="54" a="1"/>
  <c r="CA36" i="54" a="1"/>
  <c r="CA37" i="54" a="1"/>
  <c r="CA38" i="54" a="1"/>
  <c r="CA39" i="54" a="1"/>
  <c r="CA40" i="54" a="1"/>
  <c r="CA41" i="54" a="1"/>
  <c r="CA42" i="54" a="1"/>
  <c r="CA43" i="54" a="1"/>
  <c r="CA44" i="54" a="1"/>
  <c r="CA45" i="54" a="1"/>
  <c r="CA46" i="54" a="1"/>
  <c r="CA47" i="54" a="1"/>
  <c r="CA48" i="54" a="1"/>
  <c r="CA49" i="54" a="1"/>
  <c r="CA50" i="54" a="1"/>
  <c r="CA51" i="54" a="1"/>
  <c r="CA52" i="54" a="1"/>
  <c r="CA53" i="54" a="1"/>
  <c r="CA54" i="54" a="1"/>
  <c r="CA55" i="54" a="1"/>
  <c r="CA56" i="54" a="1"/>
  <c r="CA57" i="54" a="1"/>
  <c r="CA58" i="54" a="1"/>
  <c r="CA59" i="54" a="1"/>
  <c r="CA60" i="54" a="1"/>
  <c r="CA61" i="54" a="1"/>
  <c r="CA62" i="54" a="1"/>
  <c r="CA63" i="54" a="1"/>
  <c r="CA64" i="54" a="1"/>
  <c r="CA32" i="54"/>
  <c r="CA33" i="54"/>
  <c r="CA34" i="54"/>
  <c r="CA35" i="54"/>
  <c r="CA36" i="54"/>
  <c r="CA37" i="54"/>
  <c r="CA38" i="54"/>
  <c r="CA39" i="54"/>
  <c r="CA40" i="54"/>
  <c r="CA41" i="54"/>
  <c r="CA42" i="54"/>
  <c r="CA43" i="54"/>
  <c r="CA44" i="54"/>
  <c r="CA45" i="54"/>
  <c r="CA46" i="54"/>
  <c r="CA47" i="54"/>
  <c r="CA48" i="54"/>
  <c r="CA49" i="54"/>
  <c r="CA50" i="54"/>
  <c r="CA51" i="54"/>
  <c r="CA52" i="54"/>
  <c r="CA53" i="54"/>
  <c r="CA54" i="54"/>
  <c r="CA55" i="54"/>
  <c r="CA56" i="54"/>
  <c r="CA57" i="54"/>
  <c r="CA58" i="54"/>
  <c r="CA59" i="54"/>
  <c r="CA60" i="54"/>
  <c r="CA61" i="54"/>
  <c r="CA62" i="54"/>
  <c r="CA63" i="54"/>
  <c r="CA64" i="54"/>
  <c r="CA68" i="54"/>
  <c r="DA27" i="54"/>
  <c r="DA30" i="54" a="1"/>
  <c r="DA30" i="54"/>
  <c r="DA31" i="54" a="1"/>
  <c r="DA31" i="54"/>
  <c r="DA32" i="54" a="1"/>
  <c r="DA33" i="54" a="1"/>
  <c r="DA34" i="54" a="1"/>
  <c r="DA35" i="54" a="1"/>
  <c r="DA36" i="54" a="1"/>
  <c r="DA37" i="54" a="1"/>
  <c r="DA38" i="54" a="1"/>
  <c r="DA39" i="54" a="1"/>
  <c r="DA40" i="54" a="1"/>
  <c r="DA41" i="54" a="1"/>
  <c r="DA42" i="54" a="1"/>
  <c r="DA43" i="54" a="1"/>
  <c r="DA44" i="54" a="1"/>
  <c r="DA45" i="54" a="1"/>
  <c r="DA46" i="54" a="1"/>
  <c r="DA47" i="54" a="1"/>
  <c r="DA48" i="54" a="1"/>
  <c r="DA49" i="54" a="1"/>
  <c r="DA50" i="54" a="1"/>
  <c r="DA51" i="54" a="1"/>
  <c r="DA52" i="54" a="1"/>
  <c r="DA53" i="54" a="1"/>
  <c r="DA54" i="54" a="1"/>
  <c r="DA55" i="54" a="1"/>
  <c r="DA56" i="54" a="1"/>
  <c r="DA57" i="54" a="1"/>
  <c r="DA58" i="54" a="1"/>
  <c r="DA59" i="54" a="1"/>
  <c r="DA60" i="54" a="1"/>
  <c r="DA61" i="54" a="1"/>
  <c r="DA62" i="54" a="1"/>
  <c r="DA63" i="54" a="1"/>
  <c r="DA64" i="54" a="1"/>
  <c r="DA32" i="54"/>
  <c r="DA33" i="54"/>
  <c r="DA34" i="54"/>
  <c r="DA35" i="54"/>
  <c r="DA36" i="54"/>
  <c r="DA37" i="54"/>
  <c r="DA38" i="54"/>
  <c r="DA39" i="54"/>
  <c r="DA40" i="54"/>
  <c r="DA41" i="54"/>
  <c r="DA42" i="54"/>
  <c r="DA43" i="54"/>
  <c r="DA44" i="54"/>
  <c r="DA45" i="54"/>
  <c r="DA46" i="54"/>
  <c r="DA47" i="54"/>
  <c r="DA48" i="54"/>
  <c r="DA49" i="54"/>
  <c r="DA50" i="54"/>
  <c r="DA51" i="54"/>
  <c r="DA52" i="54"/>
  <c r="DA53" i="54"/>
  <c r="DA54" i="54"/>
  <c r="DA55" i="54"/>
  <c r="DA56" i="54"/>
  <c r="DA57" i="54"/>
  <c r="DA58" i="54"/>
  <c r="DA59" i="54"/>
  <c r="DA60" i="54"/>
  <c r="DA61" i="54"/>
  <c r="DA62" i="54"/>
  <c r="DA63" i="54"/>
  <c r="DA64" i="54"/>
  <c r="DA68" i="54"/>
  <c r="BM71" i="54"/>
  <c r="BZ70" i="54"/>
  <c r="BY70" i="54"/>
  <c r="BX70" i="54"/>
  <c r="BW70" i="54"/>
  <c r="BV70" i="54"/>
  <c r="BU70" i="54"/>
  <c r="BT70" i="54"/>
  <c r="BS70" i="54"/>
  <c r="BR70" i="54"/>
  <c r="BQ70" i="54"/>
  <c r="BP70" i="54"/>
  <c r="BO70" i="54"/>
  <c r="BN70" i="54"/>
  <c r="BM70" i="54"/>
  <c r="EB30" i="54"/>
  <c r="EB31" i="54"/>
  <c r="EB32" i="54"/>
  <c r="EB33" i="54"/>
  <c r="EB34" i="54"/>
  <c r="EB35" i="54"/>
  <c r="EB36" i="54"/>
  <c r="EB37" i="54"/>
  <c r="EB38" i="54"/>
  <c r="EB39" i="54"/>
  <c r="EB40" i="54"/>
  <c r="EB41" i="54"/>
  <c r="EB42" i="54"/>
  <c r="EB43" i="54"/>
  <c r="EB44" i="54"/>
  <c r="EB45" i="54"/>
  <c r="EB46" i="54"/>
  <c r="EB47" i="54"/>
  <c r="EB48" i="54"/>
  <c r="EB49" i="54"/>
  <c r="EB50" i="54"/>
  <c r="EB51" i="54"/>
  <c r="EB52" i="54"/>
  <c r="EB53" i="54"/>
  <c r="EB54" i="54"/>
  <c r="EB55" i="54"/>
  <c r="EB56" i="54"/>
  <c r="EB57" i="54"/>
  <c r="EB58" i="54"/>
  <c r="EB59" i="54"/>
  <c r="EB60" i="54"/>
  <c r="EB61" i="54"/>
  <c r="EB62" i="54"/>
  <c r="EB63" i="54"/>
  <c r="EB64" i="54"/>
  <c r="EB68" i="54"/>
  <c r="DF69" i="54"/>
  <c r="DT30" i="54"/>
  <c r="DT31" i="54"/>
  <c r="DT32" i="54"/>
  <c r="DT33" i="54"/>
  <c r="DT34" i="54"/>
  <c r="DT35" i="54"/>
  <c r="DT36" i="54"/>
  <c r="DT37" i="54"/>
  <c r="DT38" i="54"/>
  <c r="DT39" i="54"/>
  <c r="DT40" i="54"/>
  <c r="DT41" i="54"/>
  <c r="DT42" i="54"/>
  <c r="DT43" i="54"/>
  <c r="DT44" i="54"/>
  <c r="DT45" i="54"/>
  <c r="DT46" i="54"/>
  <c r="DT47" i="54"/>
  <c r="DT48" i="54"/>
  <c r="DT49" i="54"/>
  <c r="DT50" i="54"/>
  <c r="DT51" i="54"/>
  <c r="DT52" i="54"/>
  <c r="DT53" i="54"/>
  <c r="DT54" i="54"/>
  <c r="DT55" i="54"/>
  <c r="DT56" i="54"/>
  <c r="DT57" i="54"/>
  <c r="DT58" i="54"/>
  <c r="DT59" i="54"/>
  <c r="DT60" i="54"/>
  <c r="DT61" i="54"/>
  <c r="DT62" i="54"/>
  <c r="DT63" i="54"/>
  <c r="DT64" i="54"/>
  <c r="DT68" i="54"/>
  <c r="CZ69" i="54"/>
  <c r="DU30" i="54"/>
  <c r="DU31" i="54"/>
  <c r="DU32" i="54"/>
  <c r="DU33" i="54"/>
  <c r="DU34" i="54"/>
  <c r="DU35" i="54"/>
  <c r="DU36" i="54"/>
  <c r="DU37" i="54"/>
  <c r="DU38" i="54"/>
  <c r="DU39" i="54"/>
  <c r="DU40" i="54"/>
  <c r="DU41" i="54"/>
  <c r="DU42" i="54"/>
  <c r="DU43" i="54"/>
  <c r="DU44" i="54"/>
  <c r="DU45" i="54"/>
  <c r="DU46" i="54"/>
  <c r="DU47" i="54"/>
  <c r="DU48" i="54"/>
  <c r="DU49" i="54"/>
  <c r="DU50" i="54"/>
  <c r="DU51" i="54"/>
  <c r="DU52" i="54"/>
  <c r="DU53" i="54"/>
  <c r="DU54" i="54"/>
  <c r="DU55" i="54"/>
  <c r="DU56" i="54"/>
  <c r="DU57" i="54"/>
  <c r="DU58" i="54"/>
  <c r="DU59" i="54"/>
  <c r="DU60" i="54"/>
  <c r="DU61" i="54"/>
  <c r="DU62" i="54"/>
  <c r="DU63" i="54"/>
  <c r="DU64" i="54"/>
  <c r="DU68" i="54"/>
  <c r="CY69" i="54"/>
  <c r="CX69" i="54"/>
  <c r="DS30" i="54"/>
  <c r="DS31" i="54"/>
  <c r="DS32" i="54"/>
  <c r="DS33" i="54"/>
  <c r="DS34" i="54"/>
  <c r="DS35" i="54"/>
  <c r="DS36" i="54"/>
  <c r="DS37" i="54"/>
  <c r="DS38" i="54"/>
  <c r="DS39" i="54"/>
  <c r="DS40" i="54"/>
  <c r="DS41" i="54"/>
  <c r="DS42" i="54"/>
  <c r="DS43" i="54"/>
  <c r="DS44" i="54"/>
  <c r="DS45" i="54"/>
  <c r="DS46" i="54"/>
  <c r="DS47" i="54"/>
  <c r="DS48" i="54"/>
  <c r="DS49" i="54"/>
  <c r="DS50" i="54"/>
  <c r="DS51" i="54"/>
  <c r="DS52" i="54"/>
  <c r="DS53" i="54"/>
  <c r="DS54" i="54"/>
  <c r="DS55" i="54"/>
  <c r="DS56" i="54"/>
  <c r="DS57" i="54"/>
  <c r="DS58" i="54"/>
  <c r="DS59" i="54"/>
  <c r="DS60" i="54"/>
  <c r="DS61" i="54"/>
  <c r="DS62" i="54"/>
  <c r="DS63" i="54"/>
  <c r="DS64" i="54"/>
  <c r="DS68" i="54"/>
  <c r="CW69" i="54"/>
  <c r="DR30" i="54"/>
  <c r="DR31" i="54"/>
  <c r="DR32" i="54"/>
  <c r="DR33" i="54"/>
  <c r="DR34" i="54"/>
  <c r="DR35" i="54"/>
  <c r="DR36" i="54"/>
  <c r="DR37" i="54"/>
  <c r="DR38" i="54"/>
  <c r="DR39" i="54"/>
  <c r="DR40" i="54"/>
  <c r="DR41" i="54"/>
  <c r="DR42" i="54"/>
  <c r="DR43" i="54"/>
  <c r="DR44" i="54"/>
  <c r="DR45" i="54"/>
  <c r="DR46" i="54"/>
  <c r="DR47" i="54"/>
  <c r="DR48" i="54"/>
  <c r="DR49" i="54"/>
  <c r="DR50" i="54"/>
  <c r="DR51" i="54"/>
  <c r="DR52" i="54"/>
  <c r="DR53" i="54"/>
  <c r="DR54" i="54"/>
  <c r="DR55" i="54"/>
  <c r="DR56" i="54"/>
  <c r="DR57" i="54"/>
  <c r="DR58" i="54"/>
  <c r="DR59" i="54"/>
  <c r="DR60" i="54"/>
  <c r="DR61" i="54"/>
  <c r="DR62" i="54"/>
  <c r="DR63" i="54"/>
  <c r="DR64" i="54"/>
  <c r="DR68" i="54"/>
  <c r="CV69" i="54"/>
  <c r="DQ30" i="54"/>
  <c r="DQ31" i="54"/>
  <c r="DQ32" i="54"/>
  <c r="DQ33" i="54"/>
  <c r="DQ34" i="54"/>
  <c r="DQ35" i="54"/>
  <c r="DQ36" i="54"/>
  <c r="DQ37" i="54"/>
  <c r="DQ38" i="54"/>
  <c r="DQ39" i="54"/>
  <c r="DQ40" i="54"/>
  <c r="DQ41" i="54"/>
  <c r="DQ42" i="54"/>
  <c r="DQ43" i="54"/>
  <c r="DQ44" i="54"/>
  <c r="DQ45" i="54"/>
  <c r="DQ46" i="54"/>
  <c r="DQ47" i="54"/>
  <c r="DQ48" i="54"/>
  <c r="DQ49" i="54"/>
  <c r="DQ50" i="54"/>
  <c r="DQ51" i="54"/>
  <c r="DQ52" i="54"/>
  <c r="DQ53" i="54"/>
  <c r="DQ54" i="54"/>
  <c r="DQ55" i="54"/>
  <c r="DQ56" i="54"/>
  <c r="DQ57" i="54"/>
  <c r="DQ58" i="54"/>
  <c r="DQ59" i="54"/>
  <c r="DQ60" i="54"/>
  <c r="DQ61" i="54"/>
  <c r="DQ62" i="54"/>
  <c r="DQ63" i="54"/>
  <c r="DQ64" i="54"/>
  <c r="DQ68" i="54"/>
  <c r="CU69" i="54"/>
  <c r="DP30" i="54"/>
  <c r="DP31" i="54"/>
  <c r="DP32" i="54"/>
  <c r="DP33" i="54"/>
  <c r="DP34" i="54"/>
  <c r="DP35" i="54"/>
  <c r="DP36" i="54"/>
  <c r="DP37" i="54"/>
  <c r="DP38" i="54"/>
  <c r="DP39" i="54"/>
  <c r="DP40" i="54"/>
  <c r="DP41" i="54"/>
  <c r="DP42" i="54"/>
  <c r="DP43" i="54"/>
  <c r="DP44" i="54"/>
  <c r="DP45" i="54"/>
  <c r="DP46" i="54"/>
  <c r="DP47" i="54"/>
  <c r="DP48" i="54"/>
  <c r="DP49" i="54"/>
  <c r="DP50" i="54"/>
  <c r="DP51" i="54"/>
  <c r="DP52" i="54"/>
  <c r="DP53" i="54"/>
  <c r="DP54" i="54"/>
  <c r="DP55" i="54"/>
  <c r="DP56" i="54"/>
  <c r="DP57" i="54"/>
  <c r="DP58" i="54"/>
  <c r="DP59" i="54"/>
  <c r="DP60" i="54"/>
  <c r="DP61" i="54"/>
  <c r="DP62" i="54"/>
  <c r="DP63" i="54"/>
  <c r="DP64" i="54"/>
  <c r="DP68" i="54"/>
  <c r="CT69" i="54"/>
  <c r="DO30" i="54"/>
  <c r="DO31" i="54"/>
  <c r="DO32" i="54"/>
  <c r="DO33" i="54"/>
  <c r="DO34" i="54"/>
  <c r="DO35" i="54"/>
  <c r="DO36" i="54"/>
  <c r="DO37" i="54"/>
  <c r="DO38" i="54"/>
  <c r="DO39" i="54"/>
  <c r="DO40" i="54"/>
  <c r="DO41" i="54"/>
  <c r="DO42" i="54"/>
  <c r="DO43" i="54"/>
  <c r="DO44" i="54"/>
  <c r="DO45" i="54"/>
  <c r="DO46" i="54"/>
  <c r="DO47" i="54"/>
  <c r="DO48" i="54"/>
  <c r="DO49" i="54"/>
  <c r="DO50" i="54"/>
  <c r="DO51" i="54"/>
  <c r="DO52" i="54"/>
  <c r="DO53" i="54"/>
  <c r="DO54" i="54"/>
  <c r="DO55" i="54"/>
  <c r="DO56" i="54"/>
  <c r="DO57" i="54"/>
  <c r="DO58" i="54"/>
  <c r="DO59" i="54"/>
  <c r="DO60" i="54"/>
  <c r="DO61" i="54"/>
  <c r="DO62" i="54"/>
  <c r="DO63" i="54"/>
  <c r="DO64" i="54"/>
  <c r="DO68" i="54"/>
  <c r="CS69" i="54"/>
  <c r="BZ69" i="54"/>
  <c r="BY69" i="54"/>
  <c r="BX69" i="54"/>
  <c r="BW69" i="54"/>
  <c r="BV69" i="54"/>
  <c r="BU69" i="54"/>
  <c r="BT69" i="54"/>
  <c r="BS69" i="54"/>
  <c r="BR69" i="54"/>
  <c r="BQ69" i="54"/>
  <c r="BP69" i="54"/>
  <c r="BO69" i="54"/>
  <c r="BN69" i="54"/>
  <c r="BM69" i="54"/>
  <c r="EA30" i="54"/>
  <c r="EA31" i="54"/>
  <c r="EA32" i="54"/>
  <c r="EA33" i="54"/>
  <c r="EA34" i="54"/>
  <c r="EA35" i="54"/>
  <c r="EA36" i="54"/>
  <c r="EA37" i="54"/>
  <c r="EA38" i="54"/>
  <c r="EA39" i="54"/>
  <c r="EA40" i="54"/>
  <c r="EA41" i="54"/>
  <c r="EA42" i="54"/>
  <c r="EA43" i="54"/>
  <c r="EA44" i="54"/>
  <c r="EA45" i="54"/>
  <c r="EA46" i="54"/>
  <c r="EA47" i="54"/>
  <c r="EA48" i="54"/>
  <c r="EA49" i="54"/>
  <c r="EA50" i="54"/>
  <c r="EA51" i="54"/>
  <c r="EA52" i="54"/>
  <c r="EA53" i="54"/>
  <c r="EA54" i="54"/>
  <c r="EA55" i="54"/>
  <c r="EA56" i="54"/>
  <c r="EA57" i="54"/>
  <c r="EA58" i="54"/>
  <c r="EA59" i="54"/>
  <c r="EA60" i="54"/>
  <c r="EA61" i="54"/>
  <c r="EA62" i="54"/>
  <c r="EA63" i="54"/>
  <c r="EA64" i="54"/>
  <c r="EA68" i="54"/>
  <c r="DZ30" i="54"/>
  <c r="DZ31" i="54"/>
  <c r="DZ32" i="54"/>
  <c r="DZ33" i="54"/>
  <c r="DZ34" i="54"/>
  <c r="DZ35" i="54"/>
  <c r="DZ36" i="54"/>
  <c r="DZ37" i="54"/>
  <c r="DZ38" i="54"/>
  <c r="DZ39" i="54"/>
  <c r="DZ40" i="54"/>
  <c r="DZ41" i="54"/>
  <c r="DZ42" i="54"/>
  <c r="DZ43" i="54"/>
  <c r="DZ44" i="54"/>
  <c r="DZ45" i="54"/>
  <c r="DZ46" i="54"/>
  <c r="DZ47" i="54"/>
  <c r="DZ48" i="54"/>
  <c r="DZ49" i="54"/>
  <c r="DZ50" i="54"/>
  <c r="DZ51" i="54"/>
  <c r="DZ52" i="54"/>
  <c r="DZ53" i="54"/>
  <c r="DZ54" i="54"/>
  <c r="DZ55" i="54"/>
  <c r="DZ56" i="54"/>
  <c r="DZ57" i="54"/>
  <c r="DZ58" i="54"/>
  <c r="DZ59" i="54"/>
  <c r="DZ60" i="54"/>
  <c r="DZ61" i="54"/>
  <c r="DZ62" i="54"/>
  <c r="DZ63" i="54"/>
  <c r="DZ64" i="54"/>
  <c r="DZ68" i="54"/>
  <c r="DY30" i="54"/>
  <c r="DY31" i="54"/>
  <c r="DY32" i="54"/>
  <c r="DY33" i="54"/>
  <c r="DY34" i="54"/>
  <c r="DY35" i="54"/>
  <c r="DY36" i="54"/>
  <c r="DY37" i="54"/>
  <c r="DY38" i="54"/>
  <c r="DY39" i="54"/>
  <c r="DY40" i="54"/>
  <c r="DY41" i="54"/>
  <c r="DY42" i="54"/>
  <c r="DY43" i="54"/>
  <c r="DY44" i="54"/>
  <c r="DY45" i="54"/>
  <c r="DY46" i="54"/>
  <c r="DY47" i="54"/>
  <c r="DY48" i="54"/>
  <c r="DY49" i="54"/>
  <c r="DY50" i="54"/>
  <c r="DY51" i="54"/>
  <c r="DY52" i="54"/>
  <c r="DY53" i="54"/>
  <c r="DY54" i="54"/>
  <c r="DY55" i="54"/>
  <c r="DY56" i="54"/>
  <c r="DY57" i="54"/>
  <c r="DY58" i="54"/>
  <c r="DY59" i="54"/>
  <c r="DY60" i="54"/>
  <c r="DY61" i="54"/>
  <c r="DY62" i="54"/>
  <c r="DY63" i="54"/>
  <c r="DY64" i="54"/>
  <c r="DY68" i="54"/>
  <c r="DX30" i="54"/>
  <c r="DX31" i="54"/>
  <c r="DX32" i="54"/>
  <c r="DX33" i="54"/>
  <c r="DX34" i="54"/>
  <c r="DX35" i="54"/>
  <c r="DX36" i="54"/>
  <c r="DX37" i="54"/>
  <c r="DX38" i="54"/>
  <c r="DX39" i="54"/>
  <c r="DX40" i="54"/>
  <c r="DX41" i="54"/>
  <c r="DX42" i="54"/>
  <c r="DX43" i="54"/>
  <c r="DX44" i="54"/>
  <c r="DX45" i="54"/>
  <c r="DX46" i="54"/>
  <c r="DX47" i="54"/>
  <c r="DX48" i="54"/>
  <c r="DX49" i="54"/>
  <c r="DX50" i="54"/>
  <c r="DX51" i="54"/>
  <c r="DX52" i="54"/>
  <c r="DX53" i="54"/>
  <c r="DX54" i="54"/>
  <c r="DX55" i="54"/>
  <c r="DX56" i="54"/>
  <c r="DX57" i="54"/>
  <c r="DX58" i="54"/>
  <c r="DX59" i="54"/>
  <c r="DX60" i="54"/>
  <c r="DX61" i="54"/>
  <c r="DX62" i="54"/>
  <c r="DX63" i="54"/>
  <c r="DX64" i="54"/>
  <c r="DX68" i="54"/>
  <c r="DW30" i="54"/>
  <c r="DW31" i="54"/>
  <c r="DW32" i="54"/>
  <c r="DW33" i="54"/>
  <c r="DW34" i="54"/>
  <c r="DW35" i="54"/>
  <c r="DW36" i="54"/>
  <c r="DW37" i="54"/>
  <c r="DW38" i="54"/>
  <c r="DW39" i="54"/>
  <c r="DW40" i="54"/>
  <c r="DW41" i="54"/>
  <c r="DW42" i="54"/>
  <c r="DW43" i="54"/>
  <c r="DW44" i="54"/>
  <c r="DW45" i="54"/>
  <c r="DW46" i="54"/>
  <c r="DW47" i="54"/>
  <c r="DW48" i="54"/>
  <c r="DW49" i="54"/>
  <c r="DW50" i="54"/>
  <c r="DW51" i="54"/>
  <c r="DW52" i="54"/>
  <c r="DW53" i="54"/>
  <c r="DW54" i="54"/>
  <c r="DW55" i="54"/>
  <c r="DW56" i="54"/>
  <c r="DW57" i="54"/>
  <c r="DW58" i="54"/>
  <c r="DW59" i="54"/>
  <c r="DW60" i="54"/>
  <c r="DW61" i="54"/>
  <c r="DW62" i="54"/>
  <c r="DW63" i="54"/>
  <c r="DW64" i="54"/>
  <c r="DW68" i="54"/>
  <c r="DV30" i="54"/>
  <c r="DV31" i="54"/>
  <c r="DV32" i="54"/>
  <c r="DV33" i="54"/>
  <c r="DV34" i="54"/>
  <c r="DV35" i="54"/>
  <c r="DV36" i="54"/>
  <c r="DV37" i="54"/>
  <c r="DV38" i="54"/>
  <c r="DV39" i="54"/>
  <c r="DV40" i="54"/>
  <c r="DV41" i="54"/>
  <c r="DV42" i="54"/>
  <c r="DV43" i="54"/>
  <c r="DV44" i="54"/>
  <c r="DV45" i="54"/>
  <c r="DV46" i="54"/>
  <c r="DV47" i="54"/>
  <c r="DV48" i="54"/>
  <c r="DV49" i="54"/>
  <c r="DV50" i="54"/>
  <c r="DV51" i="54"/>
  <c r="DV52" i="54"/>
  <c r="DV53" i="54"/>
  <c r="DV54" i="54"/>
  <c r="DV55" i="54"/>
  <c r="DV56" i="54"/>
  <c r="DV57" i="54"/>
  <c r="DV58" i="54"/>
  <c r="DV59" i="54"/>
  <c r="DV60" i="54"/>
  <c r="DV61" i="54"/>
  <c r="DV62" i="54"/>
  <c r="DV63" i="54"/>
  <c r="DV64" i="54"/>
  <c r="DV68" i="54"/>
  <c r="AK8" i="34"/>
  <c r="AK9" i="34"/>
  <c r="AK10" i="34"/>
  <c r="AK11" i="34"/>
  <c r="AK12" i="34"/>
  <c r="AK13" i="34"/>
  <c r="BP13" i="34"/>
  <c r="AU30" i="54"/>
  <c r="BK30" i="54"/>
  <c r="AK20" i="34"/>
  <c r="AK21" i="34"/>
  <c r="AK22" i="34"/>
  <c r="AK23" i="34"/>
  <c r="AK24" i="34"/>
  <c r="AK25" i="34"/>
  <c r="BP25" i="34"/>
  <c r="AU31" i="54"/>
  <c r="BK31" i="54"/>
  <c r="AK33" i="34"/>
  <c r="AK34" i="34"/>
  <c r="AK40" i="34"/>
  <c r="AK46" i="34"/>
  <c r="AK52" i="34"/>
  <c r="AK58" i="34"/>
  <c r="BP37" i="34"/>
  <c r="AU32" i="54"/>
  <c r="BK32" i="54"/>
  <c r="BK27" i="54"/>
  <c r="D33" i="54"/>
  <c r="AU33" i="54"/>
  <c r="BK33" i="54" a="1"/>
  <c r="BK33" i="54"/>
  <c r="D34" i="54"/>
  <c r="AU34" i="54"/>
  <c r="BK34" i="54" a="1"/>
  <c r="D35" i="54"/>
  <c r="AU35" i="54"/>
  <c r="BK35" i="54" a="1"/>
  <c r="D36" i="54"/>
  <c r="AU36" i="54"/>
  <c r="BK36" i="54" a="1"/>
  <c r="D37" i="54"/>
  <c r="AU37" i="54"/>
  <c r="BK37" i="54" a="1"/>
  <c r="D38" i="54"/>
  <c r="AU38" i="54"/>
  <c r="BK38" i="54" a="1"/>
  <c r="D39" i="54"/>
  <c r="AU39" i="54"/>
  <c r="BK39" i="54" a="1"/>
  <c r="D40" i="54"/>
  <c r="AU40" i="54"/>
  <c r="BK40" i="54" a="1"/>
  <c r="D41" i="54"/>
  <c r="AU41" i="54"/>
  <c r="BK41" i="54" a="1"/>
  <c r="AU42" i="54"/>
  <c r="BK42" i="54" a="1"/>
  <c r="AU43" i="54"/>
  <c r="BK43" i="54" a="1"/>
  <c r="AU44" i="54"/>
  <c r="BK44" i="54" a="1"/>
  <c r="AU45" i="54"/>
  <c r="BK45" i="54" a="1"/>
  <c r="AU46" i="54"/>
  <c r="BK46" i="54" a="1"/>
  <c r="AU47" i="54"/>
  <c r="BK47" i="54" a="1"/>
  <c r="AU48" i="54"/>
  <c r="BK48" i="54" a="1"/>
  <c r="D49" i="54"/>
  <c r="AU49" i="54"/>
  <c r="BK49" i="54" a="1"/>
  <c r="D50" i="54"/>
  <c r="AU50" i="54"/>
  <c r="BK50" i="54" a="1"/>
  <c r="D51" i="54"/>
  <c r="AU51" i="54"/>
  <c r="BK51" i="54" a="1"/>
  <c r="D52" i="54"/>
  <c r="AU52" i="54"/>
  <c r="BK52" i="54" a="1"/>
  <c r="D53" i="54"/>
  <c r="AU53" i="54"/>
  <c r="BK53" i="54" a="1"/>
  <c r="D54" i="54"/>
  <c r="AU54" i="54"/>
  <c r="BK54" i="54" a="1"/>
  <c r="D55" i="54"/>
  <c r="AU55" i="54"/>
  <c r="BK55" i="54" a="1"/>
  <c r="D56" i="54"/>
  <c r="AU56" i="54"/>
  <c r="BK56" i="54" a="1"/>
  <c r="D57" i="54"/>
  <c r="AU57" i="54"/>
  <c r="BK57" i="54" a="1"/>
  <c r="D58" i="54"/>
  <c r="AU58" i="54"/>
  <c r="BK58" i="54" a="1"/>
  <c r="AU59" i="54"/>
  <c r="BK59" i="54" a="1"/>
  <c r="AU60" i="54"/>
  <c r="BK60" i="54" a="1"/>
  <c r="D61" i="54"/>
  <c r="AU61" i="54"/>
  <c r="BK61" i="54" a="1"/>
  <c r="D62" i="54"/>
  <c r="AU62" i="54"/>
  <c r="BK62" i="54" a="1"/>
  <c r="D63" i="54"/>
  <c r="AU63" i="54"/>
  <c r="BK63" i="54" a="1"/>
  <c r="AU64" i="54"/>
  <c r="BK64" i="54" a="1"/>
  <c r="BK34" i="54"/>
  <c r="BK35" i="54"/>
  <c r="BK36" i="54"/>
  <c r="BK37" i="54"/>
  <c r="BK38" i="54"/>
  <c r="BK39" i="54"/>
  <c r="BK40" i="54"/>
  <c r="BK41" i="54"/>
  <c r="BK42" i="54"/>
  <c r="BK43" i="54"/>
  <c r="BK44" i="54"/>
  <c r="BK45" i="54"/>
  <c r="BK46" i="54"/>
  <c r="BK47" i="54"/>
  <c r="BK48" i="54"/>
  <c r="BK49" i="54"/>
  <c r="BK50" i="54"/>
  <c r="BK51" i="54"/>
  <c r="BK52" i="54"/>
  <c r="BK53" i="54"/>
  <c r="BK54" i="54"/>
  <c r="BK55" i="54"/>
  <c r="BK56" i="54"/>
  <c r="BK57" i="54"/>
  <c r="BK58" i="54"/>
  <c r="BK59" i="54"/>
  <c r="BK60" i="54"/>
  <c r="BK61" i="54"/>
  <c r="BK62" i="54"/>
  <c r="BK63" i="54"/>
  <c r="BK64" i="54"/>
  <c r="D66" i="54"/>
  <c r="F66" i="12"/>
  <c r="AQ66" i="12"/>
  <c r="AX12" i="12"/>
  <c r="AY12" i="12"/>
  <c r="F66" i="54"/>
  <c r="E66" i="54"/>
  <c r="AP66" i="54"/>
  <c r="AQ66" i="54"/>
  <c r="AM66" i="54"/>
  <c r="AO66" i="54"/>
  <c r="AR66" i="54"/>
  <c r="AT66" i="54"/>
  <c r="AU66" i="54"/>
  <c r="BK66" i="54" a="1"/>
  <c r="BK66" i="54"/>
  <c r="BK68" i="54"/>
  <c r="BO13" i="34"/>
  <c r="BJ30" i="54"/>
  <c r="BO25" i="34"/>
  <c r="BJ31" i="54"/>
  <c r="BO37" i="34"/>
  <c r="BJ32" i="54"/>
  <c r="BJ27" i="54"/>
  <c r="BJ33" i="54" a="1"/>
  <c r="BJ33" i="54"/>
  <c r="BJ34" i="54" a="1"/>
  <c r="BJ35" i="54" a="1"/>
  <c r="BJ36" i="54" a="1"/>
  <c r="BJ37" i="54" a="1"/>
  <c r="BJ38" i="54" a="1"/>
  <c r="BJ39" i="54" a="1"/>
  <c r="BJ40" i="54" a="1"/>
  <c r="BJ41" i="54" a="1"/>
  <c r="BJ42" i="54" a="1"/>
  <c r="BJ43" i="54" a="1"/>
  <c r="BJ44" i="54" a="1"/>
  <c r="BJ45" i="54" a="1"/>
  <c r="BJ46" i="54" a="1"/>
  <c r="BJ47" i="54" a="1"/>
  <c r="BJ48" i="54" a="1"/>
  <c r="BJ49" i="54" a="1"/>
  <c r="BJ50" i="54" a="1"/>
  <c r="BJ51" i="54" a="1"/>
  <c r="BJ52" i="54" a="1"/>
  <c r="BJ53" i="54" a="1"/>
  <c r="BJ54" i="54" a="1"/>
  <c r="BJ55" i="54" a="1"/>
  <c r="BJ56" i="54" a="1"/>
  <c r="BJ57" i="54" a="1"/>
  <c r="BJ58" i="54" a="1"/>
  <c r="BJ59" i="54" a="1"/>
  <c r="BJ60" i="54" a="1"/>
  <c r="BJ61" i="54" a="1"/>
  <c r="BJ62" i="54" a="1"/>
  <c r="BJ63" i="54" a="1"/>
  <c r="BJ64" i="54" a="1"/>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6" i="54" a="1"/>
  <c r="BJ66" i="54"/>
  <c r="BJ68" i="54"/>
  <c r="BN13" i="34"/>
  <c r="BI30" i="54"/>
  <c r="BN25" i="34"/>
  <c r="BI31" i="54"/>
  <c r="BN37" i="34"/>
  <c r="BI32" i="54"/>
  <c r="BI27" i="54"/>
  <c r="BI33" i="54" a="1"/>
  <c r="BI33" i="54"/>
  <c r="BI34" i="54" a="1"/>
  <c r="BI35" i="54" a="1"/>
  <c r="BI36" i="54" a="1"/>
  <c r="BI37" i="54" a="1"/>
  <c r="BI38" i="54" a="1"/>
  <c r="BI39" i="54" a="1"/>
  <c r="BI40" i="54" a="1"/>
  <c r="BI41" i="54" a="1"/>
  <c r="BI42" i="54" a="1"/>
  <c r="BI43" i="54" a="1"/>
  <c r="BI44" i="54" a="1"/>
  <c r="BI45" i="54" a="1"/>
  <c r="BI46" i="54" a="1"/>
  <c r="BI47" i="54" a="1"/>
  <c r="BI48" i="54" a="1"/>
  <c r="BI49" i="54" a="1"/>
  <c r="BI50" i="54" a="1"/>
  <c r="BI51" i="54" a="1"/>
  <c r="BI52" i="54" a="1"/>
  <c r="BI53" i="54" a="1"/>
  <c r="BI54" i="54" a="1"/>
  <c r="BI55" i="54" a="1"/>
  <c r="BI56" i="54" a="1"/>
  <c r="BI57" i="54" a="1"/>
  <c r="BI58" i="54" a="1"/>
  <c r="BI59" i="54" a="1"/>
  <c r="BI60" i="54" a="1"/>
  <c r="BI61" i="54" a="1"/>
  <c r="BI62" i="54" a="1"/>
  <c r="BI63" i="54" a="1"/>
  <c r="BI64" i="54" a="1"/>
  <c r="BI34" i="54"/>
  <c r="BI35" i="54"/>
  <c r="BI36" i="54"/>
  <c r="BI37" i="54"/>
  <c r="BI38" i="54"/>
  <c r="BI39" i="54"/>
  <c r="BI40" i="54"/>
  <c r="BI41" i="54"/>
  <c r="BI42" i="54"/>
  <c r="BI43" i="54"/>
  <c r="BI44" i="54"/>
  <c r="BI45" i="54"/>
  <c r="BI46" i="54"/>
  <c r="BI47" i="54"/>
  <c r="BI48" i="54"/>
  <c r="BI49" i="54"/>
  <c r="BI50" i="54"/>
  <c r="BI51" i="54"/>
  <c r="BI52" i="54"/>
  <c r="BI53" i="54"/>
  <c r="BI54" i="54"/>
  <c r="BI55" i="54"/>
  <c r="BI56" i="54"/>
  <c r="BI57" i="54"/>
  <c r="BI58" i="54"/>
  <c r="BI59" i="54"/>
  <c r="BI60" i="54"/>
  <c r="BI61" i="54"/>
  <c r="BI62" i="54"/>
  <c r="BI63" i="54"/>
  <c r="BI64" i="54"/>
  <c r="BI66" i="54" a="1"/>
  <c r="BI66" i="54"/>
  <c r="BI68" i="54"/>
  <c r="BM13" i="34"/>
  <c r="BH30" i="54"/>
  <c r="BM25" i="34"/>
  <c r="BH31" i="54"/>
  <c r="BM37" i="34"/>
  <c r="BH32" i="54"/>
  <c r="BH27" i="54"/>
  <c r="BH33" i="54" a="1"/>
  <c r="BH33" i="54"/>
  <c r="BH34" i="54" a="1"/>
  <c r="BH35" i="54" a="1"/>
  <c r="BH36" i="54" a="1"/>
  <c r="BH37" i="54" a="1"/>
  <c r="BH38" i="54" a="1"/>
  <c r="BH39" i="54" a="1"/>
  <c r="BH40" i="54" a="1"/>
  <c r="BH41" i="54" a="1"/>
  <c r="BH42" i="54" a="1"/>
  <c r="BH43" i="54" a="1"/>
  <c r="BH44" i="54" a="1"/>
  <c r="BH45" i="54" a="1"/>
  <c r="BH46" i="54" a="1"/>
  <c r="BH47" i="54" a="1"/>
  <c r="BH48" i="54" a="1"/>
  <c r="BH49" i="54" a="1"/>
  <c r="BH50" i="54" a="1"/>
  <c r="BH51" i="54" a="1"/>
  <c r="BH52" i="54" a="1"/>
  <c r="BH53" i="54" a="1"/>
  <c r="BH54" i="54" a="1"/>
  <c r="BH55" i="54" a="1"/>
  <c r="BH56" i="54" a="1"/>
  <c r="BH57" i="54" a="1"/>
  <c r="BH58" i="54" a="1"/>
  <c r="BH59" i="54" a="1"/>
  <c r="BH60" i="54" a="1"/>
  <c r="BH61" i="54" a="1"/>
  <c r="BH62" i="54" a="1"/>
  <c r="BH63" i="54" a="1"/>
  <c r="BH64" i="54" a="1"/>
  <c r="BH34" i="54"/>
  <c r="BH35" i="54"/>
  <c r="BH36" i="54"/>
  <c r="BH37" i="54"/>
  <c r="BH38" i="54"/>
  <c r="BH39" i="54"/>
  <c r="BH40" i="54"/>
  <c r="BH41" i="54"/>
  <c r="BH42" i="54"/>
  <c r="BH43" i="54"/>
  <c r="BH44" i="54"/>
  <c r="BH45" i="54"/>
  <c r="BH46" i="54"/>
  <c r="BH47" i="54"/>
  <c r="BH48" i="54"/>
  <c r="BH49" i="54"/>
  <c r="BH50" i="54"/>
  <c r="BH51" i="54"/>
  <c r="BH52" i="54"/>
  <c r="BH53" i="54"/>
  <c r="BH54" i="54"/>
  <c r="BH55" i="54"/>
  <c r="BH56" i="54"/>
  <c r="BH57" i="54"/>
  <c r="BH58" i="54"/>
  <c r="BH59" i="54"/>
  <c r="BH60" i="54"/>
  <c r="BH61" i="54"/>
  <c r="BH62" i="54"/>
  <c r="BH63" i="54"/>
  <c r="BH64" i="54"/>
  <c r="BH66" i="54" a="1"/>
  <c r="BH66" i="54"/>
  <c r="BH68" i="54"/>
  <c r="BL13" i="34"/>
  <c r="BG30" i="54"/>
  <c r="BL25" i="34"/>
  <c r="BG31" i="54"/>
  <c r="BL37" i="34"/>
  <c r="BG32" i="54"/>
  <c r="BG27" i="54"/>
  <c r="BG33" i="54" a="1"/>
  <c r="BG33" i="54"/>
  <c r="BG34" i="54" a="1"/>
  <c r="BG35" i="54" a="1"/>
  <c r="BG36" i="54" a="1"/>
  <c r="BG37" i="54" a="1"/>
  <c r="BG38" i="54" a="1"/>
  <c r="BG39" i="54" a="1"/>
  <c r="BG40" i="54" a="1"/>
  <c r="BG41" i="54" a="1"/>
  <c r="BG42" i="54" a="1"/>
  <c r="BG43" i="54" a="1"/>
  <c r="BG44" i="54" a="1"/>
  <c r="BG45" i="54" a="1"/>
  <c r="BG46" i="54" a="1"/>
  <c r="BG47" i="54" a="1"/>
  <c r="BG48" i="54" a="1"/>
  <c r="BG49" i="54" a="1"/>
  <c r="BG50" i="54" a="1"/>
  <c r="BG51" i="54" a="1"/>
  <c r="BG52" i="54" a="1"/>
  <c r="BG53" i="54" a="1"/>
  <c r="BG54" i="54" a="1"/>
  <c r="BG55" i="54" a="1"/>
  <c r="BG56" i="54" a="1"/>
  <c r="BG57" i="54" a="1"/>
  <c r="BG58" i="54" a="1"/>
  <c r="BG59" i="54" a="1"/>
  <c r="BG60" i="54" a="1"/>
  <c r="BG61" i="54" a="1"/>
  <c r="BG62" i="54" a="1"/>
  <c r="BG63" i="54" a="1"/>
  <c r="BG64" i="54" a="1"/>
  <c r="BG34" i="54"/>
  <c r="BG35" i="54"/>
  <c r="BG36" i="54"/>
  <c r="BG37" i="54"/>
  <c r="BG38" i="54"/>
  <c r="BG39" i="54"/>
  <c r="BG40" i="54"/>
  <c r="BG41" i="54"/>
  <c r="BG42" i="54"/>
  <c r="BG43" i="54"/>
  <c r="BG44" i="54"/>
  <c r="BG45" i="54"/>
  <c r="BG46" i="54"/>
  <c r="BG47" i="54"/>
  <c r="BG48" i="54"/>
  <c r="BG49" i="54"/>
  <c r="BG50" i="54"/>
  <c r="BG51" i="54"/>
  <c r="BG52" i="54"/>
  <c r="BG53" i="54"/>
  <c r="BG54" i="54"/>
  <c r="BG55" i="54"/>
  <c r="BG56" i="54"/>
  <c r="BG57" i="54"/>
  <c r="BG58" i="54"/>
  <c r="BG59" i="54"/>
  <c r="BG60" i="54"/>
  <c r="BG61" i="54"/>
  <c r="BG62" i="54"/>
  <c r="BG63" i="54"/>
  <c r="BG64" i="54"/>
  <c r="BG66" i="54" a="1"/>
  <c r="BG66" i="54"/>
  <c r="BG68" i="54"/>
  <c r="BK13" i="34"/>
  <c r="BF30" i="54"/>
  <c r="BK25" i="34"/>
  <c r="BF31" i="54"/>
  <c r="BK37" i="34"/>
  <c r="BF32" i="54"/>
  <c r="BF27" i="54"/>
  <c r="BF33" i="54" a="1"/>
  <c r="BF33" i="54"/>
  <c r="BF34" i="54" a="1"/>
  <c r="BF35" i="54" a="1"/>
  <c r="BF36" i="54" a="1"/>
  <c r="BF37" i="54" a="1"/>
  <c r="BF38" i="54" a="1"/>
  <c r="BF39" i="54" a="1"/>
  <c r="BF40" i="54" a="1"/>
  <c r="BF41" i="54" a="1"/>
  <c r="BF42" i="54" a="1"/>
  <c r="BF43" i="54" a="1"/>
  <c r="BF44" i="54" a="1"/>
  <c r="BF45" i="54" a="1"/>
  <c r="BF46" i="54" a="1"/>
  <c r="BF47" i="54" a="1"/>
  <c r="BF48" i="54" a="1"/>
  <c r="BF49" i="54" a="1"/>
  <c r="BF50" i="54" a="1"/>
  <c r="BF51" i="54" a="1"/>
  <c r="BF52" i="54" a="1"/>
  <c r="BF53" i="54" a="1"/>
  <c r="BF54" i="54" a="1"/>
  <c r="BF55" i="54" a="1"/>
  <c r="BF56" i="54" a="1"/>
  <c r="BF57" i="54" a="1"/>
  <c r="BF58" i="54" a="1"/>
  <c r="BF59" i="54" a="1"/>
  <c r="BF60" i="54" a="1"/>
  <c r="BF61" i="54" a="1"/>
  <c r="BF62" i="54" a="1"/>
  <c r="BF63" i="54" a="1"/>
  <c r="BF64" i="54" a="1"/>
  <c r="BF34" i="54"/>
  <c r="BF35" i="54"/>
  <c r="BF36" i="54"/>
  <c r="BF37" i="54"/>
  <c r="BF38" i="54"/>
  <c r="BF39" i="54"/>
  <c r="BF40" i="54"/>
  <c r="BF41" i="54"/>
  <c r="BF42" i="54"/>
  <c r="BF43" i="54"/>
  <c r="BF44" i="54"/>
  <c r="BF45" i="54"/>
  <c r="BF46" i="54"/>
  <c r="BF47" i="54"/>
  <c r="BF48" i="54"/>
  <c r="BF49" i="54"/>
  <c r="BF50" i="54"/>
  <c r="BF51" i="54"/>
  <c r="BF52" i="54"/>
  <c r="BF53" i="54"/>
  <c r="BF54" i="54"/>
  <c r="BF55" i="54"/>
  <c r="BF56" i="54"/>
  <c r="BF57" i="54"/>
  <c r="BF58" i="54"/>
  <c r="BF59" i="54"/>
  <c r="BF60" i="54"/>
  <c r="BF61" i="54"/>
  <c r="BF62" i="54"/>
  <c r="BF63" i="54"/>
  <c r="BF64" i="54"/>
  <c r="BF66" i="54" a="1"/>
  <c r="BF66" i="54"/>
  <c r="BF68" i="54"/>
  <c r="BJ13" i="34"/>
  <c r="BE30" i="54"/>
  <c r="BJ25" i="34"/>
  <c r="BE31" i="54"/>
  <c r="BJ37" i="34"/>
  <c r="BE32" i="54"/>
  <c r="BE27" i="54"/>
  <c r="BE33" i="54" a="1"/>
  <c r="BE33" i="54"/>
  <c r="BE34" i="54" a="1"/>
  <c r="BE35" i="54" a="1"/>
  <c r="BE36" i="54" a="1"/>
  <c r="BE37" i="54" a="1"/>
  <c r="BE38" i="54" a="1"/>
  <c r="BE39" i="54" a="1"/>
  <c r="BE40" i="54" a="1"/>
  <c r="BE41" i="54" a="1"/>
  <c r="BE42" i="54" a="1"/>
  <c r="BE43" i="54" a="1"/>
  <c r="BE44" i="54" a="1"/>
  <c r="BE45" i="54" a="1"/>
  <c r="BE46" i="54" a="1"/>
  <c r="BE47" i="54" a="1"/>
  <c r="BE48" i="54" a="1"/>
  <c r="BE49" i="54" a="1"/>
  <c r="BE50" i="54" a="1"/>
  <c r="BE51" i="54" a="1"/>
  <c r="BE52" i="54" a="1"/>
  <c r="BE53" i="54" a="1"/>
  <c r="BE54" i="54" a="1"/>
  <c r="BE55" i="54" a="1"/>
  <c r="BE56" i="54" a="1"/>
  <c r="BE57" i="54" a="1"/>
  <c r="BE58" i="54" a="1"/>
  <c r="BE59" i="54" a="1"/>
  <c r="BE60" i="54" a="1"/>
  <c r="BE61" i="54" a="1"/>
  <c r="BE62" i="54" a="1"/>
  <c r="BE63" i="54" a="1"/>
  <c r="BE64" i="54" a="1"/>
  <c r="BE34" i="54"/>
  <c r="BE35" i="54"/>
  <c r="BE36" i="54"/>
  <c r="BE37" i="54"/>
  <c r="BE38" i="54"/>
  <c r="BE39" i="54"/>
  <c r="BE40" i="54"/>
  <c r="BE41" i="54"/>
  <c r="BE42" i="54"/>
  <c r="BE43" i="54"/>
  <c r="BE44" i="54"/>
  <c r="BE45" i="54"/>
  <c r="BE46" i="54"/>
  <c r="BE47" i="54"/>
  <c r="BE48" i="54"/>
  <c r="BE49" i="54"/>
  <c r="BE50" i="54"/>
  <c r="BE51" i="54"/>
  <c r="BE52" i="54"/>
  <c r="BE53" i="54"/>
  <c r="BE54" i="54"/>
  <c r="BE55" i="54"/>
  <c r="BE56" i="54"/>
  <c r="BE57" i="54"/>
  <c r="BE58" i="54"/>
  <c r="BE59" i="54"/>
  <c r="BE60" i="54"/>
  <c r="BE61" i="54"/>
  <c r="BE62" i="54"/>
  <c r="BE63" i="54"/>
  <c r="BE64" i="54"/>
  <c r="BE66" i="54" a="1"/>
  <c r="BE66" i="54"/>
  <c r="BE68" i="54"/>
  <c r="BI13" i="34"/>
  <c r="BD30" i="54"/>
  <c r="BI25" i="34"/>
  <c r="BD31" i="54"/>
  <c r="BI37" i="34"/>
  <c r="BD32" i="54"/>
  <c r="BD27" i="54"/>
  <c r="BD33" i="54" a="1"/>
  <c r="BD33" i="54"/>
  <c r="BD34" i="54" a="1"/>
  <c r="BD35" i="54" a="1"/>
  <c r="BD36" i="54" a="1"/>
  <c r="BD37" i="54" a="1"/>
  <c r="BD38" i="54" a="1"/>
  <c r="BD39" i="54" a="1"/>
  <c r="BD40" i="54" a="1"/>
  <c r="BD41" i="54" a="1"/>
  <c r="BD42" i="54" a="1"/>
  <c r="BD43" i="54" a="1"/>
  <c r="BD44" i="54" a="1"/>
  <c r="BD45" i="54" a="1"/>
  <c r="BD46" i="54" a="1"/>
  <c r="BD47" i="54" a="1"/>
  <c r="BD48" i="54" a="1"/>
  <c r="BD49" i="54" a="1"/>
  <c r="BD50" i="54" a="1"/>
  <c r="BD51" i="54" a="1"/>
  <c r="BD52" i="54" a="1"/>
  <c r="BD53" i="54" a="1"/>
  <c r="BD54" i="54" a="1"/>
  <c r="BD55" i="54" a="1"/>
  <c r="BD56" i="54" a="1"/>
  <c r="BD57" i="54" a="1"/>
  <c r="BD58" i="54" a="1"/>
  <c r="BD59" i="54" a="1"/>
  <c r="BD60" i="54" a="1"/>
  <c r="BD61" i="54" a="1"/>
  <c r="BD62" i="54" a="1"/>
  <c r="BD63" i="54" a="1"/>
  <c r="BD64" i="54" a="1"/>
  <c r="BD34" i="54"/>
  <c r="BD35" i="54"/>
  <c r="BD36" i="54"/>
  <c r="BD37" i="54"/>
  <c r="BD38" i="54"/>
  <c r="BD39" i="54"/>
  <c r="BD40" i="54"/>
  <c r="BD41" i="54"/>
  <c r="BD42" i="54"/>
  <c r="BD43" i="54"/>
  <c r="BD44" i="54"/>
  <c r="BD45" i="54"/>
  <c r="BD46" i="54"/>
  <c r="BD47" i="54"/>
  <c r="BD48" i="54"/>
  <c r="BD49" i="54"/>
  <c r="BD50" i="54"/>
  <c r="BD51" i="54"/>
  <c r="BD52" i="54"/>
  <c r="BD53" i="54"/>
  <c r="BD54" i="54"/>
  <c r="BD55" i="54"/>
  <c r="BD56" i="54"/>
  <c r="BD57" i="54"/>
  <c r="BD58" i="54"/>
  <c r="BD59" i="54"/>
  <c r="BD60" i="54"/>
  <c r="BD61" i="54"/>
  <c r="BD62" i="54"/>
  <c r="BD63" i="54"/>
  <c r="BD64" i="54"/>
  <c r="BD66" i="54" a="1"/>
  <c r="BD66" i="54"/>
  <c r="BD68" i="54"/>
  <c r="BH13" i="34"/>
  <c r="BC30" i="54"/>
  <c r="BH25" i="34"/>
  <c r="BC31" i="54"/>
  <c r="BH37" i="34"/>
  <c r="BC32" i="54"/>
  <c r="BC27" i="54"/>
  <c r="BC33" i="54" a="1"/>
  <c r="BC33" i="54"/>
  <c r="BC34" i="54" a="1"/>
  <c r="BC35" i="54" a="1"/>
  <c r="BC36" i="54" a="1"/>
  <c r="BC37" i="54" a="1"/>
  <c r="BC38" i="54" a="1"/>
  <c r="BC39" i="54" a="1"/>
  <c r="BC40" i="54" a="1"/>
  <c r="BC41" i="54" a="1"/>
  <c r="BC42" i="54" a="1"/>
  <c r="BC43" i="54" a="1"/>
  <c r="BC44" i="54" a="1"/>
  <c r="BC45" i="54" a="1"/>
  <c r="BC46" i="54" a="1"/>
  <c r="BC47" i="54" a="1"/>
  <c r="BC48" i="54" a="1"/>
  <c r="BC49" i="54" a="1"/>
  <c r="BC50" i="54" a="1"/>
  <c r="BC51" i="54" a="1"/>
  <c r="BC52" i="54" a="1"/>
  <c r="BC53" i="54" a="1"/>
  <c r="BC54" i="54" a="1"/>
  <c r="BC55" i="54" a="1"/>
  <c r="BC56" i="54" a="1"/>
  <c r="BC57" i="54" a="1"/>
  <c r="BC58" i="54" a="1"/>
  <c r="BC59" i="54" a="1"/>
  <c r="BC60" i="54" a="1"/>
  <c r="BC61" i="54" a="1"/>
  <c r="BC62" i="54" a="1"/>
  <c r="BC63" i="54" a="1"/>
  <c r="BC64" i="54" a="1"/>
  <c r="BC34" i="54"/>
  <c r="BC35" i="54"/>
  <c r="BC36" i="54"/>
  <c r="BC37" i="54"/>
  <c r="BC38" i="54"/>
  <c r="BC39" i="54"/>
  <c r="BC40" i="54"/>
  <c r="BC41" i="54"/>
  <c r="BC42" i="54"/>
  <c r="BC43" i="54"/>
  <c r="BC44" i="54"/>
  <c r="BC45" i="54"/>
  <c r="BC46" i="54"/>
  <c r="BC47" i="54"/>
  <c r="BC48" i="54"/>
  <c r="BC49" i="54"/>
  <c r="BC50" i="54"/>
  <c r="BC51" i="54"/>
  <c r="BC52" i="54"/>
  <c r="BC53" i="54"/>
  <c r="BC54" i="54"/>
  <c r="BC55" i="54"/>
  <c r="BC56" i="54"/>
  <c r="BC57" i="54"/>
  <c r="BC58" i="54"/>
  <c r="BC59" i="54"/>
  <c r="BC60" i="54"/>
  <c r="BC61" i="54"/>
  <c r="BC62" i="54"/>
  <c r="BC63" i="54"/>
  <c r="BC64" i="54"/>
  <c r="BC66" i="54" a="1"/>
  <c r="BC66" i="54"/>
  <c r="BC68" i="54"/>
  <c r="BG13" i="34"/>
  <c r="BB30" i="54"/>
  <c r="BG25" i="34"/>
  <c r="BB31" i="54"/>
  <c r="BG37" i="34"/>
  <c r="BB32" i="54"/>
  <c r="BB27" i="54"/>
  <c r="BB33" i="54" a="1"/>
  <c r="BB33" i="54"/>
  <c r="BB34" i="54" a="1"/>
  <c r="BB35" i="54" a="1"/>
  <c r="BB36" i="54" a="1"/>
  <c r="BB37" i="54" a="1"/>
  <c r="BB38" i="54" a="1"/>
  <c r="BB39" i="54" a="1"/>
  <c r="BB40" i="54" a="1"/>
  <c r="BB41" i="54" a="1"/>
  <c r="BB42" i="54" a="1"/>
  <c r="BB43" i="54" a="1"/>
  <c r="BB44" i="54" a="1"/>
  <c r="BB45" i="54" a="1"/>
  <c r="BB46" i="54" a="1"/>
  <c r="BB47" i="54" a="1"/>
  <c r="BB48" i="54" a="1"/>
  <c r="BB49" i="54" a="1"/>
  <c r="BB50" i="54" a="1"/>
  <c r="BB51" i="54" a="1"/>
  <c r="BB52" i="54" a="1"/>
  <c r="BB53" i="54" a="1"/>
  <c r="BB54" i="54" a="1"/>
  <c r="BB55" i="54" a="1"/>
  <c r="BB56" i="54" a="1"/>
  <c r="BB57" i="54" a="1"/>
  <c r="BB58" i="54" a="1"/>
  <c r="BB59" i="54" a="1"/>
  <c r="BB60" i="54" a="1"/>
  <c r="BB61" i="54" a="1"/>
  <c r="BB62" i="54" a="1"/>
  <c r="BB63" i="54" a="1"/>
  <c r="BB64" i="54" a="1"/>
  <c r="BB34" i="54"/>
  <c r="BB35" i="54"/>
  <c r="BB36" i="54"/>
  <c r="BB37" i="54"/>
  <c r="BB38" i="54"/>
  <c r="BB39" i="54"/>
  <c r="BB40" i="54"/>
  <c r="BB41" i="54"/>
  <c r="BB42" i="54"/>
  <c r="BB43" i="54"/>
  <c r="BB44" i="54"/>
  <c r="BB45" i="54"/>
  <c r="BB46" i="54"/>
  <c r="BB47" i="54"/>
  <c r="BB48" i="54"/>
  <c r="BB49" i="54"/>
  <c r="BB50" i="54"/>
  <c r="BB51" i="54"/>
  <c r="BB52" i="54"/>
  <c r="BB53" i="54"/>
  <c r="BB54" i="54"/>
  <c r="BB55" i="54"/>
  <c r="BB56" i="54"/>
  <c r="BB57" i="54"/>
  <c r="BB58" i="54"/>
  <c r="BB59" i="54"/>
  <c r="BB60" i="54"/>
  <c r="BB61" i="54"/>
  <c r="BB62" i="54"/>
  <c r="BB63" i="54"/>
  <c r="BB64" i="54"/>
  <c r="BB66" i="54" a="1"/>
  <c r="BB66" i="54"/>
  <c r="BB68" i="54"/>
  <c r="BF13" i="34"/>
  <c r="BA30" i="54"/>
  <c r="BF25" i="34"/>
  <c r="BA31" i="54"/>
  <c r="BF37" i="34"/>
  <c r="BA32" i="54"/>
  <c r="BA27" i="54"/>
  <c r="BA33" i="54" a="1"/>
  <c r="BA33" i="54"/>
  <c r="BA34" i="54" a="1"/>
  <c r="BA35" i="54" a="1"/>
  <c r="BA36" i="54" a="1"/>
  <c r="BA37" i="54" a="1"/>
  <c r="BA38" i="54" a="1"/>
  <c r="BA39" i="54" a="1"/>
  <c r="BA40" i="54" a="1"/>
  <c r="BA41" i="54" a="1"/>
  <c r="BA42" i="54" a="1"/>
  <c r="BA43" i="54" a="1"/>
  <c r="BA44" i="54" a="1"/>
  <c r="BA45" i="54" a="1"/>
  <c r="BA46" i="54" a="1"/>
  <c r="BA47" i="54" a="1"/>
  <c r="BA48" i="54" a="1"/>
  <c r="BA49" i="54" a="1"/>
  <c r="BA50" i="54" a="1"/>
  <c r="BA51" i="54" a="1"/>
  <c r="BA52" i="54" a="1"/>
  <c r="BA53" i="54" a="1"/>
  <c r="BA54" i="54" a="1"/>
  <c r="BA55" i="54" a="1"/>
  <c r="BA56" i="54" a="1"/>
  <c r="BA57" i="54" a="1"/>
  <c r="BA58" i="54" a="1"/>
  <c r="BA59" i="54" a="1"/>
  <c r="BA60" i="54" a="1"/>
  <c r="BA61" i="54" a="1"/>
  <c r="BA62" i="54" a="1"/>
  <c r="BA63" i="54" a="1"/>
  <c r="BA64" i="54" a="1"/>
  <c r="BA34" i="54"/>
  <c r="BA35" i="54"/>
  <c r="BA36" i="54"/>
  <c r="BA37" i="54"/>
  <c r="BA38" i="54"/>
  <c r="BA39" i="54"/>
  <c r="BA40" i="54"/>
  <c r="BA41" i="54"/>
  <c r="BA42" i="54"/>
  <c r="BA43" i="54"/>
  <c r="BA44" i="54"/>
  <c r="BA45" i="54"/>
  <c r="BA46" i="54"/>
  <c r="BA47" i="54"/>
  <c r="BA48" i="54"/>
  <c r="BA49" i="54"/>
  <c r="BA50" i="54"/>
  <c r="BA51" i="54"/>
  <c r="BA52" i="54"/>
  <c r="BA53" i="54"/>
  <c r="BA54" i="54"/>
  <c r="BA55" i="54"/>
  <c r="BA56" i="54"/>
  <c r="BA57" i="54"/>
  <c r="BA58" i="54"/>
  <c r="BA59" i="54"/>
  <c r="BA60" i="54"/>
  <c r="BA61" i="54"/>
  <c r="BA62" i="54"/>
  <c r="BA63" i="54"/>
  <c r="BA64" i="54"/>
  <c r="BA66" i="54" a="1"/>
  <c r="BA66" i="54"/>
  <c r="BA68" i="54"/>
  <c r="BE13" i="34"/>
  <c r="AZ30" i="54"/>
  <c r="BE25" i="34"/>
  <c r="AZ31" i="54"/>
  <c r="BE37" i="34"/>
  <c r="AZ32" i="54"/>
  <c r="AZ27" i="54"/>
  <c r="AZ33" i="54" a="1"/>
  <c r="AZ33" i="54"/>
  <c r="AZ34" i="54" a="1"/>
  <c r="AZ35" i="54" a="1"/>
  <c r="AZ36" i="54" a="1"/>
  <c r="AZ37" i="54" a="1"/>
  <c r="AZ38" i="54" a="1"/>
  <c r="AZ39" i="54" a="1"/>
  <c r="AZ40" i="54" a="1"/>
  <c r="AZ41" i="54" a="1"/>
  <c r="AZ42" i="54" a="1"/>
  <c r="AZ43" i="54" a="1"/>
  <c r="AZ44" i="54" a="1"/>
  <c r="AZ45" i="54" a="1"/>
  <c r="AZ46" i="54" a="1"/>
  <c r="AZ47" i="54" a="1"/>
  <c r="AZ48" i="54" a="1"/>
  <c r="AZ49" i="54" a="1"/>
  <c r="AZ50" i="54" a="1"/>
  <c r="AZ51" i="54" a="1"/>
  <c r="AZ52" i="54" a="1"/>
  <c r="AZ53" i="54" a="1"/>
  <c r="AZ54" i="54" a="1"/>
  <c r="AZ55" i="54" a="1"/>
  <c r="AZ56" i="54" a="1"/>
  <c r="AZ57" i="54" a="1"/>
  <c r="AZ58" i="54" a="1"/>
  <c r="AZ59" i="54" a="1"/>
  <c r="AZ60" i="54" a="1"/>
  <c r="AZ61" i="54" a="1"/>
  <c r="AZ62" i="54" a="1"/>
  <c r="AZ63" i="54" a="1"/>
  <c r="AZ64" i="54" a="1"/>
  <c r="AZ34" i="54"/>
  <c r="AZ35" i="54"/>
  <c r="AZ36" i="54"/>
  <c r="AZ37" i="54"/>
  <c r="AZ38" i="54"/>
  <c r="AZ39" i="54"/>
  <c r="AZ40" i="54"/>
  <c r="AZ41" i="54"/>
  <c r="AZ42" i="54"/>
  <c r="AZ43" i="54"/>
  <c r="AZ44" i="54"/>
  <c r="AZ45" i="54"/>
  <c r="AZ46" i="54"/>
  <c r="AZ47" i="54"/>
  <c r="AZ48" i="54"/>
  <c r="AZ49" i="54"/>
  <c r="AZ50" i="54"/>
  <c r="AZ51" i="54"/>
  <c r="AZ52" i="54"/>
  <c r="AZ53" i="54"/>
  <c r="AZ54" i="54"/>
  <c r="AZ55" i="54"/>
  <c r="AZ56" i="54"/>
  <c r="AZ57" i="54"/>
  <c r="AZ58" i="54"/>
  <c r="AZ59" i="54"/>
  <c r="AZ60" i="54"/>
  <c r="AZ61" i="54"/>
  <c r="AZ62" i="54"/>
  <c r="AZ63" i="54"/>
  <c r="AZ64" i="54"/>
  <c r="AZ66" i="54" a="1"/>
  <c r="AZ66" i="54"/>
  <c r="AZ68" i="54"/>
  <c r="BD13" i="34"/>
  <c r="AY30" i="54"/>
  <c r="BD25" i="34"/>
  <c r="AY31" i="54"/>
  <c r="BD37" i="34"/>
  <c r="AY32" i="54"/>
  <c r="AY27" i="54"/>
  <c r="AY33" i="54" a="1"/>
  <c r="AY33" i="54"/>
  <c r="AY34" i="54" a="1"/>
  <c r="AY35" i="54" a="1"/>
  <c r="AY36" i="54" a="1"/>
  <c r="AY37" i="54" a="1"/>
  <c r="AY38" i="54" a="1"/>
  <c r="AY39" i="54" a="1"/>
  <c r="AY40" i="54" a="1"/>
  <c r="AY41" i="54" a="1"/>
  <c r="AY42" i="54" a="1"/>
  <c r="AY43" i="54" a="1"/>
  <c r="AY44" i="54" a="1"/>
  <c r="AY45" i="54" a="1"/>
  <c r="AY46" i="54" a="1"/>
  <c r="AY47" i="54" a="1"/>
  <c r="AY48" i="54" a="1"/>
  <c r="AY49" i="54" a="1"/>
  <c r="AY50" i="54" a="1"/>
  <c r="AY51" i="54" a="1"/>
  <c r="AY52" i="54" a="1"/>
  <c r="AY53" i="54" a="1"/>
  <c r="AY54" i="54" a="1"/>
  <c r="AY55" i="54" a="1"/>
  <c r="AY56" i="54" a="1"/>
  <c r="AY57" i="54" a="1"/>
  <c r="AY58" i="54" a="1"/>
  <c r="AY59" i="54" a="1"/>
  <c r="AY60" i="54" a="1"/>
  <c r="AY61" i="54" a="1"/>
  <c r="AY62" i="54" a="1"/>
  <c r="AY63" i="54" a="1"/>
  <c r="AY64" i="54" a="1"/>
  <c r="AY34" i="54"/>
  <c r="AY35" i="54"/>
  <c r="AY36" i="54"/>
  <c r="AY37" i="54"/>
  <c r="AY38" i="54"/>
  <c r="AY39" i="54"/>
  <c r="AY40" i="54"/>
  <c r="AY41" i="54"/>
  <c r="AY42" i="54"/>
  <c r="AY43" i="54"/>
  <c r="AY44" i="54"/>
  <c r="AY45" i="54"/>
  <c r="AY46" i="54"/>
  <c r="AY47" i="54"/>
  <c r="AY48" i="54"/>
  <c r="AY49" i="54"/>
  <c r="AY50" i="54"/>
  <c r="AY51" i="54"/>
  <c r="AY52" i="54"/>
  <c r="AY53" i="54"/>
  <c r="AY54" i="54"/>
  <c r="AY55" i="54"/>
  <c r="AY56" i="54"/>
  <c r="AY57" i="54"/>
  <c r="AY58" i="54"/>
  <c r="AY59" i="54"/>
  <c r="AY60" i="54"/>
  <c r="AY61" i="54"/>
  <c r="AY62" i="54"/>
  <c r="AY63" i="54"/>
  <c r="AY64" i="54"/>
  <c r="AY66" i="54" a="1"/>
  <c r="AY66" i="54"/>
  <c r="AY68" i="54"/>
  <c r="BC13" i="34"/>
  <c r="AX30" i="54"/>
  <c r="BC25" i="34"/>
  <c r="AX31" i="54"/>
  <c r="BC37" i="34"/>
  <c r="AX32" i="54"/>
  <c r="AX27" i="54"/>
  <c r="AX33" i="54" a="1"/>
  <c r="AX33" i="54"/>
  <c r="AX34" i="54" a="1"/>
  <c r="AX35" i="54" a="1"/>
  <c r="AX36" i="54" a="1"/>
  <c r="AX37" i="54" a="1"/>
  <c r="AX38" i="54" a="1"/>
  <c r="AX39" i="54" a="1"/>
  <c r="AX40" i="54" a="1"/>
  <c r="AX41" i="54" a="1"/>
  <c r="AX42" i="54" a="1"/>
  <c r="AX43" i="54" a="1"/>
  <c r="AX44" i="54" a="1"/>
  <c r="AX45" i="54" a="1"/>
  <c r="AX46" i="54" a="1"/>
  <c r="AX47" i="54" a="1"/>
  <c r="AX48" i="54" a="1"/>
  <c r="AX49" i="54" a="1"/>
  <c r="AX50" i="54" a="1"/>
  <c r="AX51" i="54" a="1"/>
  <c r="AX52" i="54" a="1"/>
  <c r="AX53" i="54" a="1"/>
  <c r="AX54" i="54" a="1"/>
  <c r="AX55" i="54" a="1"/>
  <c r="AX56" i="54" a="1"/>
  <c r="AX57" i="54" a="1"/>
  <c r="AX58" i="54" a="1"/>
  <c r="AX59" i="54" a="1"/>
  <c r="AX60" i="54" a="1"/>
  <c r="AX61" i="54" a="1"/>
  <c r="AX62" i="54" a="1"/>
  <c r="AX63" i="54" a="1"/>
  <c r="AX64" i="54" a="1"/>
  <c r="AX34" i="54"/>
  <c r="AX35" i="54"/>
  <c r="AX36" i="54"/>
  <c r="AX37" i="54"/>
  <c r="AX38" i="54"/>
  <c r="AX39" i="54"/>
  <c r="AX40" i="54"/>
  <c r="AX41" i="54"/>
  <c r="AX42" i="54"/>
  <c r="AX43" i="54"/>
  <c r="AX44" i="54"/>
  <c r="AX45" i="54"/>
  <c r="AX46" i="54"/>
  <c r="AX47" i="54"/>
  <c r="AX48" i="54"/>
  <c r="AX49" i="54"/>
  <c r="AX50" i="54"/>
  <c r="AX51" i="54"/>
  <c r="AX52" i="54"/>
  <c r="AX53" i="54"/>
  <c r="AX54" i="54"/>
  <c r="AX55" i="54"/>
  <c r="AX56" i="54"/>
  <c r="AX57" i="54"/>
  <c r="AX58" i="54"/>
  <c r="AX59" i="54"/>
  <c r="AX60" i="54"/>
  <c r="AX61" i="54"/>
  <c r="AX62" i="54"/>
  <c r="AX63" i="54"/>
  <c r="AX64" i="54"/>
  <c r="AX66" i="54" a="1"/>
  <c r="AX66" i="54"/>
  <c r="AX68" i="54"/>
  <c r="AU65" i="54"/>
  <c r="AU68" i="54"/>
  <c r="AT68" i="54"/>
  <c r="H68" i="54"/>
  <c r="AO16" i="54"/>
  <c r="D67" i="54"/>
  <c r="E67" i="54"/>
  <c r="AP67" i="54"/>
  <c r="AQ67" i="54"/>
  <c r="AM67" i="54"/>
  <c r="AO67" i="54"/>
  <c r="AR67" i="54"/>
  <c r="AT67" i="54"/>
  <c r="AU67" i="54"/>
  <c r="BK67" i="54" a="1"/>
  <c r="BK67" i="54"/>
  <c r="BJ67" i="54" a="1"/>
  <c r="BJ67" i="54"/>
  <c r="BI67" i="54" a="1"/>
  <c r="BI67" i="54"/>
  <c r="BH67" i="54" a="1"/>
  <c r="BH67" i="54"/>
  <c r="BG67" i="54" a="1"/>
  <c r="BG67" i="54"/>
  <c r="BF67" i="54" a="1"/>
  <c r="BF67" i="54"/>
  <c r="BE67" i="54" a="1"/>
  <c r="BE67" i="54"/>
  <c r="BD67" i="54" a="1"/>
  <c r="BD67" i="54"/>
  <c r="BC67" i="54" a="1"/>
  <c r="BC67" i="54"/>
  <c r="BB67" i="54" a="1"/>
  <c r="BB67" i="54"/>
  <c r="BA67" i="54" a="1"/>
  <c r="BA67" i="54"/>
  <c r="AZ67" i="54" a="1"/>
  <c r="AZ67" i="54"/>
  <c r="AY67" i="54" a="1"/>
  <c r="AY67" i="54"/>
  <c r="AX67" i="54" a="1"/>
  <c r="AX67" i="54"/>
  <c r="AW67" i="54"/>
  <c r="AS67" i="54"/>
  <c r="X67" i="54"/>
  <c r="Y67" i="12"/>
  <c r="Y67" i="54"/>
  <c r="C67" i="54"/>
  <c r="B67" i="54"/>
  <c r="AW66" i="54"/>
  <c r="AV66" i="54"/>
  <c r="AS66" i="54"/>
  <c r="X66" i="54"/>
  <c r="Y66" i="12"/>
  <c r="Y66" i="54"/>
  <c r="H66" i="54"/>
  <c r="G66" i="54"/>
  <c r="C66" i="54"/>
  <c r="B66" i="54"/>
  <c r="BK65" i="54" a="1"/>
  <c r="BK65" i="54"/>
  <c r="BJ65" i="54" a="1"/>
  <c r="BJ65" i="54"/>
  <c r="BI65" i="54" a="1"/>
  <c r="BI65" i="54"/>
  <c r="BH65" i="54" a="1"/>
  <c r="BH65" i="54"/>
  <c r="BG65" i="54" a="1"/>
  <c r="BG65" i="54"/>
  <c r="BF65" i="54" a="1"/>
  <c r="BF65" i="54"/>
  <c r="BE65" i="54" a="1"/>
  <c r="BE65" i="54"/>
  <c r="BD65" i="54" a="1"/>
  <c r="BD65" i="54"/>
  <c r="BC65" i="54" a="1"/>
  <c r="BC65" i="54"/>
  <c r="BB65" i="54" a="1"/>
  <c r="BB65" i="54"/>
  <c r="BA65" i="54" a="1"/>
  <c r="BA65" i="54"/>
  <c r="AZ65" i="54" a="1"/>
  <c r="AZ65" i="54"/>
  <c r="AY65" i="54" a="1"/>
  <c r="AY65" i="54"/>
  <c r="AX65" i="54" a="1"/>
  <c r="AX65" i="54"/>
  <c r="AW65" i="54"/>
  <c r="AS65" i="54"/>
  <c r="X65" i="54"/>
  <c r="Y65" i="12"/>
  <c r="Y65" i="54"/>
  <c r="I65" i="54"/>
  <c r="H65" i="54"/>
  <c r="C65" i="54"/>
  <c r="B65" i="54"/>
  <c r="AW64" i="54"/>
  <c r="AS64" i="54"/>
  <c r="AG64" i="54"/>
  <c r="I64" i="54"/>
  <c r="H64" i="54"/>
  <c r="C64" i="54"/>
  <c r="B64" i="54"/>
  <c r="AM63" i="54"/>
  <c r="AW63" i="54"/>
  <c r="AS63" i="54"/>
  <c r="AO63" i="54"/>
  <c r="AG63" i="54"/>
  <c r="I63" i="54"/>
  <c r="H63" i="54"/>
  <c r="C63" i="54"/>
  <c r="B63" i="54"/>
  <c r="AM62" i="54"/>
  <c r="AW62" i="54"/>
  <c r="AS62" i="54"/>
  <c r="AO62" i="54"/>
  <c r="AG62" i="54"/>
  <c r="I62" i="54"/>
  <c r="H62" i="54"/>
  <c r="C62" i="54"/>
  <c r="B62" i="54"/>
  <c r="AM61" i="54"/>
  <c r="AW61" i="54"/>
  <c r="AS61" i="54"/>
  <c r="AO61" i="54"/>
  <c r="AG61" i="54"/>
  <c r="I61" i="54"/>
  <c r="H61" i="54"/>
  <c r="C61" i="54"/>
  <c r="B61" i="54"/>
  <c r="AW60" i="54"/>
  <c r="AS60" i="54"/>
  <c r="AG60" i="54"/>
  <c r="I60" i="54"/>
  <c r="H60" i="54"/>
  <c r="C60" i="54"/>
  <c r="B60" i="54"/>
  <c r="AW59" i="54"/>
  <c r="AS59" i="54"/>
  <c r="AG59" i="54"/>
  <c r="I59" i="54"/>
  <c r="H59" i="54"/>
  <c r="C59" i="54"/>
  <c r="B59" i="54"/>
  <c r="AM58" i="54"/>
  <c r="AW58" i="54"/>
  <c r="AS58" i="54"/>
  <c r="AO58" i="54"/>
  <c r="AG58" i="54"/>
  <c r="I58" i="54"/>
  <c r="H58" i="54"/>
  <c r="C58" i="54"/>
  <c r="B58" i="54"/>
  <c r="AM57" i="54"/>
  <c r="AW57" i="54"/>
  <c r="AS57" i="54"/>
  <c r="AO57" i="54"/>
  <c r="AG57" i="54"/>
  <c r="I57" i="54"/>
  <c r="H57" i="54"/>
  <c r="C57" i="54"/>
  <c r="B57" i="54"/>
  <c r="AM56" i="54"/>
  <c r="AW56" i="54"/>
  <c r="AS56" i="54"/>
  <c r="AO56" i="54"/>
  <c r="AG56" i="54"/>
  <c r="I56" i="54"/>
  <c r="H56" i="54"/>
  <c r="C56" i="54"/>
  <c r="B56" i="54"/>
  <c r="AM55" i="54"/>
  <c r="AW55" i="54"/>
  <c r="AS55" i="54"/>
  <c r="AO55" i="54"/>
  <c r="AG55" i="54"/>
  <c r="I55" i="54"/>
  <c r="H55" i="54"/>
  <c r="C55" i="54"/>
  <c r="B55" i="54"/>
  <c r="AM54" i="54"/>
  <c r="AW54" i="54"/>
  <c r="AS54" i="54"/>
  <c r="AO54" i="54"/>
  <c r="AG54" i="54"/>
  <c r="I54" i="54"/>
  <c r="H54" i="54"/>
  <c r="C54" i="54"/>
  <c r="B54" i="54"/>
  <c r="AM53" i="54"/>
  <c r="AW53" i="54"/>
  <c r="AS53" i="54"/>
  <c r="AO53" i="54"/>
  <c r="AG53" i="54"/>
  <c r="I53" i="54"/>
  <c r="H53" i="54"/>
  <c r="C53" i="54"/>
  <c r="B53" i="54"/>
  <c r="AM52" i="54"/>
  <c r="AW52" i="54"/>
  <c r="AS52" i="54"/>
  <c r="AO52" i="54"/>
  <c r="AG52" i="54"/>
  <c r="I52" i="54"/>
  <c r="H52" i="54"/>
  <c r="C52" i="54"/>
  <c r="B52" i="54"/>
  <c r="AM51" i="54"/>
  <c r="AW51" i="54"/>
  <c r="AS51" i="54"/>
  <c r="AO51" i="54"/>
  <c r="AG51" i="54"/>
  <c r="I51" i="54"/>
  <c r="H51" i="54"/>
  <c r="C51" i="54"/>
  <c r="B51" i="54"/>
  <c r="AM50" i="54"/>
  <c r="AW50" i="54"/>
  <c r="AS50" i="54"/>
  <c r="AO50" i="54"/>
  <c r="AG50" i="54"/>
  <c r="I50" i="54"/>
  <c r="H50" i="54"/>
  <c r="C50" i="54"/>
  <c r="B50" i="54"/>
  <c r="AM49" i="54"/>
  <c r="AW49" i="54"/>
  <c r="AS49" i="54"/>
  <c r="AO49" i="54"/>
  <c r="AG49" i="54"/>
  <c r="I49" i="54"/>
  <c r="H49" i="54"/>
  <c r="C49" i="54"/>
  <c r="B49" i="54"/>
  <c r="AW48" i="54"/>
  <c r="AS48" i="54"/>
  <c r="AG48" i="54"/>
  <c r="I48" i="54"/>
  <c r="H48" i="54"/>
  <c r="C48" i="54"/>
  <c r="B48" i="54"/>
  <c r="AW47" i="54"/>
  <c r="AS47" i="54"/>
  <c r="AG47" i="54"/>
  <c r="I47" i="54"/>
  <c r="H47" i="54"/>
  <c r="C47" i="54"/>
  <c r="B47" i="54"/>
  <c r="AW46" i="54"/>
  <c r="AS46" i="54"/>
  <c r="AG46" i="54"/>
  <c r="I46" i="54"/>
  <c r="H46" i="54"/>
  <c r="C46" i="54"/>
  <c r="B46" i="54"/>
  <c r="AW45" i="54"/>
  <c r="AS45" i="54"/>
  <c r="AG45" i="54"/>
  <c r="I45" i="54"/>
  <c r="H45" i="54"/>
  <c r="C45" i="54"/>
  <c r="B45" i="54"/>
  <c r="AW44" i="54"/>
  <c r="AS44" i="54"/>
  <c r="AG44" i="54"/>
  <c r="I44" i="54"/>
  <c r="H44" i="54"/>
  <c r="C44" i="54"/>
  <c r="B44" i="54"/>
  <c r="AW43" i="54"/>
  <c r="AS43" i="54"/>
  <c r="AG43" i="54"/>
  <c r="I43" i="54"/>
  <c r="H43" i="54"/>
  <c r="C43" i="54"/>
  <c r="B43" i="54"/>
  <c r="AW42" i="54"/>
  <c r="AS42" i="54"/>
  <c r="AG42" i="54"/>
  <c r="I42" i="54"/>
  <c r="H42" i="54"/>
  <c r="C42" i="54"/>
  <c r="B42" i="54"/>
  <c r="AM41" i="54"/>
  <c r="AW41" i="54"/>
  <c r="AS41" i="54"/>
  <c r="AO41" i="54"/>
  <c r="AG41" i="54"/>
  <c r="I41" i="54"/>
  <c r="H41" i="54"/>
  <c r="C41" i="54"/>
  <c r="B41" i="54"/>
  <c r="AM40" i="54"/>
  <c r="AW40" i="54"/>
  <c r="AS40" i="54"/>
  <c r="AO40" i="54"/>
  <c r="AG40" i="54"/>
  <c r="I40" i="54"/>
  <c r="H40" i="54"/>
  <c r="C40" i="54"/>
  <c r="B40" i="54"/>
  <c r="AM39" i="54"/>
  <c r="AW39" i="54"/>
  <c r="AS39" i="54"/>
  <c r="AO39" i="54"/>
  <c r="AG39" i="54"/>
  <c r="I39" i="54"/>
  <c r="H39" i="54"/>
  <c r="C39" i="54"/>
  <c r="B39" i="54"/>
  <c r="AM38" i="54"/>
  <c r="AW38" i="54"/>
  <c r="AS38" i="54"/>
  <c r="AO38" i="54"/>
  <c r="AG38" i="54"/>
  <c r="I38" i="54"/>
  <c r="H38" i="54"/>
  <c r="C38" i="54"/>
  <c r="B38" i="54"/>
  <c r="AM37" i="54"/>
  <c r="AW37" i="54"/>
  <c r="AS37" i="54"/>
  <c r="AO37" i="54"/>
  <c r="AG37" i="54"/>
  <c r="I37" i="54"/>
  <c r="H37" i="54"/>
  <c r="C37" i="54"/>
  <c r="B37" i="54"/>
  <c r="AM36" i="54"/>
  <c r="AW36" i="54"/>
  <c r="AS36" i="54"/>
  <c r="AO36" i="54"/>
  <c r="AG36" i="54"/>
  <c r="I36" i="54"/>
  <c r="H36" i="54"/>
  <c r="C36" i="54"/>
  <c r="B36" i="54"/>
  <c r="AM35" i="54"/>
  <c r="AW35" i="54"/>
  <c r="AS35" i="54"/>
  <c r="AO35" i="54"/>
  <c r="AG35" i="54"/>
  <c r="I35" i="54"/>
  <c r="H35" i="54"/>
  <c r="C35" i="54"/>
  <c r="B35" i="54"/>
  <c r="AM34" i="54"/>
  <c r="AW34" i="54"/>
  <c r="AS34" i="54"/>
  <c r="AO34" i="54"/>
  <c r="AG34" i="54"/>
  <c r="I34" i="54"/>
  <c r="H34" i="54"/>
  <c r="C34" i="54"/>
  <c r="B34" i="54"/>
  <c r="AM33" i="54"/>
  <c r="AW33" i="54"/>
  <c r="AS33" i="54"/>
  <c r="AO33" i="54"/>
  <c r="AG33" i="54"/>
  <c r="I33" i="54"/>
  <c r="H33" i="54"/>
  <c r="C33" i="54"/>
  <c r="B33" i="54"/>
  <c r="D32" i="54"/>
  <c r="AM32" i="54"/>
  <c r="AW32" i="54"/>
  <c r="AS32" i="54"/>
  <c r="AO32" i="54"/>
  <c r="AG32" i="54"/>
  <c r="I32" i="54"/>
  <c r="H32" i="54"/>
  <c r="C32" i="54"/>
  <c r="B32" i="54"/>
  <c r="D31" i="54"/>
  <c r="AM31" i="54"/>
  <c r="AW31" i="54"/>
  <c r="AS31" i="54"/>
  <c r="AO31" i="54"/>
  <c r="AG31" i="54"/>
  <c r="I31" i="54"/>
  <c r="H31" i="54"/>
  <c r="C31" i="54"/>
  <c r="B31" i="54"/>
  <c r="D30" i="54"/>
  <c r="AM30" i="54"/>
  <c r="AW30" i="54"/>
  <c r="AS30" i="54"/>
  <c r="AO30" i="54"/>
  <c r="AG30" i="54"/>
  <c r="I30" i="54"/>
  <c r="H30" i="54"/>
  <c r="C30" i="54"/>
  <c r="B30" i="54"/>
  <c r="EB28" i="54"/>
  <c r="DY28" i="54"/>
  <c r="DX28" i="54"/>
  <c r="DW28" i="54"/>
  <c r="DV28" i="54"/>
  <c r="DU28" i="54"/>
  <c r="DT28" i="54"/>
  <c r="DS28" i="54"/>
  <c r="DR28" i="54"/>
  <c r="DQ28" i="54"/>
  <c r="DP28" i="54"/>
  <c r="DO28" i="54"/>
  <c r="DN28" i="54"/>
  <c r="DK28" i="54"/>
  <c r="DJ28" i="54"/>
  <c r="DI28" i="54"/>
  <c r="DH28" i="54"/>
  <c r="DG28" i="54"/>
  <c r="DF28" i="54"/>
  <c r="DE28" i="54"/>
  <c r="DD28" i="54"/>
  <c r="DC28" i="54"/>
  <c r="DB28" i="54"/>
  <c r="DA28" i="54"/>
  <c r="CZ28" i="54"/>
  <c r="CW28" i="54"/>
  <c r="CV28" i="54"/>
  <c r="CU28" i="54"/>
  <c r="CT28" i="54"/>
  <c r="CS28" i="54"/>
  <c r="CR28" i="54"/>
  <c r="CQ28" i="54"/>
  <c r="CP28" i="54"/>
  <c r="CO28" i="54"/>
  <c r="CN28" i="54"/>
  <c r="CM28" i="54"/>
  <c r="CL28" i="54"/>
  <c r="CK28" i="54"/>
  <c r="CJ28" i="54"/>
  <c r="CI28" i="54"/>
  <c r="CH28" i="54"/>
  <c r="CG28" i="54"/>
  <c r="CF28" i="54"/>
  <c r="CE28" i="54"/>
  <c r="CD28" i="54"/>
  <c r="CC28" i="54"/>
  <c r="CB28" i="54"/>
  <c r="CA28" i="54"/>
  <c r="BZ28" i="54"/>
  <c r="BY28" i="54"/>
  <c r="BX28" i="54"/>
  <c r="BW28" i="54"/>
  <c r="BV28" i="54"/>
  <c r="BU28" i="54"/>
  <c r="BT28" i="54"/>
  <c r="BS28" i="54"/>
  <c r="BR28" i="54"/>
  <c r="BQ28" i="54"/>
  <c r="BP28" i="54"/>
  <c r="BO28" i="54"/>
  <c r="BN28" i="54"/>
  <c r="BM28" i="54"/>
  <c r="BK28" i="54"/>
  <c r="BJ28" i="54"/>
  <c r="BI28" i="54"/>
  <c r="BH28" i="54"/>
  <c r="BG28" i="54"/>
  <c r="BF28" i="54"/>
  <c r="BE28" i="54"/>
  <c r="BD28" i="54"/>
  <c r="BC28" i="54"/>
  <c r="BB28" i="54"/>
  <c r="BA28" i="54"/>
  <c r="AZ28" i="54"/>
  <c r="AY28" i="54"/>
  <c r="AX28" i="54"/>
  <c r="Z2" i="54"/>
  <c r="Y4" i="54"/>
  <c r="C28" i="54"/>
  <c r="EB27" i="54"/>
  <c r="DY27" i="54"/>
  <c r="DX27" i="54"/>
  <c r="DW27" i="54"/>
  <c r="DV27" i="54"/>
  <c r="DU27" i="54"/>
  <c r="DT27" i="54"/>
  <c r="DS27" i="54"/>
  <c r="DR27" i="54"/>
  <c r="DQ27" i="54"/>
  <c r="DP27" i="54"/>
  <c r="DO27" i="54"/>
  <c r="C23" i="54"/>
  <c r="C22" i="54"/>
  <c r="C21" i="54"/>
  <c r="C20" i="54"/>
  <c r="AQ18" i="54"/>
  <c r="D18" i="54"/>
  <c r="AM18" i="54"/>
  <c r="X18" i="54"/>
  <c r="Y18" i="54"/>
  <c r="W13" i="54"/>
  <c r="X13" i="54"/>
  <c r="AA24" i="12"/>
  <c r="AK24" i="1"/>
  <c r="B18" i="54"/>
  <c r="AK23" i="1"/>
  <c r="AY16" i="54"/>
  <c r="AX16" i="54"/>
  <c r="AN16" i="54"/>
  <c r="AM16" i="54"/>
  <c r="X16" i="54"/>
  <c r="AA23" i="12"/>
  <c r="AK22" i="1"/>
  <c r="B16" i="54"/>
  <c r="AY15" i="54"/>
  <c r="AX15" i="54"/>
  <c r="AA22" i="12"/>
  <c r="AK21" i="1"/>
  <c r="AY14" i="54"/>
  <c r="AX14" i="54"/>
  <c r="AK20" i="1"/>
  <c r="AX13" i="54"/>
  <c r="AW13" i="54"/>
  <c r="AK19" i="1"/>
  <c r="AZ12" i="54"/>
  <c r="AY12" i="54"/>
  <c r="AX12" i="54"/>
  <c r="AW12" i="54"/>
  <c r="W12" i="54"/>
  <c r="AA21" i="12"/>
  <c r="AK18" i="1"/>
  <c r="AY11" i="54"/>
  <c r="AX11" i="54"/>
  <c r="AW11" i="54"/>
  <c r="X11" i="54"/>
  <c r="W11" i="54"/>
  <c r="AK17" i="1"/>
  <c r="Y9" i="54"/>
  <c r="G11" i="54"/>
  <c r="AY10" i="54"/>
  <c r="AX10" i="54"/>
  <c r="AK16" i="1"/>
  <c r="AY9" i="54"/>
  <c r="AX9" i="54"/>
  <c r="AA20" i="12"/>
  <c r="AK15" i="1"/>
  <c r="C9" i="54"/>
  <c r="BY7" i="54"/>
  <c r="BY8" i="54"/>
  <c r="BX7" i="54"/>
  <c r="BX8" i="54"/>
  <c r="BW7" i="54"/>
  <c r="BW8" i="54"/>
  <c r="BV7" i="54"/>
  <c r="BV8" i="54"/>
  <c r="BU7" i="54"/>
  <c r="BU8" i="54"/>
  <c r="BT7" i="54"/>
  <c r="BT8" i="54"/>
  <c r="BS7" i="54"/>
  <c r="BS8" i="54"/>
  <c r="BR7" i="54"/>
  <c r="BR8" i="54"/>
  <c r="BQ7" i="54"/>
  <c r="BQ8" i="54"/>
  <c r="BP7" i="54"/>
  <c r="BP8" i="54"/>
  <c r="BO7" i="54"/>
  <c r="BO8" i="54"/>
  <c r="BN7" i="54"/>
  <c r="BN8" i="54"/>
  <c r="BM7" i="54"/>
  <c r="BM8" i="54"/>
  <c r="BL7" i="54"/>
  <c r="BL8" i="54"/>
  <c r="BK5" i="54"/>
  <c r="BK4" i="54"/>
  <c r="BK6" i="54"/>
  <c r="BK7" i="54"/>
  <c r="BK8" i="54"/>
  <c r="BJ5" i="54"/>
  <c r="BJ4" i="54"/>
  <c r="BJ6" i="54"/>
  <c r="BJ7" i="54"/>
  <c r="BJ8" i="54"/>
  <c r="BI5" i="54"/>
  <c r="BI4" i="54"/>
  <c r="BI6" i="54"/>
  <c r="BI7" i="54"/>
  <c r="BI8" i="54"/>
  <c r="BH5" i="54"/>
  <c r="BH4" i="54"/>
  <c r="BH6" i="54"/>
  <c r="BH7" i="54"/>
  <c r="BH8" i="54"/>
  <c r="BG5" i="54"/>
  <c r="BG4" i="54"/>
  <c r="BG6" i="54"/>
  <c r="BG7" i="54"/>
  <c r="BG8" i="54"/>
  <c r="BF5" i="54"/>
  <c r="BF4" i="54"/>
  <c r="BF6" i="54"/>
  <c r="BF7" i="54"/>
  <c r="BF8" i="54"/>
  <c r="BE5" i="54"/>
  <c r="BE4" i="54"/>
  <c r="BE6" i="54"/>
  <c r="BE7" i="54"/>
  <c r="BE8" i="54"/>
  <c r="BD5" i="54"/>
  <c r="BD4" i="54"/>
  <c r="BD6" i="54"/>
  <c r="BD7" i="54"/>
  <c r="BD8" i="54"/>
  <c r="BC5" i="54"/>
  <c r="BC4" i="54"/>
  <c r="BC6" i="54"/>
  <c r="BC7" i="54"/>
  <c r="BC8" i="54"/>
  <c r="BB5" i="54"/>
  <c r="BB4" i="54"/>
  <c r="BB6" i="54"/>
  <c r="BB7" i="54"/>
  <c r="BB8" i="54"/>
  <c r="BA5" i="54"/>
  <c r="BA4" i="54"/>
  <c r="BA6" i="54"/>
  <c r="BA7" i="54"/>
  <c r="BA8" i="54"/>
  <c r="AZ5" i="54"/>
  <c r="AZ4" i="54"/>
  <c r="AZ6" i="54"/>
  <c r="AZ7" i="54"/>
  <c r="AZ8" i="54"/>
  <c r="AY5" i="54"/>
  <c r="AY4" i="54"/>
  <c r="AY6" i="54"/>
  <c r="AY7" i="54"/>
  <c r="AY8" i="54"/>
  <c r="AX5" i="54"/>
  <c r="AX4" i="54"/>
  <c r="AX6" i="54"/>
  <c r="AX7" i="54"/>
  <c r="AX8" i="54"/>
  <c r="AK14" i="1"/>
  <c r="AK13" i="1"/>
  <c r="BY6" i="54"/>
  <c r="BX6" i="54"/>
  <c r="BW6" i="54"/>
  <c r="BV6" i="54"/>
  <c r="BU6" i="54"/>
  <c r="BT6" i="54"/>
  <c r="BS6" i="54"/>
  <c r="BR6" i="54"/>
  <c r="BQ6" i="54"/>
  <c r="BP6" i="54"/>
  <c r="BO6" i="54"/>
  <c r="BN6" i="54"/>
  <c r="BM6" i="54"/>
  <c r="BL6" i="54"/>
  <c r="AK12" i="1"/>
  <c r="C6" i="54"/>
  <c r="BY5" i="54"/>
  <c r="BX5" i="54"/>
  <c r="BW5" i="54"/>
  <c r="BV5" i="54"/>
  <c r="BU5" i="54"/>
  <c r="BT5" i="54"/>
  <c r="BS5" i="54"/>
  <c r="BR5" i="54"/>
  <c r="BQ5" i="54"/>
  <c r="BP5" i="54"/>
  <c r="BO5" i="54"/>
  <c r="BN5" i="54"/>
  <c r="BM5" i="54"/>
  <c r="BL5" i="54"/>
  <c r="AK11" i="1"/>
  <c r="B8" i="5"/>
  <c r="C8" i="5"/>
  <c r="BY4" i="54"/>
  <c r="BX4" i="54"/>
  <c r="BW4" i="54"/>
  <c r="BV4" i="54"/>
  <c r="BU4" i="54"/>
  <c r="BT4" i="54"/>
  <c r="BS4" i="54"/>
  <c r="BR4" i="54"/>
  <c r="BQ4" i="54"/>
  <c r="BP4" i="54"/>
  <c r="BO4" i="54"/>
  <c r="BN4" i="54"/>
  <c r="BM4" i="54"/>
  <c r="BL4" i="54"/>
  <c r="BY3" i="54"/>
  <c r="BX3" i="54"/>
  <c r="BV3" i="54"/>
  <c r="BU3" i="54"/>
  <c r="BT3" i="54"/>
  <c r="BS3" i="54"/>
  <c r="BR3" i="54"/>
  <c r="BQ3" i="54"/>
  <c r="BP3" i="54"/>
  <c r="BO3" i="54"/>
  <c r="BN3" i="54"/>
  <c r="BM3" i="54"/>
  <c r="BL3" i="54"/>
  <c r="BK3" i="54"/>
  <c r="BJ3" i="54"/>
  <c r="BI3" i="54"/>
  <c r="BH3" i="54"/>
  <c r="BG3" i="54"/>
  <c r="BF3" i="54"/>
  <c r="BE3" i="54"/>
  <c r="BD3" i="54"/>
  <c r="BC3" i="54"/>
  <c r="BB3" i="54"/>
  <c r="BA3" i="54"/>
  <c r="AZ3" i="54"/>
  <c r="AY3" i="54"/>
  <c r="AX3" i="54"/>
  <c r="Y3" i="54"/>
  <c r="AA25" i="12"/>
  <c r="C1" i="1"/>
  <c r="C2" i="54"/>
  <c r="E16" i="53"/>
  <c r="AO15" i="53"/>
  <c r="BZ94" i="53"/>
  <c r="E97" i="53"/>
  <c r="AD18" i="53"/>
  <c r="E18" i="53"/>
  <c r="AN18" i="53"/>
  <c r="AE18" i="53"/>
  <c r="F18" i="53"/>
  <c r="AO18" i="53"/>
  <c r="AS18" i="53"/>
  <c r="AP18" i="53"/>
  <c r="AR18" i="53"/>
  <c r="AU18" i="53"/>
  <c r="AT18" i="53"/>
  <c r="G97" i="53"/>
  <c r="AP97" i="53"/>
  <c r="H97" i="53"/>
  <c r="AQ97" i="53"/>
  <c r="AT29" i="53"/>
  <c r="AR97" i="53"/>
  <c r="AT97" i="53"/>
  <c r="X97" i="53"/>
  <c r="Y97" i="53"/>
  <c r="AA97" i="53"/>
  <c r="AE97" i="53"/>
  <c r="AG27" i="53"/>
  <c r="AF97" i="53"/>
  <c r="AH97" i="53"/>
  <c r="BZ97" i="53" a="1"/>
  <c r="BZ97" i="53"/>
  <c r="E98" i="53"/>
  <c r="G98" i="53"/>
  <c r="AP98" i="53"/>
  <c r="H98" i="53"/>
  <c r="AQ98" i="53"/>
  <c r="AR98" i="53"/>
  <c r="AT98" i="53"/>
  <c r="X98" i="53"/>
  <c r="Y98" i="53"/>
  <c r="AA98" i="53"/>
  <c r="AE98" i="53"/>
  <c r="AF98" i="53"/>
  <c r="AH98" i="53"/>
  <c r="BZ98" i="53" a="1"/>
  <c r="BZ98" i="53"/>
  <c r="E99" i="53"/>
  <c r="G99" i="53"/>
  <c r="AP99" i="53"/>
  <c r="H99" i="53"/>
  <c r="AQ99" i="53"/>
  <c r="AR99" i="53"/>
  <c r="AT99" i="53"/>
  <c r="X99" i="53"/>
  <c r="Y99" i="53"/>
  <c r="AA99" i="53"/>
  <c r="AE99" i="53"/>
  <c r="AF99" i="53"/>
  <c r="AH99" i="53"/>
  <c r="BZ99" i="53" a="1"/>
  <c r="E100" i="53"/>
  <c r="G100" i="53"/>
  <c r="AP100" i="53"/>
  <c r="H100" i="53"/>
  <c r="AQ100" i="53"/>
  <c r="AR100" i="53"/>
  <c r="AT100" i="53"/>
  <c r="X100" i="53"/>
  <c r="Y100" i="53"/>
  <c r="AA100" i="53"/>
  <c r="AE100" i="53"/>
  <c r="AF100" i="53"/>
  <c r="AH100" i="53"/>
  <c r="BZ100" i="53" a="1"/>
  <c r="E101" i="53"/>
  <c r="G101" i="53"/>
  <c r="AP101" i="53"/>
  <c r="H101" i="53"/>
  <c r="AQ101" i="53"/>
  <c r="AR101" i="53"/>
  <c r="AT101" i="53"/>
  <c r="X101" i="53"/>
  <c r="Y101" i="53"/>
  <c r="AA101" i="53"/>
  <c r="AE101" i="53"/>
  <c r="AF101" i="53"/>
  <c r="AH101" i="53"/>
  <c r="BZ101" i="53" a="1"/>
  <c r="E102" i="53"/>
  <c r="G102" i="53"/>
  <c r="AP102" i="53"/>
  <c r="H102" i="53"/>
  <c r="AQ102" i="53"/>
  <c r="AR102" i="53"/>
  <c r="AT102" i="53"/>
  <c r="X102" i="53"/>
  <c r="Y102" i="53"/>
  <c r="AA102" i="53"/>
  <c r="AE102" i="53"/>
  <c r="AF102" i="53"/>
  <c r="AH102" i="53"/>
  <c r="BZ102" i="53" a="1"/>
  <c r="BZ99" i="53"/>
  <c r="BZ100" i="53"/>
  <c r="BZ101" i="53"/>
  <c r="BZ102" i="53"/>
  <c r="BZ103" i="53"/>
  <c r="CN94" i="53"/>
  <c r="AB97" i="53"/>
  <c r="AI97" i="53"/>
  <c r="CN97" i="53" a="1"/>
  <c r="CN97" i="53"/>
  <c r="AB98" i="53"/>
  <c r="AI98" i="53"/>
  <c r="CN98" i="53" a="1"/>
  <c r="CN98" i="53"/>
  <c r="AB99" i="53"/>
  <c r="AI99" i="53"/>
  <c r="CN99" i="53" a="1"/>
  <c r="AB100" i="53"/>
  <c r="AI100" i="53"/>
  <c r="CN100" i="53" a="1"/>
  <c r="AB101" i="53"/>
  <c r="AI101" i="53"/>
  <c r="CN101" i="53" a="1"/>
  <c r="AB102" i="53"/>
  <c r="AI102" i="53"/>
  <c r="CN102" i="53" a="1"/>
  <c r="CN99" i="53"/>
  <c r="CN100" i="53"/>
  <c r="CN101" i="53"/>
  <c r="CN102" i="53"/>
  <c r="CN103" i="53"/>
  <c r="DB94" i="53"/>
  <c r="DB97" i="53" a="1"/>
  <c r="DB97" i="53"/>
  <c r="DB98" i="53" a="1"/>
  <c r="DB98" i="53"/>
  <c r="DB99" i="53" a="1"/>
  <c r="DB100" i="53" a="1"/>
  <c r="DB101" i="53" a="1"/>
  <c r="DB102" i="53" a="1"/>
  <c r="DB99" i="53"/>
  <c r="DB100" i="53"/>
  <c r="DB101" i="53"/>
  <c r="DB102" i="53"/>
  <c r="DB103" i="53"/>
  <c r="DP94" i="53"/>
  <c r="DP97" i="53" a="1"/>
  <c r="DP97" i="53"/>
  <c r="DP98" i="53" a="1"/>
  <c r="DP98" i="53"/>
  <c r="DP99" i="53" a="1"/>
  <c r="DP100" i="53" a="1"/>
  <c r="DP101" i="53" a="1"/>
  <c r="DP102" i="53" a="1"/>
  <c r="DP99" i="53"/>
  <c r="DP100" i="53"/>
  <c r="DP101" i="53"/>
  <c r="DP102" i="53"/>
  <c r="DP103" i="53"/>
  <c r="BZ108" i="53"/>
  <c r="BY94" i="53"/>
  <c r="BY97" i="53" a="1"/>
  <c r="BY97" i="53"/>
  <c r="BY98" i="53" a="1"/>
  <c r="BY98" i="53"/>
  <c r="BY99" i="53" a="1"/>
  <c r="BY100" i="53" a="1"/>
  <c r="BY101" i="53" a="1"/>
  <c r="BY102" i="53" a="1"/>
  <c r="BY99" i="53"/>
  <c r="BY100" i="53"/>
  <c r="BY101" i="53"/>
  <c r="BY102" i="53"/>
  <c r="BY103" i="53"/>
  <c r="CM94" i="53"/>
  <c r="CM97" i="53" a="1"/>
  <c r="CM97" i="53"/>
  <c r="CM98" i="53" a="1"/>
  <c r="CM98" i="53"/>
  <c r="CM99" i="53" a="1"/>
  <c r="CM100" i="53" a="1"/>
  <c r="CM101" i="53" a="1"/>
  <c r="CM102" i="53" a="1"/>
  <c r="CM99" i="53"/>
  <c r="CM100" i="53"/>
  <c r="CM101" i="53"/>
  <c r="CM102" i="53"/>
  <c r="CM103" i="53"/>
  <c r="DA94" i="53"/>
  <c r="DA97" i="53" a="1"/>
  <c r="DA97" i="53"/>
  <c r="DA98" i="53" a="1"/>
  <c r="DA98" i="53"/>
  <c r="DA99" i="53" a="1"/>
  <c r="DA100" i="53" a="1"/>
  <c r="DA101" i="53" a="1"/>
  <c r="DA102" i="53" a="1"/>
  <c r="DA99" i="53"/>
  <c r="DA100" i="53"/>
  <c r="DA101" i="53"/>
  <c r="DA102" i="53"/>
  <c r="DA103" i="53"/>
  <c r="DO94" i="53"/>
  <c r="DO97" i="53" a="1"/>
  <c r="DO97" i="53"/>
  <c r="DO98" i="53" a="1"/>
  <c r="DO98" i="53"/>
  <c r="DO99" i="53" a="1"/>
  <c r="DO100" i="53" a="1"/>
  <c r="DO101" i="53" a="1"/>
  <c r="DO102" i="53" a="1"/>
  <c r="DO99" i="53"/>
  <c r="DO100" i="53"/>
  <c r="DO101" i="53"/>
  <c r="DO102" i="53"/>
  <c r="DO103" i="53"/>
  <c r="BY108" i="53"/>
  <c r="BX94" i="53"/>
  <c r="BX97" i="53" a="1"/>
  <c r="BX97" i="53"/>
  <c r="BX98" i="53" a="1"/>
  <c r="BX98" i="53"/>
  <c r="BX99" i="53" a="1"/>
  <c r="BX100" i="53" a="1"/>
  <c r="BX101" i="53" a="1"/>
  <c r="BX102" i="53" a="1"/>
  <c r="BX99" i="53"/>
  <c r="BX100" i="53"/>
  <c r="BX101" i="53"/>
  <c r="BX102" i="53"/>
  <c r="BX103" i="53"/>
  <c r="CL94" i="53"/>
  <c r="CL97" i="53" a="1"/>
  <c r="CL97" i="53"/>
  <c r="CL98" i="53" a="1"/>
  <c r="CL98" i="53"/>
  <c r="CL99" i="53" a="1"/>
  <c r="CL100" i="53" a="1"/>
  <c r="CL101" i="53" a="1"/>
  <c r="CL102" i="53" a="1"/>
  <c r="CL99" i="53"/>
  <c r="CL100" i="53"/>
  <c r="CL101" i="53"/>
  <c r="CL102" i="53"/>
  <c r="CL103" i="53"/>
  <c r="CZ94" i="53"/>
  <c r="CZ97" i="53" a="1"/>
  <c r="CZ97" i="53"/>
  <c r="CZ98" i="53" a="1"/>
  <c r="CZ98" i="53"/>
  <c r="CZ99" i="53" a="1"/>
  <c r="CZ100" i="53" a="1"/>
  <c r="CZ101" i="53" a="1"/>
  <c r="CZ102" i="53" a="1"/>
  <c r="CZ99" i="53"/>
  <c r="CZ100" i="53"/>
  <c r="CZ101" i="53"/>
  <c r="CZ102" i="53"/>
  <c r="CZ103" i="53"/>
  <c r="DN94" i="53"/>
  <c r="DN97" i="53" a="1"/>
  <c r="DN97" i="53"/>
  <c r="DN98" i="53" a="1"/>
  <c r="DN98" i="53"/>
  <c r="DN99" i="53" a="1"/>
  <c r="DN100" i="53" a="1"/>
  <c r="DN101" i="53" a="1"/>
  <c r="DN102" i="53" a="1"/>
  <c r="DN99" i="53"/>
  <c r="DN100" i="53"/>
  <c r="DN101" i="53"/>
  <c r="DN102" i="53"/>
  <c r="DN103" i="53"/>
  <c r="BX108" i="53"/>
  <c r="BW94" i="53"/>
  <c r="BW97" i="53" a="1"/>
  <c r="BW97" i="53"/>
  <c r="BW98" i="53" a="1"/>
  <c r="BW98" i="53"/>
  <c r="BW99" i="53" a="1"/>
  <c r="BW100" i="53" a="1"/>
  <c r="BW101" i="53" a="1"/>
  <c r="BW102" i="53" a="1"/>
  <c r="BW99" i="53"/>
  <c r="BW100" i="53"/>
  <c r="BW101" i="53"/>
  <c r="BW102" i="53"/>
  <c r="BW103" i="53"/>
  <c r="CK94" i="53"/>
  <c r="CK97" i="53" a="1"/>
  <c r="CK97" i="53"/>
  <c r="CK98" i="53" a="1"/>
  <c r="CK98" i="53"/>
  <c r="CK99" i="53" a="1"/>
  <c r="CK100" i="53" a="1"/>
  <c r="CK101" i="53" a="1"/>
  <c r="CK102" i="53" a="1"/>
  <c r="CK99" i="53"/>
  <c r="CK100" i="53"/>
  <c r="CK101" i="53"/>
  <c r="CK102" i="53"/>
  <c r="CK103" i="53"/>
  <c r="CY94" i="53"/>
  <c r="CY97" i="53" a="1"/>
  <c r="CY97" i="53"/>
  <c r="CY98" i="53" a="1"/>
  <c r="CY98" i="53"/>
  <c r="CY99" i="53" a="1"/>
  <c r="CY100" i="53" a="1"/>
  <c r="CY101" i="53" a="1"/>
  <c r="CY102" i="53" a="1"/>
  <c r="CY99" i="53"/>
  <c r="CY100" i="53"/>
  <c r="CY101" i="53"/>
  <c r="CY102" i="53"/>
  <c r="CY103" i="53"/>
  <c r="DM94" i="53"/>
  <c r="DM97" i="53" a="1"/>
  <c r="DM97" i="53"/>
  <c r="DM98" i="53" a="1"/>
  <c r="DM98" i="53"/>
  <c r="DM99" i="53" a="1"/>
  <c r="DM100" i="53" a="1"/>
  <c r="DM101" i="53" a="1"/>
  <c r="DM102" i="53" a="1"/>
  <c r="DM99" i="53"/>
  <c r="DM100" i="53"/>
  <c r="DM101" i="53"/>
  <c r="DM102" i="53"/>
  <c r="DM103" i="53"/>
  <c r="BW108" i="53"/>
  <c r="BV94" i="53"/>
  <c r="BV97" i="53" a="1"/>
  <c r="BV97" i="53"/>
  <c r="BV98" i="53" a="1"/>
  <c r="BV98" i="53"/>
  <c r="BV99" i="53" a="1"/>
  <c r="BV100" i="53" a="1"/>
  <c r="BV101" i="53" a="1"/>
  <c r="BV102" i="53" a="1"/>
  <c r="BV99" i="53"/>
  <c r="BV100" i="53"/>
  <c r="BV101" i="53"/>
  <c r="BV102" i="53"/>
  <c r="BV103" i="53"/>
  <c r="CJ94" i="53"/>
  <c r="CJ97" i="53" a="1"/>
  <c r="CJ97" i="53"/>
  <c r="CJ98" i="53" a="1"/>
  <c r="CJ98" i="53"/>
  <c r="CJ99" i="53" a="1"/>
  <c r="CJ100" i="53" a="1"/>
  <c r="CJ101" i="53" a="1"/>
  <c r="CJ102" i="53" a="1"/>
  <c r="CJ99" i="53"/>
  <c r="CJ100" i="53"/>
  <c r="CJ101" i="53"/>
  <c r="CJ102" i="53"/>
  <c r="CJ103" i="53"/>
  <c r="CX94" i="53"/>
  <c r="CX97" i="53" a="1"/>
  <c r="CX97" i="53"/>
  <c r="CX98" i="53" a="1"/>
  <c r="CX98" i="53"/>
  <c r="CX99" i="53" a="1"/>
  <c r="CX100" i="53" a="1"/>
  <c r="CX101" i="53" a="1"/>
  <c r="CX102" i="53" a="1"/>
  <c r="CX99" i="53"/>
  <c r="CX100" i="53"/>
  <c r="CX101" i="53"/>
  <c r="CX102" i="53"/>
  <c r="CX103" i="53"/>
  <c r="DL94" i="53"/>
  <c r="DL97" i="53" a="1"/>
  <c r="DL97" i="53"/>
  <c r="DL98" i="53" a="1"/>
  <c r="DL98" i="53"/>
  <c r="DL99" i="53" a="1"/>
  <c r="DL100" i="53" a="1"/>
  <c r="DL101" i="53" a="1"/>
  <c r="DL102" i="53" a="1"/>
  <c r="DL99" i="53"/>
  <c r="DL100" i="53"/>
  <c r="DL101" i="53"/>
  <c r="DL102" i="53"/>
  <c r="DL103" i="53"/>
  <c r="BV108" i="53"/>
  <c r="BU94" i="53"/>
  <c r="BU97" i="53" a="1"/>
  <c r="BU97" i="53"/>
  <c r="BU98" i="53" a="1"/>
  <c r="BU98" i="53"/>
  <c r="BU99" i="53" a="1"/>
  <c r="BU100" i="53" a="1"/>
  <c r="BU101" i="53" a="1"/>
  <c r="BU102" i="53" a="1"/>
  <c r="BU99" i="53"/>
  <c r="BU100" i="53"/>
  <c r="BU101" i="53"/>
  <c r="BU102" i="53"/>
  <c r="BU103" i="53"/>
  <c r="CI94" i="53"/>
  <c r="CI97" i="53" a="1"/>
  <c r="CI97" i="53"/>
  <c r="CI98" i="53" a="1"/>
  <c r="CI98" i="53"/>
  <c r="CI99" i="53" a="1"/>
  <c r="CI100" i="53" a="1"/>
  <c r="CI101" i="53" a="1"/>
  <c r="CI102" i="53" a="1"/>
  <c r="CI99" i="53"/>
  <c r="CI100" i="53"/>
  <c r="CI101" i="53"/>
  <c r="CI102" i="53"/>
  <c r="CI103" i="53"/>
  <c r="CW94" i="53"/>
  <c r="CW97" i="53" a="1"/>
  <c r="CW97" i="53"/>
  <c r="CW98" i="53" a="1"/>
  <c r="CW98" i="53"/>
  <c r="CW99" i="53" a="1"/>
  <c r="CW100" i="53" a="1"/>
  <c r="CW101" i="53" a="1"/>
  <c r="CW102" i="53" a="1"/>
  <c r="CW99" i="53"/>
  <c r="CW100" i="53"/>
  <c r="CW101" i="53"/>
  <c r="CW102" i="53"/>
  <c r="CW103" i="53"/>
  <c r="DK94" i="53"/>
  <c r="DK97" i="53" a="1"/>
  <c r="DK97" i="53"/>
  <c r="DK98" i="53" a="1"/>
  <c r="DK98" i="53"/>
  <c r="DK99" i="53" a="1"/>
  <c r="DK100" i="53" a="1"/>
  <c r="DK101" i="53" a="1"/>
  <c r="DK102" i="53" a="1"/>
  <c r="DK99" i="53"/>
  <c r="DK100" i="53"/>
  <c r="DK101" i="53"/>
  <c r="DK102" i="53"/>
  <c r="DK103" i="53"/>
  <c r="BU108" i="53"/>
  <c r="BT94" i="53"/>
  <c r="BT97" i="53" a="1"/>
  <c r="BT97" i="53"/>
  <c r="BT98" i="53" a="1"/>
  <c r="BT98" i="53"/>
  <c r="BT99" i="53" a="1"/>
  <c r="BT100" i="53" a="1"/>
  <c r="BT101" i="53" a="1"/>
  <c r="BT102" i="53" a="1"/>
  <c r="BT99" i="53"/>
  <c r="BT100" i="53"/>
  <c r="BT101" i="53"/>
  <c r="BT102" i="53"/>
  <c r="BT103" i="53"/>
  <c r="CH94" i="53"/>
  <c r="CH97" i="53" a="1"/>
  <c r="CH97" i="53"/>
  <c r="CH98" i="53" a="1"/>
  <c r="CH98" i="53"/>
  <c r="CH99" i="53" a="1"/>
  <c r="CH100" i="53" a="1"/>
  <c r="CH101" i="53" a="1"/>
  <c r="CH102" i="53" a="1"/>
  <c r="CH99" i="53"/>
  <c r="CH100" i="53"/>
  <c r="CH101" i="53"/>
  <c r="CH102" i="53"/>
  <c r="CH103" i="53"/>
  <c r="CV94" i="53"/>
  <c r="CV97" i="53" a="1"/>
  <c r="CV97" i="53"/>
  <c r="CV98" i="53" a="1"/>
  <c r="CV98" i="53"/>
  <c r="CV99" i="53" a="1"/>
  <c r="CV100" i="53" a="1"/>
  <c r="CV101" i="53" a="1"/>
  <c r="CV102" i="53" a="1"/>
  <c r="CV99" i="53"/>
  <c r="CV100" i="53"/>
  <c r="CV101" i="53"/>
  <c r="CV102" i="53"/>
  <c r="CV103" i="53"/>
  <c r="DJ94" i="53"/>
  <c r="DJ97" i="53" a="1"/>
  <c r="DJ97" i="53"/>
  <c r="DJ98" i="53" a="1"/>
  <c r="DJ98" i="53"/>
  <c r="DJ99" i="53" a="1"/>
  <c r="DJ100" i="53" a="1"/>
  <c r="DJ101" i="53" a="1"/>
  <c r="DJ102" i="53" a="1"/>
  <c r="DJ99" i="53"/>
  <c r="DJ100" i="53"/>
  <c r="DJ101" i="53"/>
  <c r="DJ102" i="53"/>
  <c r="DJ103" i="53"/>
  <c r="BT108" i="53"/>
  <c r="BS94" i="53"/>
  <c r="BS97" i="53" a="1"/>
  <c r="BS97" i="53"/>
  <c r="BS98" i="53" a="1"/>
  <c r="BS98" i="53"/>
  <c r="BS99" i="53" a="1"/>
  <c r="BS100" i="53" a="1"/>
  <c r="BS101" i="53" a="1"/>
  <c r="BS102" i="53" a="1"/>
  <c r="BS99" i="53"/>
  <c r="BS100" i="53"/>
  <c r="BS101" i="53"/>
  <c r="BS102" i="53"/>
  <c r="BS103" i="53"/>
  <c r="CG94" i="53"/>
  <c r="CG97" i="53" a="1"/>
  <c r="CG97" i="53"/>
  <c r="CG98" i="53" a="1"/>
  <c r="CG98" i="53"/>
  <c r="CG99" i="53" a="1"/>
  <c r="CG100" i="53" a="1"/>
  <c r="CG101" i="53" a="1"/>
  <c r="CG102" i="53" a="1"/>
  <c r="CG99" i="53"/>
  <c r="CG100" i="53"/>
  <c r="CG101" i="53"/>
  <c r="CG102" i="53"/>
  <c r="CG103" i="53"/>
  <c r="CU94" i="53"/>
  <c r="CU97" i="53" a="1"/>
  <c r="CU97" i="53"/>
  <c r="CU98" i="53" a="1"/>
  <c r="CU98" i="53"/>
  <c r="CU99" i="53" a="1"/>
  <c r="CU100" i="53" a="1"/>
  <c r="CU101" i="53" a="1"/>
  <c r="CU102" i="53" a="1"/>
  <c r="CU99" i="53"/>
  <c r="CU100" i="53"/>
  <c r="CU101" i="53"/>
  <c r="CU102" i="53"/>
  <c r="CU103" i="53"/>
  <c r="DI94" i="53"/>
  <c r="DI97" i="53" a="1"/>
  <c r="DI97" i="53"/>
  <c r="DI98" i="53" a="1"/>
  <c r="DI98" i="53"/>
  <c r="DI99" i="53" a="1"/>
  <c r="DI100" i="53" a="1"/>
  <c r="DI101" i="53" a="1"/>
  <c r="DI102" i="53" a="1"/>
  <c r="DI99" i="53"/>
  <c r="DI100" i="53"/>
  <c r="DI101" i="53"/>
  <c r="DI102" i="53"/>
  <c r="DI103" i="53"/>
  <c r="BS108" i="53"/>
  <c r="BR94" i="53"/>
  <c r="BR97" i="53" a="1"/>
  <c r="BR97" i="53"/>
  <c r="BR98" i="53" a="1"/>
  <c r="BR98" i="53"/>
  <c r="BR99" i="53" a="1"/>
  <c r="BR100" i="53" a="1"/>
  <c r="BR101" i="53" a="1"/>
  <c r="BR102" i="53" a="1"/>
  <c r="BR99" i="53"/>
  <c r="BR100" i="53"/>
  <c r="BR101" i="53"/>
  <c r="BR102" i="53"/>
  <c r="BR103" i="53"/>
  <c r="CF94" i="53"/>
  <c r="CF97" i="53" a="1"/>
  <c r="CF97" i="53"/>
  <c r="CF98" i="53" a="1"/>
  <c r="CF98" i="53"/>
  <c r="CF99" i="53" a="1"/>
  <c r="CF100" i="53" a="1"/>
  <c r="CF101" i="53" a="1"/>
  <c r="CF102" i="53" a="1"/>
  <c r="CF99" i="53"/>
  <c r="CF100" i="53"/>
  <c r="CF101" i="53"/>
  <c r="CF102" i="53"/>
  <c r="CF103" i="53"/>
  <c r="CT94" i="53"/>
  <c r="CT97" i="53" a="1"/>
  <c r="CT97" i="53"/>
  <c r="CT98" i="53" a="1"/>
  <c r="CT98" i="53"/>
  <c r="CT99" i="53" a="1"/>
  <c r="CT100" i="53" a="1"/>
  <c r="CT101" i="53" a="1"/>
  <c r="CT102" i="53" a="1"/>
  <c r="CT99" i="53"/>
  <c r="CT100" i="53"/>
  <c r="CT101" i="53"/>
  <c r="CT102" i="53"/>
  <c r="CT103" i="53"/>
  <c r="DH94" i="53"/>
  <c r="DH97" i="53" a="1"/>
  <c r="DH97" i="53"/>
  <c r="DH98" i="53" a="1"/>
  <c r="DH98" i="53"/>
  <c r="DH99" i="53" a="1"/>
  <c r="DH100" i="53" a="1"/>
  <c r="DH101" i="53" a="1"/>
  <c r="DH102" i="53" a="1"/>
  <c r="DH99" i="53"/>
  <c r="DH100" i="53"/>
  <c r="DH101" i="53"/>
  <c r="DH102" i="53"/>
  <c r="DH103" i="53"/>
  <c r="BR108" i="53"/>
  <c r="BQ94" i="53"/>
  <c r="BQ97" i="53" a="1"/>
  <c r="BQ97" i="53"/>
  <c r="BQ98" i="53" a="1"/>
  <c r="BQ98" i="53"/>
  <c r="BQ99" i="53" a="1"/>
  <c r="BQ100" i="53" a="1"/>
  <c r="BQ101" i="53" a="1"/>
  <c r="BQ102" i="53" a="1"/>
  <c r="BQ99" i="53"/>
  <c r="BQ100" i="53"/>
  <c r="BQ101" i="53"/>
  <c r="BQ102" i="53"/>
  <c r="BQ103" i="53"/>
  <c r="CE94" i="53"/>
  <c r="CE97" i="53" a="1"/>
  <c r="CE97" i="53"/>
  <c r="CE98" i="53" a="1"/>
  <c r="CE98" i="53"/>
  <c r="CE99" i="53" a="1"/>
  <c r="CE100" i="53" a="1"/>
  <c r="CE101" i="53" a="1"/>
  <c r="CE102" i="53" a="1"/>
  <c r="CE99" i="53"/>
  <c r="CE100" i="53"/>
  <c r="CE101" i="53"/>
  <c r="CE102" i="53"/>
  <c r="CE103" i="53"/>
  <c r="CS94" i="53"/>
  <c r="CS97" i="53" a="1"/>
  <c r="CS97" i="53"/>
  <c r="CS98" i="53" a="1"/>
  <c r="CS98" i="53"/>
  <c r="CS99" i="53" a="1"/>
  <c r="CS100" i="53" a="1"/>
  <c r="CS101" i="53" a="1"/>
  <c r="CS102" i="53" a="1"/>
  <c r="CS99" i="53"/>
  <c r="CS100" i="53"/>
  <c r="CS101" i="53"/>
  <c r="CS102" i="53"/>
  <c r="CS103" i="53"/>
  <c r="DG94" i="53"/>
  <c r="DG97" i="53" a="1"/>
  <c r="DG97" i="53"/>
  <c r="DG98" i="53" a="1"/>
  <c r="DG98" i="53"/>
  <c r="DG99" i="53" a="1"/>
  <c r="DG100" i="53" a="1"/>
  <c r="DG101" i="53" a="1"/>
  <c r="DG102" i="53" a="1"/>
  <c r="DG99" i="53"/>
  <c r="DG100" i="53"/>
  <c r="DG101" i="53"/>
  <c r="DG102" i="53"/>
  <c r="DG103" i="53"/>
  <c r="BQ108" i="53"/>
  <c r="BP94" i="53"/>
  <c r="BP97" i="53" a="1"/>
  <c r="BP97" i="53"/>
  <c r="BP98" i="53" a="1"/>
  <c r="BP98" i="53"/>
  <c r="BP99" i="53" a="1"/>
  <c r="BP100" i="53" a="1"/>
  <c r="BP101" i="53" a="1"/>
  <c r="BP102" i="53" a="1"/>
  <c r="BP99" i="53"/>
  <c r="BP100" i="53"/>
  <c r="BP101" i="53"/>
  <c r="BP102" i="53"/>
  <c r="BP103" i="53"/>
  <c r="CD94" i="53"/>
  <c r="CD97" i="53" a="1"/>
  <c r="CD97" i="53"/>
  <c r="CD98" i="53" a="1"/>
  <c r="CD98" i="53"/>
  <c r="CD99" i="53" a="1"/>
  <c r="CD100" i="53" a="1"/>
  <c r="CD101" i="53" a="1"/>
  <c r="CD102" i="53" a="1"/>
  <c r="CD99" i="53"/>
  <c r="CD100" i="53"/>
  <c r="CD101" i="53"/>
  <c r="CD102" i="53"/>
  <c r="CD103" i="53"/>
  <c r="CR94" i="53"/>
  <c r="CR97" i="53" a="1"/>
  <c r="CR97" i="53"/>
  <c r="CR98" i="53" a="1"/>
  <c r="CR98" i="53"/>
  <c r="CR99" i="53" a="1"/>
  <c r="CR100" i="53" a="1"/>
  <c r="CR101" i="53" a="1"/>
  <c r="CR102" i="53" a="1"/>
  <c r="CR99" i="53"/>
  <c r="CR100" i="53"/>
  <c r="CR101" i="53"/>
  <c r="CR102" i="53"/>
  <c r="CR103" i="53"/>
  <c r="DF94" i="53"/>
  <c r="DF97" i="53" a="1"/>
  <c r="DF97" i="53"/>
  <c r="DF98" i="53" a="1"/>
  <c r="DF98" i="53"/>
  <c r="DF99" i="53" a="1"/>
  <c r="DF100" i="53" a="1"/>
  <c r="DF101" i="53" a="1"/>
  <c r="DF102" i="53" a="1"/>
  <c r="DF99" i="53"/>
  <c r="DF100" i="53"/>
  <c r="DF101" i="53"/>
  <c r="DF102" i="53"/>
  <c r="DF103" i="53"/>
  <c r="BP108" i="53"/>
  <c r="BO94" i="53"/>
  <c r="BO97" i="53" a="1"/>
  <c r="BO97" i="53"/>
  <c r="BO98" i="53" a="1"/>
  <c r="BO98" i="53"/>
  <c r="BO99" i="53" a="1"/>
  <c r="BO100" i="53" a="1"/>
  <c r="BO101" i="53" a="1"/>
  <c r="BO102" i="53" a="1"/>
  <c r="BO99" i="53"/>
  <c r="BO100" i="53"/>
  <c r="BO101" i="53"/>
  <c r="BO102" i="53"/>
  <c r="BO103" i="53"/>
  <c r="CC94" i="53"/>
  <c r="CC97" i="53" a="1"/>
  <c r="CC97" i="53"/>
  <c r="CC98" i="53" a="1"/>
  <c r="CC98" i="53"/>
  <c r="CC99" i="53" a="1"/>
  <c r="CC100" i="53" a="1"/>
  <c r="CC101" i="53" a="1"/>
  <c r="CC102" i="53" a="1"/>
  <c r="CC99" i="53"/>
  <c r="CC100" i="53"/>
  <c r="CC101" i="53"/>
  <c r="CC102" i="53"/>
  <c r="CC103" i="53"/>
  <c r="CQ94" i="53"/>
  <c r="CQ97" i="53" a="1"/>
  <c r="CQ97" i="53"/>
  <c r="CQ98" i="53" a="1"/>
  <c r="CQ98" i="53"/>
  <c r="CQ99" i="53" a="1"/>
  <c r="CQ100" i="53" a="1"/>
  <c r="CQ101" i="53" a="1"/>
  <c r="CQ102" i="53" a="1"/>
  <c r="CQ99" i="53"/>
  <c r="CQ100" i="53"/>
  <c r="CQ101" i="53"/>
  <c r="CQ102" i="53"/>
  <c r="CQ103" i="53"/>
  <c r="DE94" i="53"/>
  <c r="DE97" i="53" a="1"/>
  <c r="DE97" i="53"/>
  <c r="DE98" i="53" a="1"/>
  <c r="DE98" i="53"/>
  <c r="DE99" i="53" a="1"/>
  <c r="DE100" i="53" a="1"/>
  <c r="DE101" i="53" a="1"/>
  <c r="DE102" i="53" a="1"/>
  <c r="DE99" i="53"/>
  <c r="DE100" i="53"/>
  <c r="DE101" i="53"/>
  <c r="DE102" i="53"/>
  <c r="DE103" i="53"/>
  <c r="BO108" i="53"/>
  <c r="BN94" i="53"/>
  <c r="BN97" i="53" a="1"/>
  <c r="BN97" i="53"/>
  <c r="BN98" i="53" a="1"/>
  <c r="BN98" i="53"/>
  <c r="BN99" i="53" a="1"/>
  <c r="BN100" i="53" a="1"/>
  <c r="BN101" i="53" a="1"/>
  <c r="BN102" i="53" a="1"/>
  <c r="BN99" i="53"/>
  <c r="BN100" i="53"/>
  <c r="BN101" i="53"/>
  <c r="BN102" i="53"/>
  <c r="BN103" i="53"/>
  <c r="CB94" i="53"/>
  <c r="CB97" i="53" a="1"/>
  <c r="CB97" i="53"/>
  <c r="CB98" i="53" a="1"/>
  <c r="CB98" i="53"/>
  <c r="CB99" i="53" a="1"/>
  <c r="CB100" i="53" a="1"/>
  <c r="CB101" i="53" a="1"/>
  <c r="CB102" i="53" a="1"/>
  <c r="CB99" i="53"/>
  <c r="CB100" i="53"/>
  <c r="CB101" i="53"/>
  <c r="CB102" i="53"/>
  <c r="CB103" i="53"/>
  <c r="CP94" i="53"/>
  <c r="CP97" i="53" a="1"/>
  <c r="CP97" i="53"/>
  <c r="CP98" i="53" a="1"/>
  <c r="CP98" i="53"/>
  <c r="CP99" i="53" a="1"/>
  <c r="CP100" i="53" a="1"/>
  <c r="CP101" i="53" a="1"/>
  <c r="CP102" i="53" a="1"/>
  <c r="CP99" i="53"/>
  <c r="CP100" i="53"/>
  <c r="CP101" i="53"/>
  <c r="CP102" i="53"/>
  <c r="CP103" i="53"/>
  <c r="DD94" i="53"/>
  <c r="DD97" i="53" a="1"/>
  <c r="DD97" i="53"/>
  <c r="DD98" i="53" a="1"/>
  <c r="DD98" i="53"/>
  <c r="DD99" i="53" a="1"/>
  <c r="DD100" i="53" a="1"/>
  <c r="DD101" i="53" a="1"/>
  <c r="DD102" i="53" a="1"/>
  <c r="DD99" i="53"/>
  <c r="DD100" i="53"/>
  <c r="DD101" i="53"/>
  <c r="DD102" i="53"/>
  <c r="DD103" i="53"/>
  <c r="BN108" i="53"/>
  <c r="BM94" i="53"/>
  <c r="BM97" i="53" a="1"/>
  <c r="BM97" i="53"/>
  <c r="BM98" i="53" a="1"/>
  <c r="BM98" i="53"/>
  <c r="BM99" i="53" a="1"/>
  <c r="BM100" i="53" a="1"/>
  <c r="BM101" i="53" a="1"/>
  <c r="BM102" i="53" a="1"/>
  <c r="BM99" i="53"/>
  <c r="BM100" i="53"/>
  <c r="BM101" i="53"/>
  <c r="BM102" i="53"/>
  <c r="BM103" i="53"/>
  <c r="CA94" i="53"/>
  <c r="CA97" i="53" a="1"/>
  <c r="CA97" i="53"/>
  <c r="CA98" i="53" a="1"/>
  <c r="CA98" i="53"/>
  <c r="CA99" i="53" a="1"/>
  <c r="CA100" i="53" a="1"/>
  <c r="CA101" i="53" a="1"/>
  <c r="CA102" i="53" a="1"/>
  <c r="CA99" i="53"/>
  <c r="CA100" i="53"/>
  <c r="CA101" i="53"/>
  <c r="CA102" i="53"/>
  <c r="CA103" i="53"/>
  <c r="CO94" i="53"/>
  <c r="CO97" i="53" a="1"/>
  <c r="CO97" i="53"/>
  <c r="CO98" i="53" a="1"/>
  <c r="CO98" i="53"/>
  <c r="CO99" i="53" a="1"/>
  <c r="CO100" i="53" a="1"/>
  <c r="CO101" i="53" a="1"/>
  <c r="CO102" i="53" a="1"/>
  <c r="CO99" i="53"/>
  <c r="CO100" i="53"/>
  <c r="CO101" i="53"/>
  <c r="CO102" i="53"/>
  <c r="CO103" i="53"/>
  <c r="DC94" i="53"/>
  <c r="DC97" i="53" a="1"/>
  <c r="DC97" i="53"/>
  <c r="DC98" i="53" a="1"/>
  <c r="DC98" i="53"/>
  <c r="DC99" i="53" a="1"/>
  <c r="DC100" i="53" a="1"/>
  <c r="DC101" i="53" a="1"/>
  <c r="DC102" i="53" a="1"/>
  <c r="DC99" i="53"/>
  <c r="DC100" i="53"/>
  <c r="DC101" i="53"/>
  <c r="DC102" i="53"/>
  <c r="DC103" i="53"/>
  <c r="BM108" i="53"/>
  <c r="BZ107" i="53"/>
  <c r="BY107" i="53"/>
  <c r="BX107" i="53"/>
  <c r="BW107" i="53"/>
  <c r="BV107" i="53"/>
  <c r="BU107" i="53"/>
  <c r="BT107" i="53"/>
  <c r="BS107" i="53"/>
  <c r="BR107" i="53"/>
  <c r="BQ107" i="53"/>
  <c r="BP107" i="53"/>
  <c r="BO107" i="53"/>
  <c r="BN107" i="53"/>
  <c r="BM107" i="53"/>
  <c r="BZ106" i="53"/>
  <c r="BY106" i="53"/>
  <c r="BX106" i="53"/>
  <c r="BW106" i="53"/>
  <c r="BV106" i="53"/>
  <c r="BU106" i="53"/>
  <c r="BT106" i="53"/>
  <c r="BS106" i="53"/>
  <c r="BR106" i="53"/>
  <c r="BQ106" i="53"/>
  <c r="BP106" i="53"/>
  <c r="BO106" i="53"/>
  <c r="BN106" i="53"/>
  <c r="BM106" i="53"/>
  <c r="AT105" i="53"/>
  <c r="AS105" i="53"/>
  <c r="ED97" i="53"/>
  <c r="ED98" i="53"/>
  <c r="ED99" i="53"/>
  <c r="ED100" i="53"/>
  <c r="ED101" i="53"/>
  <c r="ED102" i="53"/>
  <c r="ED103" i="53"/>
  <c r="DF104" i="53"/>
  <c r="DX97" i="53"/>
  <c r="DX98" i="53"/>
  <c r="DX99" i="53"/>
  <c r="DX100" i="53"/>
  <c r="DX101" i="53"/>
  <c r="DX102" i="53"/>
  <c r="DX103" i="53"/>
  <c r="DA104" i="53"/>
  <c r="DW97" i="53"/>
  <c r="DW98" i="53"/>
  <c r="DW99" i="53"/>
  <c r="DW100" i="53"/>
  <c r="DW101" i="53"/>
  <c r="DW102" i="53"/>
  <c r="DW103" i="53"/>
  <c r="CZ104" i="53"/>
  <c r="DV97" i="53"/>
  <c r="DV98" i="53"/>
  <c r="DV99" i="53"/>
  <c r="DV100" i="53"/>
  <c r="DV101" i="53"/>
  <c r="DV102" i="53"/>
  <c r="DV103" i="53"/>
  <c r="CY104" i="53"/>
  <c r="DQ97" i="53"/>
  <c r="DQ98" i="53"/>
  <c r="DQ99" i="53"/>
  <c r="DQ100" i="53"/>
  <c r="DQ101" i="53"/>
  <c r="DQ102" i="53"/>
  <c r="DQ103" i="53"/>
  <c r="CX104" i="53"/>
  <c r="AT104" i="53"/>
  <c r="AS104" i="53"/>
  <c r="EA97" i="53"/>
  <c r="EA98" i="53"/>
  <c r="EA99" i="53"/>
  <c r="EA100" i="53"/>
  <c r="EA101" i="53"/>
  <c r="EA102" i="53"/>
  <c r="EA103" i="53"/>
  <c r="DZ97" i="53"/>
  <c r="DZ98" i="53"/>
  <c r="DZ99" i="53"/>
  <c r="DZ100" i="53"/>
  <c r="DZ101" i="53"/>
  <c r="DZ102" i="53"/>
  <c r="DZ103" i="53"/>
  <c r="DY97" i="53"/>
  <c r="DY98" i="53"/>
  <c r="DY99" i="53"/>
  <c r="DY100" i="53"/>
  <c r="DY101" i="53"/>
  <c r="DY102" i="53"/>
  <c r="DY103" i="53"/>
  <c r="DU97" i="53"/>
  <c r="DU98" i="53"/>
  <c r="DU99" i="53"/>
  <c r="DU100" i="53"/>
  <c r="DU101" i="53"/>
  <c r="DU102" i="53"/>
  <c r="DU103" i="53"/>
  <c r="DT97" i="53"/>
  <c r="DT98" i="53"/>
  <c r="DT99" i="53"/>
  <c r="DT100" i="53"/>
  <c r="DT101" i="53"/>
  <c r="DT102" i="53"/>
  <c r="DT103" i="53"/>
  <c r="DS97" i="53"/>
  <c r="DS98" i="53"/>
  <c r="DS99" i="53"/>
  <c r="DS100" i="53"/>
  <c r="DS101" i="53"/>
  <c r="DS102" i="53"/>
  <c r="DS103" i="53"/>
  <c r="DR97" i="53"/>
  <c r="DR98" i="53"/>
  <c r="DR99" i="53"/>
  <c r="DR100" i="53"/>
  <c r="DR101" i="53"/>
  <c r="DR102" i="53"/>
  <c r="DR103" i="53"/>
  <c r="BK94" i="53"/>
  <c r="AU29" i="53"/>
  <c r="AU97" i="53"/>
  <c r="BK97" i="53" a="1"/>
  <c r="BK97" i="53"/>
  <c r="AU98" i="53"/>
  <c r="BK98" i="53" a="1"/>
  <c r="BK98" i="53"/>
  <c r="AU99" i="53"/>
  <c r="BK99" i="53" a="1"/>
  <c r="AU100" i="53"/>
  <c r="BK100" i="53" a="1"/>
  <c r="AU101" i="53"/>
  <c r="BK101" i="53" a="1"/>
  <c r="AU102" i="53"/>
  <c r="BK102" i="53" a="1"/>
  <c r="BK99" i="53"/>
  <c r="BK100" i="53"/>
  <c r="BK101" i="53"/>
  <c r="BK102" i="53"/>
  <c r="BK103" i="53"/>
  <c r="BJ94" i="53"/>
  <c r="BJ97" i="53" a="1"/>
  <c r="BJ97" i="53"/>
  <c r="BJ98" i="53" a="1"/>
  <c r="BJ98" i="53"/>
  <c r="BJ99" i="53" a="1"/>
  <c r="BJ100" i="53" a="1"/>
  <c r="BJ101" i="53" a="1"/>
  <c r="BJ102" i="53" a="1"/>
  <c r="BJ99" i="53"/>
  <c r="BJ100" i="53"/>
  <c r="BJ101" i="53"/>
  <c r="BJ102" i="53"/>
  <c r="BJ103" i="53"/>
  <c r="BI94" i="53"/>
  <c r="BI97" i="53" a="1"/>
  <c r="BI97" i="53"/>
  <c r="BI98" i="53" a="1"/>
  <c r="BI98" i="53"/>
  <c r="BI99" i="53" a="1"/>
  <c r="BI100" i="53" a="1"/>
  <c r="BI101" i="53" a="1"/>
  <c r="BI102" i="53" a="1"/>
  <c r="BI99" i="53"/>
  <c r="BI100" i="53"/>
  <c r="BI101" i="53"/>
  <c r="BI102" i="53"/>
  <c r="BI103" i="53"/>
  <c r="BH94" i="53"/>
  <c r="BH97" i="53" a="1"/>
  <c r="BH97" i="53"/>
  <c r="BH98" i="53" a="1"/>
  <c r="BH98" i="53"/>
  <c r="BH99" i="53" a="1"/>
  <c r="BH100" i="53" a="1"/>
  <c r="BH101" i="53" a="1"/>
  <c r="BH102" i="53" a="1"/>
  <c r="BH99" i="53"/>
  <c r="BH100" i="53"/>
  <c r="BH101" i="53"/>
  <c r="BH102" i="53"/>
  <c r="BH103" i="53"/>
  <c r="BG94" i="53"/>
  <c r="BG97" i="53" a="1"/>
  <c r="BG97" i="53"/>
  <c r="BG98" i="53" a="1"/>
  <c r="BG98" i="53"/>
  <c r="BG99" i="53" a="1"/>
  <c r="BG100" i="53" a="1"/>
  <c r="BG101" i="53" a="1"/>
  <c r="BG102" i="53" a="1"/>
  <c r="BG99" i="53"/>
  <c r="BG100" i="53"/>
  <c r="BG101" i="53"/>
  <c r="BG102" i="53"/>
  <c r="BG103" i="53"/>
  <c r="BF94" i="53"/>
  <c r="BF97" i="53" a="1"/>
  <c r="BF97" i="53"/>
  <c r="BF98" i="53" a="1"/>
  <c r="BF98" i="53"/>
  <c r="BF99" i="53" a="1"/>
  <c r="BF100" i="53" a="1"/>
  <c r="BF101" i="53" a="1"/>
  <c r="BF102" i="53" a="1"/>
  <c r="BF99" i="53"/>
  <c r="BF100" i="53"/>
  <c r="BF101" i="53"/>
  <c r="BF102" i="53"/>
  <c r="BF103" i="53"/>
  <c r="BE94" i="53"/>
  <c r="BE97" i="53" a="1"/>
  <c r="BE97" i="53"/>
  <c r="BE98" i="53" a="1"/>
  <c r="BE98" i="53"/>
  <c r="BE99" i="53" a="1"/>
  <c r="BE100" i="53" a="1"/>
  <c r="BE101" i="53" a="1"/>
  <c r="BE102" i="53" a="1"/>
  <c r="BE99" i="53"/>
  <c r="BE100" i="53"/>
  <c r="BE101" i="53"/>
  <c r="BE102" i="53"/>
  <c r="BE103" i="53"/>
  <c r="BD94" i="53"/>
  <c r="BD97" i="53" a="1"/>
  <c r="BD97" i="53"/>
  <c r="BD98" i="53" a="1"/>
  <c r="BD98" i="53"/>
  <c r="BD99" i="53" a="1"/>
  <c r="BD100" i="53" a="1"/>
  <c r="BD101" i="53" a="1"/>
  <c r="BD102" i="53" a="1"/>
  <c r="BD99" i="53"/>
  <c r="BD100" i="53"/>
  <c r="BD101" i="53"/>
  <c r="BD102" i="53"/>
  <c r="BD103" i="53"/>
  <c r="BC94" i="53"/>
  <c r="BC97" i="53" a="1"/>
  <c r="BC97" i="53"/>
  <c r="BC98" i="53" a="1"/>
  <c r="BC98" i="53"/>
  <c r="BC99" i="53" a="1"/>
  <c r="BC100" i="53" a="1"/>
  <c r="BC101" i="53" a="1"/>
  <c r="BC102" i="53" a="1"/>
  <c r="BC99" i="53"/>
  <c r="BC100" i="53"/>
  <c r="BC101" i="53"/>
  <c r="BC102" i="53"/>
  <c r="BC103" i="53"/>
  <c r="BB94" i="53"/>
  <c r="BB97" i="53" a="1"/>
  <c r="BB97" i="53"/>
  <c r="BB98" i="53" a="1"/>
  <c r="BB98" i="53"/>
  <c r="BB99" i="53" a="1"/>
  <c r="BB100" i="53" a="1"/>
  <c r="BB101" i="53" a="1"/>
  <c r="BB102" i="53" a="1"/>
  <c r="BB99" i="53"/>
  <c r="BB100" i="53"/>
  <c r="BB101" i="53"/>
  <c r="BB102" i="53"/>
  <c r="BB103" i="53"/>
  <c r="BA94" i="53"/>
  <c r="BA97" i="53" a="1"/>
  <c r="BA97" i="53"/>
  <c r="BA98" i="53" a="1"/>
  <c r="BA98" i="53"/>
  <c r="BA99" i="53" a="1"/>
  <c r="BA100" i="53" a="1"/>
  <c r="BA101" i="53" a="1"/>
  <c r="BA102" i="53" a="1"/>
  <c r="BA99" i="53"/>
  <c r="BA100" i="53"/>
  <c r="BA101" i="53"/>
  <c r="BA102" i="53"/>
  <c r="BA103" i="53"/>
  <c r="AZ94" i="53"/>
  <c r="AZ97" i="53" a="1"/>
  <c r="AZ97" i="53"/>
  <c r="AZ98" i="53" a="1"/>
  <c r="AZ98" i="53"/>
  <c r="AZ99" i="53" a="1"/>
  <c r="AZ100" i="53" a="1"/>
  <c r="AZ101" i="53" a="1"/>
  <c r="AZ102" i="53" a="1"/>
  <c r="AZ99" i="53"/>
  <c r="AZ100" i="53"/>
  <c r="AZ101" i="53"/>
  <c r="AZ102" i="53"/>
  <c r="AZ103" i="53"/>
  <c r="AY94" i="53"/>
  <c r="AY97" i="53" a="1"/>
  <c r="AY97" i="53"/>
  <c r="AY98" i="53" a="1"/>
  <c r="AY98" i="53"/>
  <c r="AY99" i="53" a="1"/>
  <c r="AY100" i="53" a="1"/>
  <c r="AY101" i="53" a="1"/>
  <c r="AY102" i="53" a="1"/>
  <c r="AY99" i="53"/>
  <c r="AY100" i="53"/>
  <c r="AY101" i="53"/>
  <c r="AY102" i="53"/>
  <c r="AY103" i="53"/>
  <c r="AX94" i="53"/>
  <c r="AX97" i="53" a="1"/>
  <c r="AX97" i="53"/>
  <c r="AX98" i="53" a="1"/>
  <c r="AX98" i="53"/>
  <c r="AX99" i="53" a="1"/>
  <c r="AX100" i="53" a="1"/>
  <c r="AX101" i="53" a="1"/>
  <c r="AX102" i="53" a="1"/>
  <c r="AX99" i="53"/>
  <c r="AX100" i="53"/>
  <c r="AX101" i="53"/>
  <c r="AX102" i="53"/>
  <c r="AX103" i="53"/>
  <c r="AT96" i="53"/>
  <c r="AV96" i="53"/>
  <c r="AV97" i="53"/>
  <c r="AV98" i="53"/>
  <c r="AV99" i="53"/>
  <c r="AV100" i="53"/>
  <c r="AV101" i="53"/>
  <c r="AV102" i="53"/>
  <c r="AV103" i="53"/>
  <c r="AU103" i="53"/>
  <c r="AT103" i="53"/>
  <c r="G103" i="53"/>
  <c r="AM102" i="53"/>
  <c r="AW102" i="53"/>
  <c r="AS102" i="53"/>
  <c r="AO102" i="53"/>
  <c r="AD102" i="53"/>
  <c r="AK102" i="53"/>
  <c r="AC102" i="53"/>
  <c r="AJ102" i="53"/>
  <c r="AG102" i="53"/>
  <c r="AP30" i="53"/>
  <c r="F30" i="53"/>
  <c r="AQ30" i="53"/>
  <c r="AR30" i="53"/>
  <c r="AT30" i="53"/>
  <c r="AV29" i="53"/>
  <c r="AV30" i="53"/>
  <c r="G30" i="53"/>
  <c r="AP31" i="53"/>
  <c r="F31" i="53"/>
  <c r="AQ31" i="53"/>
  <c r="AR31" i="53"/>
  <c r="AT31" i="53"/>
  <c r="AV31" i="53"/>
  <c r="G31" i="53"/>
  <c r="AP32" i="53"/>
  <c r="F32" i="53"/>
  <c r="AQ32" i="53"/>
  <c r="AR32" i="53"/>
  <c r="AT32" i="53"/>
  <c r="AV32" i="53"/>
  <c r="G32" i="53"/>
  <c r="AP33" i="53"/>
  <c r="F33" i="53"/>
  <c r="AQ33" i="53"/>
  <c r="AR33" i="53"/>
  <c r="AT33" i="53"/>
  <c r="AV33" i="53"/>
  <c r="G33" i="53"/>
  <c r="AP34" i="53"/>
  <c r="F34" i="53"/>
  <c r="AQ34" i="53"/>
  <c r="AR34" i="53"/>
  <c r="AT34" i="53"/>
  <c r="AV34" i="53"/>
  <c r="G34" i="53"/>
  <c r="AP35" i="53"/>
  <c r="F35" i="53"/>
  <c r="AQ35" i="53"/>
  <c r="AR35" i="53"/>
  <c r="AT35" i="53"/>
  <c r="AV35" i="53"/>
  <c r="G35" i="53"/>
  <c r="AP36" i="53"/>
  <c r="F36" i="53"/>
  <c r="AQ36" i="53"/>
  <c r="AR36" i="53"/>
  <c r="AT36" i="53"/>
  <c r="AV36" i="53"/>
  <c r="G36" i="53"/>
  <c r="AP37" i="53"/>
  <c r="F37" i="53"/>
  <c r="AQ37" i="53"/>
  <c r="AR37" i="53"/>
  <c r="AT37" i="53"/>
  <c r="AV37" i="53"/>
  <c r="G37" i="53"/>
  <c r="AP38" i="53"/>
  <c r="F38" i="53"/>
  <c r="AQ38" i="53"/>
  <c r="AR38" i="53"/>
  <c r="AT38" i="53"/>
  <c r="AV38" i="53"/>
  <c r="G38" i="53"/>
  <c r="AP39" i="53"/>
  <c r="F39" i="53"/>
  <c r="AQ39" i="53"/>
  <c r="AR39" i="53"/>
  <c r="AT39" i="53"/>
  <c r="AV39" i="53"/>
  <c r="G39" i="53"/>
  <c r="AP40" i="53"/>
  <c r="F40" i="53"/>
  <c r="AQ40" i="53"/>
  <c r="AR40" i="53"/>
  <c r="AT40" i="53"/>
  <c r="AV40" i="53"/>
  <c r="G40" i="53"/>
  <c r="AP41" i="53"/>
  <c r="F41" i="53"/>
  <c r="AQ41" i="53"/>
  <c r="AR41" i="53"/>
  <c r="AT41" i="53"/>
  <c r="AV41" i="53"/>
  <c r="G41" i="53"/>
  <c r="AP42" i="53"/>
  <c r="F42" i="53"/>
  <c r="AQ42" i="53"/>
  <c r="D42" i="53"/>
  <c r="AM42" i="53"/>
  <c r="AO42" i="53"/>
  <c r="AR42" i="53"/>
  <c r="AT42" i="53"/>
  <c r="AV42" i="53"/>
  <c r="G42" i="53"/>
  <c r="AP43" i="53"/>
  <c r="F43" i="53"/>
  <c r="AQ43" i="53"/>
  <c r="D43" i="53"/>
  <c r="AM43" i="53"/>
  <c r="AO43" i="53"/>
  <c r="AR43" i="53"/>
  <c r="AT43" i="53"/>
  <c r="AV43" i="53"/>
  <c r="G43" i="53"/>
  <c r="AP44" i="53"/>
  <c r="F44" i="53"/>
  <c r="AQ44" i="53"/>
  <c r="D44" i="53"/>
  <c r="AM44" i="53"/>
  <c r="AO44" i="53"/>
  <c r="AR44" i="53"/>
  <c r="AT44" i="53"/>
  <c r="AV44" i="53"/>
  <c r="G44" i="53"/>
  <c r="AP45" i="53"/>
  <c r="F45" i="53"/>
  <c r="AQ45" i="53"/>
  <c r="D45" i="53"/>
  <c r="AM45" i="53"/>
  <c r="AO45" i="53"/>
  <c r="AR45" i="53"/>
  <c r="AT45" i="53"/>
  <c r="AV45" i="53"/>
  <c r="G45" i="53"/>
  <c r="AP46" i="53"/>
  <c r="F46" i="53"/>
  <c r="AQ46" i="53"/>
  <c r="D46" i="53"/>
  <c r="AM46" i="53"/>
  <c r="AO46" i="53"/>
  <c r="AR46" i="53"/>
  <c r="AT46" i="53"/>
  <c r="AV46" i="53"/>
  <c r="G46" i="53"/>
  <c r="AP47" i="53"/>
  <c r="F47" i="53"/>
  <c r="AQ47" i="53"/>
  <c r="D47" i="53"/>
  <c r="AM47" i="53"/>
  <c r="AO47" i="53"/>
  <c r="AR47" i="53"/>
  <c r="AT47" i="53"/>
  <c r="AV47" i="53"/>
  <c r="G47" i="53"/>
  <c r="AP48" i="53"/>
  <c r="F48" i="53"/>
  <c r="AQ48" i="53"/>
  <c r="D48" i="53"/>
  <c r="AM48" i="53"/>
  <c r="AO48" i="53"/>
  <c r="AR48" i="53"/>
  <c r="AT48" i="53"/>
  <c r="AV48" i="53"/>
  <c r="G48" i="53"/>
  <c r="AP49" i="53"/>
  <c r="F49" i="53"/>
  <c r="AQ49" i="53"/>
  <c r="AR49" i="53"/>
  <c r="AT49" i="53"/>
  <c r="AV49" i="53"/>
  <c r="G49" i="53"/>
  <c r="AP50" i="53"/>
  <c r="F50" i="53"/>
  <c r="AQ50" i="53"/>
  <c r="AR50" i="53"/>
  <c r="AT50" i="53"/>
  <c r="AV50" i="53"/>
  <c r="G50" i="53"/>
  <c r="AP51" i="53"/>
  <c r="F51" i="53"/>
  <c r="AQ51" i="53"/>
  <c r="AR51" i="53"/>
  <c r="AT51" i="53"/>
  <c r="AV51" i="53"/>
  <c r="G51" i="53"/>
  <c r="AP52" i="53"/>
  <c r="F52" i="53"/>
  <c r="AQ52" i="53"/>
  <c r="AR52" i="53"/>
  <c r="AT52" i="53"/>
  <c r="AV52" i="53"/>
  <c r="G52" i="53"/>
  <c r="AP53" i="53"/>
  <c r="F53" i="53"/>
  <c r="AQ53" i="53"/>
  <c r="AR53" i="53"/>
  <c r="AT53" i="53"/>
  <c r="AV53" i="53"/>
  <c r="G53" i="53"/>
  <c r="AP54" i="53"/>
  <c r="F54" i="53"/>
  <c r="AQ54" i="53"/>
  <c r="AR54" i="53"/>
  <c r="AT54" i="53"/>
  <c r="AV54" i="53"/>
  <c r="G54" i="53"/>
  <c r="AP55" i="53"/>
  <c r="F55" i="53"/>
  <c r="AQ55" i="53"/>
  <c r="AR55" i="53"/>
  <c r="AT55" i="53"/>
  <c r="AV55" i="53"/>
  <c r="G55" i="53"/>
  <c r="AP56" i="53"/>
  <c r="F56" i="53"/>
  <c r="AQ56" i="53"/>
  <c r="AR56" i="53"/>
  <c r="AT56" i="53"/>
  <c r="AV56" i="53"/>
  <c r="G56" i="53"/>
  <c r="AP57" i="53"/>
  <c r="F57" i="53"/>
  <c r="AQ57" i="53"/>
  <c r="AR57" i="53"/>
  <c r="AT57" i="53"/>
  <c r="AV57" i="53"/>
  <c r="G57" i="53"/>
  <c r="AP58" i="53"/>
  <c r="F58" i="53"/>
  <c r="AQ58" i="53"/>
  <c r="AR58" i="53"/>
  <c r="AT58" i="53"/>
  <c r="AV58" i="53"/>
  <c r="G58" i="53"/>
  <c r="AP59" i="53"/>
  <c r="AQ59" i="53"/>
  <c r="D59" i="53"/>
  <c r="AM59" i="53"/>
  <c r="AO59" i="53"/>
  <c r="AR59" i="53"/>
  <c r="AT59" i="53"/>
  <c r="AV59" i="53"/>
  <c r="G59" i="53"/>
  <c r="AP60" i="53"/>
  <c r="AQ60" i="53"/>
  <c r="D60" i="53"/>
  <c r="AM60" i="53"/>
  <c r="AO60" i="53"/>
  <c r="AR60" i="53"/>
  <c r="AT60" i="53"/>
  <c r="AV60" i="53"/>
  <c r="G60" i="53"/>
  <c r="AP61" i="53"/>
  <c r="F61" i="53"/>
  <c r="AQ61" i="53"/>
  <c r="AR61" i="53"/>
  <c r="AT61" i="53"/>
  <c r="AV61" i="53"/>
  <c r="G61" i="53"/>
  <c r="AP62" i="53"/>
  <c r="F62" i="53"/>
  <c r="AQ62" i="53"/>
  <c r="AR62" i="53"/>
  <c r="AT62" i="53"/>
  <c r="AV62" i="53"/>
  <c r="G62" i="53"/>
  <c r="AP63" i="53"/>
  <c r="F63" i="53"/>
  <c r="AQ63" i="53"/>
  <c r="AR63" i="53"/>
  <c r="AT63" i="53"/>
  <c r="AV63" i="53"/>
  <c r="G63" i="53"/>
  <c r="AP64" i="53"/>
  <c r="F64" i="53"/>
  <c r="AQ64" i="53"/>
  <c r="D64" i="53"/>
  <c r="AM64" i="53"/>
  <c r="AO64" i="53"/>
  <c r="AR64" i="53"/>
  <c r="AT64" i="53"/>
  <c r="AV64" i="53"/>
  <c r="G64" i="53"/>
  <c r="AP65" i="53"/>
  <c r="F65" i="53"/>
  <c r="AQ65" i="53"/>
  <c r="D65" i="53"/>
  <c r="AM65" i="53"/>
  <c r="AO65" i="53"/>
  <c r="AR65" i="53"/>
  <c r="AT65" i="53"/>
  <c r="AV65" i="53"/>
  <c r="G65" i="53"/>
  <c r="G68" i="53"/>
  <c r="I102" i="53"/>
  <c r="F102" i="53"/>
  <c r="C102" i="53"/>
  <c r="B102" i="53"/>
  <c r="AM101" i="53"/>
  <c r="AW101" i="53"/>
  <c r="AS101" i="53"/>
  <c r="AO101" i="53"/>
  <c r="AD101" i="53"/>
  <c r="AK101" i="53"/>
  <c r="AC101" i="53"/>
  <c r="AJ101" i="53"/>
  <c r="AG101" i="53"/>
  <c r="I101" i="53"/>
  <c r="F101" i="53"/>
  <c r="C101" i="53"/>
  <c r="B101" i="53"/>
  <c r="AM100" i="53"/>
  <c r="AW100" i="53"/>
  <c r="AS100" i="53"/>
  <c r="AO100" i="53"/>
  <c r="AD100" i="53"/>
  <c r="AK100" i="53"/>
  <c r="AC100" i="53"/>
  <c r="AJ100" i="53"/>
  <c r="AG100" i="53"/>
  <c r="I100" i="53"/>
  <c r="F100" i="53"/>
  <c r="C100" i="53"/>
  <c r="B100" i="53"/>
  <c r="AM99" i="53"/>
  <c r="AW99" i="53"/>
  <c r="AS99" i="53"/>
  <c r="AO99" i="53"/>
  <c r="AD99" i="53"/>
  <c r="AK99" i="53"/>
  <c r="AC99" i="53"/>
  <c r="AJ99" i="53"/>
  <c r="AG99" i="53"/>
  <c r="I99" i="53"/>
  <c r="F99" i="53"/>
  <c r="C99" i="53"/>
  <c r="B99" i="53"/>
  <c r="AM98" i="53"/>
  <c r="AW98" i="53"/>
  <c r="AS98" i="53"/>
  <c r="AO98" i="53"/>
  <c r="AD98" i="53"/>
  <c r="AK98" i="53"/>
  <c r="AC98" i="53"/>
  <c r="AJ98" i="53"/>
  <c r="AG98" i="53"/>
  <c r="I98" i="53"/>
  <c r="F98" i="53"/>
  <c r="C98" i="53"/>
  <c r="B98" i="53"/>
  <c r="AM97" i="53"/>
  <c r="AW97" i="53"/>
  <c r="AS97" i="53"/>
  <c r="AO97" i="53"/>
  <c r="AD97" i="53"/>
  <c r="AK97" i="53"/>
  <c r="AC97" i="53"/>
  <c r="AJ97" i="53"/>
  <c r="AG97" i="53"/>
  <c r="I97" i="53"/>
  <c r="F97" i="53"/>
  <c r="C97" i="53"/>
  <c r="B97" i="53"/>
  <c r="AU96" i="53"/>
  <c r="G96" i="53"/>
  <c r="ED95" i="53"/>
  <c r="EC95" i="53"/>
  <c r="EB95" i="53"/>
  <c r="EA95" i="53"/>
  <c r="DZ95" i="53"/>
  <c r="DY95" i="53"/>
  <c r="DX95" i="53"/>
  <c r="DW95" i="53"/>
  <c r="DV95" i="53"/>
  <c r="DU95" i="53"/>
  <c r="DT95" i="53"/>
  <c r="DS95" i="53"/>
  <c r="DR95" i="53"/>
  <c r="DQ95" i="53"/>
  <c r="DP95" i="53"/>
  <c r="DO95" i="53"/>
  <c r="DN95" i="53"/>
  <c r="DM95" i="53"/>
  <c r="DL95" i="53"/>
  <c r="DK95" i="53"/>
  <c r="DJ95" i="53"/>
  <c r="DI95" i="53"/>
  <c r="DH95" i="53"/>
  <c r="DG95" i="53"/>
  <c r="DF95" i="53"/>
  <c r="DE95" i="53"/>
  <c r="DD95" i="53"/>
  <c r="DC95" i="53"/>
  <c r="DB95" i="53"/>
  <c r="DA95" i="53"/>
  <c r="CZ95" i="53"/>
  <c r="CY95" i="53"/>
  <c r="CX95" i="53"/>
  <c r="CW95" i="53"/>
  <c r="CV95" i="53"/>
  <c r="CU95" i="53"/>
  <c r="CT95" i="53"/>
  <c r="CS95" i="53"/>
  <c r="CR95" i="53"/>
  <c r="CQ95" i="53"/>
  <c r="CP95" i="53"/>
  <c r="CO95" i="53"/>
  <c r="CN95" i="53"/>
  <c r="CM95" i="53"/>
  <c r="CL95" i="53"/>
  <c r="CK95" i="53"/>
  <c r="CJ95" i="53"/>
  <c r="CI95" i="53"/>
  <c r="CH95" i="53"/>
  <c r="CG95" i="53"/>
  <c r="CF95" i="53"/>
  <c r="CE95" i="53"/>
  <c r="CD95" i="53"/>
  <c r="CC95" i="53"/>
  <c r="CB95" i="53"/>
  <c r="CA95" i="53"/>
  <c r="BZ95" i="53"/>
  <c r="BY95" i="53"/>
  <c r="BX95" i="53"/>
  <c r="BW95" i="53"/>
  <c r="BV95" i="53"/>
  <c r="BU95" i="53"/>
  <c r="BT95" i="53"/>
  <c r="BS95" i="53"/>
  <c r="BR95" i="53"/>
  <c r="BQ95" i="53"/>
  <c r="BP95" i="53"/>
  <c r="BO95" i="53"/>
  <c r="BN95" i="53"/>
  <c r="BM95" i="53"/>
  <c r="BK95" i="53"/>
  <c r="BJ95" i="53"/>
  <c r="BI95" i="53"/>
  <c r="BH95" i="53"/>
  <c r="BG95" i="53"/>
  <c r="BF95" i="53"/>
  <c r="BE95" i="53"/>
  <c r="BD95" i="53"/>
  <c r="BC95" i="53"/>
  <c r="BB95" i="53"/>
  <c r="BA95" i="53"/>
  <c r="AZ95" i="53"/>
  <c r="AY95" i="53"/>
  <c r="AX95" i="53"/>
  <c r="ED94" i="53"/>
  <c r="EC94" i="53"/>
  <c r="EB94" i="53"/>
  <c r="EA94" i="53"/>
  <c r="DZ94" i="53"/>
  <c r="DY94" i="53"/>
  <c r="DX94" i="53"/>
  <c r="DW94" i="53"/>
  <c r="DV94" i="53"/>
  <c r="DU94" i="53"/>
  <c r="DT94" i="53"/>
  <c r="DS94" i="53"/>
  <c r="DR94" i="53"/>
  <c r="DQ94" i="53"/>
  <c r="AG94" i="53"/>
  <c r="E76" i="53"/>
  <c r="G76" i="53"/>
  <c r="AN76" i="53"/>
  <c r="F76" i="53"/>
  <c r="H76" i="53"/>
  <c r="AO76" i="53"/>
  <c r="AS76" i="53"/>
  <c r="AP76" i="53"/>
  <c r="AR76" i="53"/>
  <c r="AT76" i="53"/>
  <c r="BH74" i="53"/>
  <c r="BH76" i="53" a="1"/>
  <c r="BH76" i="53"/>
  <c r="E77" i="53"/>
  <c r="G77" i="53"/>
  <c r="AN77" i="53"/>
  <c r="F77" i="53"/>
  <c r="H77" i="53"/>
  <c r="AO77" i="53"/>
  <c r="AS77" i="53"/>
  <c r="AP77" i="53"/>
  <c r="AR77" i="53"/>
  <c r="AT77" i="53"/>
  <c r="BH77" i="53" a="1"/>
  <c r="BH77" i="53"/>
  <c r="E78" i="53"/>
  <c r="G78" i="53"/>
  <c r="AN78" i="53"/>
  <c r="F78" i="53"/>
  <c r="H78" i="53"/>
  <c r="AO78" i="53"/>
  <c r="AS78" i="53"/>
  <c r="AP78" i="53"/>
  <c r="AR78" i="53"/>
  <c r="AT78" i="53"/>
  <c r="BH78" i="53" a="1"/>
  <c r="E79" i="53"/>
  <c r="G79" i="53"/>
  <c r="AN79" i="53"/>
  <c r="F79" i="53"/>
  <c r="H79" i="53"/>
  <c r="AO79" i="53"/>
  <c r="AS79" i="53"/>
  <c r="AP79" i="53"/>
  <c r="AR79" i="53"/>
  <c r="AT79" i="53"/>
  <c r="BH79" i="53" a="1"/>
  <c r="E80" i="53"/>
  <c r="G80" i="53"/>
  <c r="AN80" i="53"/>
  <c r="F80" i="53"/>
  <c r="H80" i="53"/>
  <c r="AO80" i="53"/>
  <c r="AS80" i="53"/>
  <c r="AP80" i="53"/>
  <c r="AR80" i="53"/>
  <c r="AT80" i="53"/>
  <c r="BH80" i="53" a="1"/>
  <c r="E81" i="53"/>
  <c r="G81" i="53"/>
  <c r="AN81" i="53"/>
  <c r="F81" i="53"/>
  <c r="H81" i="53"/>
  <c r="AO81" i="53"/>
  <c r="AS81" i="53"/>
  <c r="AP81" i="53"/>
  <c r="AR81" i="53"/>
  <c r="AT81" i="53"/>
  <c r="BH81" i="53" a="1"/>
  <c r="E82" i="53"/>
  <c r="G82" i="53"/>
  <c r="AN82" i="53"/>
  <c r="F82" i="53"/>
  <c r="H82" i="53"/>
  <c r="AO82" i="53"/>
  <c r="AS82" i="53"/>
  <c r="AP82" i="53"/>
  <c r="AR82" i="53"/>
  <c r="AT82" i="53"/>
  <c r="BH82" i="53" a="1"/>
  <c r="E83" i="53"/>
  <c r="G83" i="53"/>
  <c r="AN83" i="53"/>
  <c r="F83" i="53"/>
  <c r="H83" i="53"/>
  <c r="AO83" i="53"/>
  <c r="AS83" i="53"/>
  <c r="AP83" i="53"/>
  <c r="AR83" i="53"/>
  <c r="AT83" i="53"/>
  <c r="BH83" i="53" a="1"/>
  <c r="E84" i="53"/>
  <c r="G84" i="53"/>
  <c r="AN84" i="53"/>
  <c r="F84" i="53"/>
  <c r="H84" i="53"/>
  <c r="AO84" i="53"/>
  <c r="AS84" i="53"/>
  <c r="AP84" i="53"/>
  <c r="AR84" i="53"/>
  <c r="AT84" i="53"/>
  <c r="BH84" i="53" a="1"/>
  <c r="E85" i="53"/>
  <c r="G85" i="53"/>
  <c r="AN85" i="53"/>
  <c r="F85" i="53"/>
  <c r="H85" i="53"/>
  <c r="AO85" i="53"/>
  <c r="AS85" i="53"/>
  <c r="AP85" i="53"/>
  <c r="AR85" i="53"/>
  <c r="AT85" i="53"/>
  <c r="BH85" i="53" a="1"/>
  <c r="E86" i="53"/>
  <c r="G86" i="53"/>
  <c r="AN86" i="53"/>
  <c r="F86" i="53"/>
  <c r="H86" i="53"/>
  <c r="AO86" i="53"/>
  <c r="AS86" i="53"/>
  <c r="AP86" i="53"/>
  <c r="AR86" i="53"/>
  <c r="AT86" i="53"/>
  <c r="BH86" i="53" a="1"/>
  <c r="BH78" i="53"/>
  <c r="BH79" i="53"/>
  <c r="BH80" i="53"/>
  <c r="BH81" i="53"/>
  <c r="BH82" i="53"/>
  <c r="BH83" i="53"/>
  <c r="BH84" i="53"/>
  <c r="BH85" i="53"/>
  <c r="BH86" i="53"/>
  <c r="BH87" i="53"/>
  <c r="CJ75" i="53"/>
  <c r="BH75" i="53"/>
  <c r="CJ87" i="53"/>
  <c r="BG74" i="53"/>
  <c r="BG76" i="53" a="1"/>
  <c r="BG76" i="53"/>
  <c r="BG77" i="53" a="1"/>
  <c r="BG77" i="53"/>
  <c r="BG78" i="53" a="1"/>
  <c r="BG79" i="53" a="1"/>
  <c r="BG80" i="53" a="1"/>
  <c r="BG81" i="53" a="1"/>
  <c r="BG82" i="53" a="1"/>
  <c r="BG83" i="53" a="1"/>
  <c r="BG84" i="53" a="1"/>
  <c r="BG85" i="53" a="1"/>
  <c r="BG86" i="53" a="1"/>
  <c r="BG78" i="53"/>
  <c r="BG79" i="53"/>
  <c r="BG80" i="53"/>
  <c r="BG81" i="53"/>
  <c r="BG82" i="53"/>
  <c r="BG83" i="53"/>
  <c r="BG84" i="53"/>
  <c r="BG85" i="53"/>
  <c r="BG86" i="53"/>
  <c r="BG87" i="53"/>
  <c r="CI75" i="53"/>
  <c r="BG75" i="53"/>
  <c r="CI87" i="53"/>
  <c r="BF74" i="53"/>
  <c r="BF76" i="53" a="1"/>
  <c r="BF76" i="53"/>
  <c r="BF77" i="53" a="1"/>
  <c r="BF77" i="53"/>
  <c r="BF78" i="53" a="1"/>
  <c r="BF79" i="53" a="1"/>
  <c r="BF80" i="53" a="1"/>
  <c r="BF81" i="53" a="1"/>
  <c r="BF82" i="53" a="1"/>
  <c r="BF83" i="53" a="1"/>
  <c r="BF84" i="53" a="1"/>
  <c r="BF85" i="53" a="1"/>
  <c r="BF86" i="53" a="1"/>
  <c r="BF78" i="53"/>
  <c r="BF79" i="53"/>
  <c r="BF80" i="53"/>
  <c r="BF81" i="53"/>
  <c r="BF82" i="53"/>
  <c r="BF83" i="53"/>
  <c r="BF84" i="53"/>
  <c r="BF85" i="53"/>
  <c r="BF86" i="53"/>
  <c r="BF87" i="53"/>
  <c r="CH75" i="53"/>
  <c r="BF75" i="53"/>
  <c r="CH87" i="53"/>
  <c r="BE74" i="53"/>
  <c r="BE76" i="53" a="1"/>
  <c r="BE76" i="53"/>
  <c r="BE77" i="53" a="1"/>
  <c r="BE77" i="53"/>
  <c r="BE78" i="53" a="1"/>
  <c r="BE79" i="53" a="1"/>
  <c r="BE80" i="53" a="1"/>
  <c r="BE81" i="53" a="1"/>
  <c r="BE82" i="53" a="1"/>
  <c r="BE83" i="53" a="1"/>
  <c r="BE84" i="53" a="1"/>
  <c r="BE85" i="53" a="1"/>
  <c r="BE86" i="53" a="1"/>
  <c r="BE78" i="53"/>
  <c r="BE79" i="53"/>
  <c r="BE80" i="53"/>
  <c r="BE81" i="53"/>
  <c r="BE82" i="53"/>
  <c r="BE83" i="53"/>
  <c r="BE84" i="53"/>
  <c r="BE85" i="53"/>
  <c r="BE86" i="53"/>
  <c r="BE87" i="53"/>
  <c r="CG75" i="53"/>
  <c r="BE75" i="53"/>
  <c r="CG87" i="53"/>
  <c r="BD74" i="53"/>
  <c r="BD76" i="53" a="1"/>
  <c r="BD76" i="53"/>
  <c r="BD77" i="53" a="1"/>
  <c r="BD77" i="53"/>
  <c r="BD78" i="53" a="1"/>
  <c r="BD79" i="53" a="1"/>
  <c r="BD80" i="53" a="1"/>
  <c r="BD81" i="53" a="1"/>
  <c r="BD82" i="53" a="1"/>
  <c r="BD83" i="53" a="1"/>
  <c r="BD84" i="53" a="1"/>
  <c r="BD85" i="53" a="1"/>
  <c r="BD86" i="53" a="1"/>
  <c r="BD78" i="53"/>
  <c r="BD79" i="53"/>
  <c r="BD80" i="53"/>
  <c r="BD81" i="53"/>
  <c r="BD82" i="53"/>
  <c r="BD83" i="53"/>
  <c r="BD84" i="53"/>
  <c r="BD85" i="53"/>
  <c r="BD86" i="53"/>
  <c r="BD87" i="53"/>
  <c r="CF75" i="53"/>
  <c r="BD75" i="53"/>
  <c r="CF87" i="53"/>
  <c r="BC74" i="53"/>
  <c r="BC76" i="53" a="1"/>
  <c r="BC76" i="53"/>
  <c r="BC77" i="53" a="1"/>
  <c r="BC77" i="53"/>
  <c r="BC78" i="53" a="1"/>
  <c r="BC79" i="53" a="1"/>
  <c r="BC80" i="53" a="1"/>
  <c r="BC81" i="53" a="1"/>
  <c r="BC82" i="53" a="1"/>
  <c r="BC83" i="53" a="1"/>
  <c r="BC84" i="53" a="1"/>
  <c r="BC85" i="53" a="1"/>
  <c r="BC86" i="53" a="1"/>
  <c r="BC78" i="53"/>
  <c r="BC79" i="53"/>
  <c r="BC80" i="53"/>
  <c r="BC81" i="53"/>
  <c r="BC82" i="53"/>
  <c r="BC83" i="53"/>
  <c r="BC84" i="53"/>
  <c r="BC85" i="53"/>
  <c r="BC86" i="53"/>
  <c r="BC87" i="53"/>
  <c r="CE75" i="53"/>
  <c r="BC75" i="53"/>
  <c r="CE87" i="53"/>
  <c r="BB74" i="53"/>
  <c r="BB76" i="53" a="1"/>
  <c r="BB76" i="53"/>
  <c r="BB77" i="53" a="1"/>
  <c r="BB77" i="53"/>
  <c r="BB78" i="53" a="1"/>
  <c r="BB79" i="53" a="1"/>
  <c r="BB80" i="53" a="1"/>
  <c r="BB81" i="53" a="1"/>
  <c r="BB82" i="53" a="1"/>
  <c r="BB83" i="53" a="1"/>
  <c r="BB84" i="53" a="1"/>
  <c r="BB85" i="53" a="1"/>
  <c r="BB86" i="53" a="1"/>
  <c r="BB78" i="53"/>
  <c r="BB79" i="53"/>
  <c r="BB80" i="53"/>
  <c r="BB81" i="53"/>
  <c r="BB82" i="53"/>
  <c r="BB83" i="53"/>
  <c r="BB84" i="53"/>
  <c r="BB85" i="53"/>
  <c r="BB86" i="53"/>
  <c r="BB87" i="53"/>
  <c r="CD75" i="53"/>
  <c r="BB75" i="53"/>
  <c r="CD87" i="53"/>
  <c r="BA74" i="53"/>
  <c r="BA76" i="53" a="1"/>
  <c r="BA76" i="53"/>
  <c r="BA77" i="53" a="1"/>
  <c r="BA77" i="53"/>
  <c r="BA78" i="53" a="1"/>
  <c r="BA79" i="53" a="1"/>
  <c r="BA80" i="53" a="1"/>
  <c r="BA81" i="53" a="1"/>
  <c r="BA82" i="53" a="1"/>
  <c r="BA83" i="53" a="1"/>
  <c r="BA84" i="53" a="1"/>
  <c r="BA85" i="53" a="1"/>
  <c r="BA86" i="53" a="1"/>
  <c r="BA78" i="53"/>
  <c r="BA79" i="53"/>
  <c r="BA80" i="53"/>
  <c r="BA81" i="53"/>
  <c r="BA82" i="53"/>
  <c r="BA83" i="53"/>
  <c r="BA84" i="53"/>
  <c r="BA85" i="53"/>
  <c r="BA86" i="53"/>
  <c r="BA87" i="53"/>
  <c r="CC75" i="53"/>
  <c r="BA75" i="53"/>
  <c r="CC87" i="53"/>
  <c r="AZ74" i="53"/>
  <c r="AZ76" i="53" a="1"/>
  <c r="AZ76" i="53"/>
  <c r="AZ77" i="53" a="1"/>
  <c r="AZ77" i="53"/>
  <c r="AZ78" i="53" a="1"/>
  <c r="AZ79" i="53" a="1"/>
  <c r="AZ80" i="53" a="1"/>
  <c r="AZ81" i="53" a="1"/>
  <c r="AZ82" i="53" a="1"/>
  <c r="AZ83" i="53" a="1"/>
  <c r="AZ84" i="53" a="1"/>
  <c r="AZ85" i="53" a="1"/>
  <c r="AZ86" i="53" a="1"/>
  <c r="AZ78" i="53"/>
  <c r="AZ79" i="53"/>
  <c r="AZ80" i="53"/>
  <c r="AZ81" i="53"/>
  <c r="AZ82" i="53"/>
  <c r="AZ83" i="53"/>
  <c r="AZ84" i="53"/>
  <c r="AZ85" i="53"/>
  <c r="AZ86" i="53"/>
  <c r="AZ87" i="53"/>
  <c r="CB75" i="53"/>
  <c r="AZ75" i="53"/>
  <c r="CB87" i="53"/>
  <c r="AY74" i="53"/>
  <c r="AY76" i="53" a="1"/>
  <c r="AY76" i="53"/>
  <c r="AY77" i="53" a="1"/>
  <c r="AY77" i="53"/>
  <c r="AY78" i="53" a="1"/>
  <c r="AY79" i="53" a="1"/>
  <c r="AY80" i="53" a="1"/>
  <c r="AY81" i="53" a="1"/>
  <c r="AY82" i="53" a="1"/>
  <c r="AY83" i="53" a="1"/>
  <c r="AY84" i="53" a="1"/>
  <c r="AY85" i="53" a="1"/>
  <c r="AY86" i="53" a="1"/>
  <c r="AY78" i="53"/>
  <c r="AY79" i="53"/>
  <c r="AY80" i="53"/>
  <c r="AY81" i="53"/>
  <c r="AY82" i="53"/>
  <c r="AY83" i="53"/>
  <c r="AY84" i="53"/>
  <c r="AY85" i="53"/>
  <c r="AY86" i="53"/>
  <c r="AY87" i="53"/>
  <c r="CA75" i="53"/>
  <c r="AY75" i="53"/>
  <c r="CA87" i="53"/>
  <c r="AX74" i="53"/>
  <c r="AX76" i="53" a="1"/>
  <c r="AX76" i="53"/>
  <c r="AX77" i="53" a="1"/>
  <c r="AX77" i="53"/>
  <c r="AX78" i="53" a="1"/>
  <c r="AX79" i="53" a="1"/>
  <c r="AX80" i="53" a="1"/>
  <c r="AX81" i="53" a="1"/>
  <c r="AX82" i="53" a="1"/>
  <c r="AX83" i="53" a="1"/>
  <c r="AX84" i="53" a="1"/>
  <c r="AX85" i="53" a="1"/>
  <c r="AX86" i="53" a="1"/>
  <c r="AX78" i="53"/>
  <c r="AX79" i="53"/>
  <c r="AX80" i="53"/>
  <c r="AX81" i="53"/>
  <c r="AX82" i="53"/>
  <c r="AX83" i="53"/>
  <c r="AX84" i="53"/>
  <c r="AX85" i="53"/>
  <c r="AX86" i="53"/>
  <c r="AX87" i="53"/>
  <c r="BZ75" i="53"/>
  <c r="AX75" i="53"/>
  <c r="BZ87" i="53"/>
  <c r="AW74" i="53"/>
  <c r="AW76" i="53" a="1"/>
  <c r="AW76" i="53"/>
  <c r="AW77" i="53" a="1"/>
  <c r="AW77" i="53"/>
  <c r="AW78" i="53" a="1"/>
  <c r="AW79" i="53" a="1"/>
  <c r="AW80" i="53" a="1"/>
  <c r="AW81" i="53" a="1"/>
  <c r="AW82" i="53" a="1"/>
  <c r="AW83" i="53" a="1"/>
  <c r="AW84" i="53" a="1"/>
  <c r="AW85" i="53" a="1"/>
  <c r="AW86" i="53" a="1"/>
  <c r="AW78" i="53"/>
  <c r="AW79" i="53"/>
  <c r="AW80" i="53"/>
  <c r="AW81" i="53"/>
  <c r="AW82" i="53"/>
  <c r="AW83" i="53"/>
  <c r="AW84" i="53"/>
  <c r="AW85" i="53"/>
  <c r="AW86" i="53"/>
  <c r="AW87" i="53"/>
  <c r="BY75" i="53"/>
  <c r="AW75" i="53"/>
  <c r="BY87" i="53"/>
  <c r="AV74" i="53"/>
  <c r="AV76" i="53" a="1"/>
  <c r="AV76" i="53"/>
  <c r="AV77" i="53" a="1"/>
  <c r="AV77" i="53"/>
  <c r="AV78" i="53" a="1"/>
  <c r="AV79" i="53" a="1"/>
  <c r="AV80" i="53" a="1"/>
  <c r="AV81" i="53" a="1"/>
  <c r="AV82" i="53" a="1"/>
  <c r="AV83" i="53" a="1"/>
  <c r="AV84" i="53" a="1"/>
  <c r="AV85" i="53" a="1"/>
  <c r="AV86" i="53" a="1"/>
  <c r="AV78" i="53"/>
  <c r="AV79" i="53"/>
  <c r="AV80" i="53"/>
  <c r="AV81" i="53"/>
  <c r="AV82" i="53"/>
  <c r="AV83" i="53"/>
  <c r="AV84" i="53"/>
  <c r="AV85" i="53"/>
  <c r="AV86" i="53"/>
  <c r="AV87" i="53"/>
  <c r="BX75" i="53"/>
  <c r="AV75" i="53"/>
  <c r="BX87" i="53"/>
  <c r="AU74" i="53"/>
  <c r="AU76" i="53" a="1"/>
  <c r="AU76" i="53"/>
  <c r="AU77" i="53" a="1"/>
  <c r="AU77" i="53"/>
  <c r="AU78" i="53" a="1"/>
  <c r="AU79" i="53" a="1"/>
  <c r="AU80" i="53" a="1"/>
  <c r="AU81" i="53" a="1"/>
  <c r="AU82" i="53" a="1"/>
  <c r="AU83" i="53" a="1"/>
  <c r="AU84" i="53" a="1"/>
  <c r="AU85" i="53" a="1"/>
  <c r="AU86" i="53" a="1"/>
  <c r="AU78" i="53"/>
  <c r="AU79" i="53"/>
  <c r="AU80" i="53"/>
  <c r="AU81" i="53"/>
  <c r="AU82" i="53"/>
  <c r="AU83" i="53"/>
  <c r="AU84" i="53"/>
  <c r="AU85" i="53"/>
  <c r="AU86" i="53"/>
  <c r="AU87" i="53"/>
  <c r="BW75" i="53"/>
  <c r="AU75" i="53"/>
  <c r="BW87" i="53"/>
  <c r="BV75" i="53"/>
  <c r="BV87" i="53"/>
  <c r="BU75" i="53"/>
  <c r="BU87" i="53"/>
  <c r="BT75" i="53"/>
  <c r="BT87" i="53"/>
  <c r="BS75" i="53"/>
  <c r="BS87" i="53"/>
  <c r="BR75" i="53"/>
  <c r="BR87" i="53"/>
  <c r="BQ75" i="53"/>
  <c r="BQ87" i="53"/>
  <c r="BP75" i="53"/>
  <c r="BP87" i="53"/>
  <c r="BO75" i="53"/>
  <c r="BO87" i="53"/>
  <c r="BN75" i="53"/>
  <c r="BN87" i="53"/>
  <c r="BM75" i="53"/>
  <c r="BM87" i="53"/>
  <c r="BL75" i="53"/>
  <c r="BL87" i="53"/>
  <c r="BK75" i="53"/>
  <c r="BK87" i="53"/>
  <c r="BJ75" i="53"/>
  <c r="BJ87" i="53"/>
  <c r="BI75" i="53"/>
  <c r="BI87" i="53"/>
  <c r="J87" i="53"/>
  <c r="I87" i="53"/>
  <c r="CJ86" i="53"/>
  <c r="CI86" i="53"/>
  <c r="CH86" i="53"/>
  <c r="CG86" i="53"/>
  <c r="CF86" i="53"/>
  <c r="CE86" i="53"/>
  <c r="CD86" i="53"/>
  <c r="CC86" i="53"/>
  <c r="CB86" i="53"/>
  <c r="CA86" i="53"/>
  <c r="BZ86" i="53"/>
  <c r="BY86" i="53"/>
  <c r="BX86" i="53"/>
  <c r="BW86" i="53"/>
  <c r="BV86" i="53"/>
  <c r="BU86" i="53"/>
  <c r="BT86" i="53"/>
  <c r="BS86" i="53"/>
  <c r="BR86" i="53"/>
  <c r="BQ86" i="53"/>
  <c r="BP86" i="53"/>
  <c r="BO86" i="53"/>
  <c r="BN86" i="53"/>
  <c r="BM86" i="53"/>
  <c r="BL86" i="53"/>
  <c r="BK86" i="53"/>
  <c r="BJ86" i="53"/>
  <c r="BI86" i="53"/>
  <c r="AQ86" i="53"/>
  <c r="AM86" i="53"/>
  <c r="X86" i="53"/>
  <c r="Y86" i="53"/>
  <c r="J86" i="53"/>
  <c r="I86" i="53"/>
  <c r="B86" i="53"/>
  <c r="CJ85" i="53"/>
  <c r="CI85" i="53"/>
  <c r="CH85" i="53"/>
  <c r="CG85" i="53"/>
  <c r="CF85" i="53"/>
  <c r="CE85" i="53"/>
  <c r="CD85" i="53"/>
  <c r="CC85" i="53"/>
  <c r="CB85" i="53"/>
  <c r="CA85" i="53"/>
  <c r="BZ85" i="53"/>
  <c r="BY85" i="53"/>
  <c r="BX85" i="53"/>
  <c r="BW85" i="53"/>
  <c r="BV85" i="53"/>
  <c r="BU85" i="53"/>
  <c r="BT85" i="53"/>
  <c r="BS85" i="53"/>
  <c r="BR85" i="53"/>
  <c r="BQ85" i="53"/>
  <c r="BP85" i="53"/>
  <c r="BO85" i="53"/>
  <c r="BN85" i="53"/>
  <c r="BM85" i="53"/>
  <c r="BL85" i="53"/>
  <c r="BK85" i="53"/>
  <c r="BJ85" i="53"/>
  <c r="BI85" i="53"/>
  <c r="AQ85" i="53"/>
  <c r="AM85" i="53"/>
  <c r="X85" i="53"/>
  <c r="Y85" i="53"/>
  <c r="J85" i="53"/>
  <c r="I85" i="53"/>
  <c r="B85" i="53"/>
  <c r="CJ84" i="53"/>
  <c r="CI84" i="53"/>
  <c r="CH84" i="53"/>
  <c r="CG84" i="53"/>
  <c r="CF84" i="53"/>
  <c r="CE84" i="53"/>
  <c r="CD84" i="53"/>
  <c r="CC84" i="53"/>
  <c r="CB84" i="53"/>
  <c r="CA84" i="53"/>
  <c r="BZ84" i="53"/>
  <c r="BY84" i="53"/>
  <c r="BX84" i="53"/>
  <c r="BW84" i="53"/>
  <c r="BV84" i="53"/>
  <c r="BU84" i="53"/>
  <c r="BT84" i="53"/>
  <c r="BS84" i="53"/>
  <c r="BR84" i="53"/>
  <c r="BQ84" i="53"/>
  <c r="BP84" i="53"/>
  <c r="BO84" i="53"/>
  <c r="BN84" i="53"/>
  <c r="BM84" i="53"/>
  <c r="BL84" i="53"/>
  <c r="BK84" i="53"/>
  <c r="BJ84" i="53"/>
  <c r="BI84" i="53"/>
  <c r="AQ84" i="53"/>
  <c r="AM84" i="53"/>
  <c r="X84" i="53"/>
  <c r="Y84" i="53"/>
  <c r="J84" i="53"/>
  <c r="I84" i="53"/>
  <c r="B84" i="53"/>
  <c r="CJ83" i="53"/>
  <c r="CI83" i="53"/>
  <c r="CH83" i="53"/>
  <c r="CG83" i="53"/>
  <c r="CF83" i="53"/>
  <c r="CE83" i="53"/>
  <c r="CD83" i="53"/>
  <c r="CC83" i="53"/>
  <c r="CB83" i="53"/>
  <c r="CA83" i="53"/>
  <c r="BZ83" i="53"/>
  <c r="BY83" i="53"/>
  <c r="BX83" i="53"/>
  <c r="BW83" i="53"/>
  <c r="BV83" i="53"/>
  <c r="BU83" i="53"/>
  <c r="BT83" i="53"/>
  <c r="BS83" i="53"/>
  <c r="BR83" i="53"/>
  <c r="BQ83" i="53"/>
  <c r="BP83" i="53"/>
  <c r="BO83" i="53"/>
  <c r="BN83" i="53"/>
  <c r="BM83" i="53"/>
  <c r="BL83" i="53"/>
  <c r="BK83" i="53"/>
  <c r="BJ83" i="53"/>
  <c r="BI83" i="53"/>
  <c r="AQ83" i="53"/>
  <c r="AM83" i="53"/>
  <c r="X83" i="53"/>
  <c r="Y83" i="53"/>
  <c r="J83" i="53"/>
  <c r="I83" i="53"/>
  <c r="B83" i="53"/>
  <c r="CJ82" i="53"/>
  <c r="CI82" i="53"/>
  <c r="CH82" i="53"/>
  <c r="CG82" i="53"/>
  <c r="CF82" i="53"/>
  <c r="CE82" i="53"/>
  <c r="CD82" i="53"/>
  <c r="CC82" i="53"/>
  <c r="CB82" i="53"/>
  <c r="CA82" i="53"/>
  <c r="BZ82" i="53"/>
  <c r="BY82" i="53"/>
  <c r="BX82" i="53"/>
  <c r="BW82" i="53"/>
  <c r="BV82" i="53"/>
  <c r="BU82" i="53"/>
  <c r="BT82" i="53"/>
  <c r="BS82" i="53"/>
  <c r="BR82" i="53"/>
  <c r="BQ82" i="53"/>
  <c r="BP82" i="53"/>
  <c r="BO82" i="53"/>
  <c r="BN82" i="53"/>
  <c r="BM82" i="53"/>
  <c r="BL82" i="53"/>
  <c r="BK82" i="53"/>
  <c r="BJ82" i="53"/>
  <c r="BI82" i="53"/>
  <c r="AQ82" i="53"/>
  <c r="AM82" i="53"/>
  <c r="X82" i="53"/>
  <c r="Y82" i="53"/>
  <c r="J82" i="53"/>
  <c r="I82" i="53"/>
  <c r="B82" i="53"/>
  <c r="CJ81" i="53"/>
  <c r="CI81" i="53"/>
  <c r="CH81" i="53"/>
  <c r="CG81" i="53"/>
  <c r="CF81" i="53"/>
  <c r="CE81" i="53"/>
  <c r="CD81" i="53"/>
  <c r="CC81" i="53"/>
  <c r="CB81" i="53"/>
  <c r="CA81" i="53"/>
  <c r="BZ81" i="53"/>
  <c r="BY81" i="53"/>
  <c r="BX81" i="53"/>
  <c r="BW81" i="53"/>
  <c r="BV81" i="53"/>
  <c r="BU81" i="53"/>
  <c r="BT81" i="53"/>
  <c r="BS81" i="53"/>
  <c r="BR81" i="53"/>
  <c r="BQ81" i="53"/>
  <c r="BP81" i="53"/>
  <c r="BO81" i="53"/>
  <c r="BN81" i="53"/>
  <c r="BM81" i="53"/>
  <c r="BL81" i="53"/>
  <c r="BK81" i="53"/>
  <c r="BJ81" i="53"/>
  <c r="BI81" i="53"/>
  <c r="AQ81" i="53"/>
  <c r="AM81" i="53"/>
  <c r="X81" i="53"/>
  <c r="Y81" i="53"/>
  <c r="J81" i="53"/>
  <c r="I81" i="53"/>
  <c r="B81" i="53"/>
  <c r="CJ80" i="53"/>
  <c r="CI80" i="53"/>
  <c r="CH80" i="53"/>
  <c r="CG80" i="53"/>
  <c r="CF80" i="53"/>
  <c r="CE80" i="53"/>
  <c r="CD80" i="53"/>
  <c r="CC80" i="53"/>
  <c r="CB80" i="53"/>
  <c r="CA80" i="53"/>
  <c r="BZ80" i="53"/>
  <c r="BY80" i="53"/>
  <c r="BX80" i="53"/>
  <c r="BW80" i="53"/>
  <c r="BV80" i="53"/>
  <c r="BU80" i="53"/>
  <c r="BT80" i="53"/>
  <c r="BS80" i="53"/>
  <c r="BR80" i="53"/>
  <c r="BQ80" i="53"/>
  <c r="BP80" i="53"/>
  <c r="BO80" i="53"/>
  <c r="BN80" i="53"/>
  <c r="BM80" i="53"/>
  <c r="BL80" i="53"/>
  <c r="BK80" i="53"/>
  <c r="BJ80" i="53"/>
  <c r="BI80" i="53"/>
  <c r="AQ80" i="53"/>
  <c r="AM80" i="53"/>
  <c r="X80" i="53"/>
  <c r="Y80" i="53"/>
  <c r="J80" i="53"/>
  <c r="I80" i="53"/>
  <c r="B80" i="53"/>
  <c r="CJ79" i="53"/>
  <c r="CI79" i="53"/>
  <c r="CH79" i="53"/>
  <c r="CG79" i="53"/>
  <c r="CF79" i="53"/>
  <c r="CE79" i="53"/>
  <c r="CD79" i="53"/>
  <c r="CC79" i="53"/>
  <c r="CB79" i="53"/>
  <c r="CA79" i="53"/>
  <c r="BZ79" i="53"/>
  <c r="BY79" i="53"/>
  <c r="BX79" i="53"/>
  <c r="BW79" i="53"/>
  <c r="BV79" i="53"/>
  <c r="BU79" i="53"/>
  <c r="BT79" i="53"/>
  <c r="BS79" i="53"/>
  <c r="BR79" i="53"/>
  <c r="BQ79" i="53"/>
  <c r="BP79" i="53"/>
  <c r="BO79" i="53"/>
  <c r="BN79" i="53"/>
  <c r="BM79" i="53"/>
  <c r="BL79" i="53"/>
  <c r="BK79" i="53"/>
  <c r="BJ79" i="53"/>
  <c r="BI79" i="53"/>
  <c r="AQ79" i="53"/>
  <c r="AM79" i="53"/>
  <c r="X79" i="53"/>
  <c r="Y79" i="53"/>
  <c r="J79" i="53"/>
  <c r="I79" i="53"/>
  <c r="B79" i="53"/>
  <c r="CJ78" i="53"/>
  <c r="CI78" i="53"/>
  <c r="CH78" i="53"/>
  <c r="CG78" i="53"/>
  <c r="CF78" i="53"/>
  <c r="CE78" i="53"/>
  <c r="CD78" i="53"/>
  <c r="CC78" i="53"/>
  <c r="CB78" i="53"/>
  <c r="CA78" i="53"/>
  <c r="BZ78" i="53"/>
  <c r="BY78" i="53"/>
  <c r="BX78" i="53"/>
  <c r="BW78" i="53"/>
  <c r="BV78" i="53"/>
  <c r="BU78" i="53"/>
  <c r="BT78" i="53"/>
  <c r="BS78" i="53"/>
  <c r="BR78" i="53"/>
  <c r="BQ78" i="53"/>
  <c r="BP78" i="53"/>
  <c r="BO78" i="53"/>
  <c r="BN78" i="53"/>
  <c r="BM78" i="53"/>
  <c r="BL78" i="53"/>
  <c r="BK78" i="53"/>
  <c r="BJ78" i="53"/>
  <c r="BI78" i="53"/>
  <c r="AQ78" i="53"/>
  <c r="AM78" i="53"/>
  <c r="X78" i="53"/>
  <c r="Y78" i="53"/>
  <c r="J78" i="53"/>
  <c r="I78" i="53"/>
  <c r="B78" i="53"/>
  <c r="CJ77" i="53"/>
  <c r="CI77" i="53"/>
  <c r="CH77" i="53"/>
  <c r="CG77" i="53"/>
  <c r="CF77" i="53"/>
  <c r="CE77" i="53"/>
  <c r="CD77" i="53"/>
  <c r="CC77" i="53"/>
  <c r="CB77" i="53"/>
  <c r="CA77" i="53"/>
  <c r="BZ77" i="53"/>
  <c r="BY77" i="53"/>
  <c r="BX77" i="53"/>
  <c r="BW77" i="53"/>
  <c r="BV77" i="53"/>
  <c r="BU77" i="53"/>
  <c r="BT77" i="53"/>
  <c r="BS77" i="53"/>
  <c r="BR77" i="53"/>
  <c r="BQ77" i="53"/>
  <c r="BP77" i="53"/>
  <c r="BO77" i="53"/>
  <c r="BN77" i="53"/>
  <c r="BM77" i="53"/>
  <c r="BL77" i="53"/>
  <c r="BK77" i="53"/>
  <c r="BJ77" i="53"/>
  <c r="BI77" i="53"/>
  <c r="AQ77" i="53"/>
  <c r="AM77" i="53"/>
  <c r="X77" i="53"/>
  <c r="Y77" i="53"/>
  <c r="J77" i="53"/>
  <c r="I77" i="53"/>
  <c r="B77" i="53"/>
  <c r="CJ76" i="53"/>
  <c r="CI76" i="53"/>
  <c r="CH76" i="53"/>
  <c r="CG76" i="53"/>
  <c r="CF76" i="53"/>
  <c r="CE76" i="53"/>
  <c r="CD76" i="53"/>
  <c r="CC76" i="53"/>
  <c r="CB76" i="53"/>
  <c r="CA76" i="53"/>
  <c r="BZ76" i="53"/>
  <c r="BY76" i="53"/>
  <c r="BX76" i="53"/>
  <c r="BW76" i="53"/>
  <c r="BV76" i="53"/>
  <c r="BU76" i="53"/>
  <c r="BT76" i="53"/>
  <c r="BS76" i="53"/>
  <c r="BR76" i="53"/>
  <c r="BQ76" i="53"/>
  <c r="BP76" i="53"/>
  <c r="BO76" i="53"/>
  <c r="BN76" i="53"/>
  <c r="BM76" i="53"/>
  <c r="BL76" i="53"/>
  <c r="BK76" i="53"/>
  <c r="BJ76" i="53"/>
  <c r="BI76" i="53"/>
  <c r="AQ76" i="53"/>
  <c r="AM76" i="53"/>
  <c r="X76" i="53"/>
  <c r="Y76" i="53"/>
  <c r="J76" i="53"/>
  <c r="I76" i="53"/>
  <c r="B76" i="53"/>
  <c r="J75" i="53"/>
  <c r="I75" i="53"/>
  <c r="G75" i="53"/>
  <c r="CJ74" i="53"/>
  <c r="CI74" i="53"/>
  <c r="CH74" i="53"/>
  <c r="CG74" i="53"/>
  <c r="CF74" i="53"/>
  <c r="CE74" i="53"/>
  <c r="CD74" i="53"/>
  <c r="CC74" i="53"/>
  <c r="CB74" i="53"/>
  <c r="CA74" i="53"/>
  <c r="BZ74" i="53"/>
  <c r="BY74" i="53"/>
  <c r="BX74" i="53"/>
  <c r="BW74" i="53"/>
  <c r="BV74" i="53"/>
  <c r="BU74" i="53"/>
  <c r="BT74" i="53"/>
  <c r="BS74" i="53"/>
  <c r="BR74" i="53"/>
  <c r="BQ74" i="53"/>
  <c r="BP74" i="53"/>
  <c r="BO74" i="53"/>
  <c r="BN74" i="53"/>
  <c r="BM74" i="53"/>
  <c r="BL74" i="53"/>
  <c r="BK74" i="53"/>
  <c r="BJ74" i="53"/>
  <c r="BI74" i="53"/>
  <c r="BZ27" i="53"/>
  <c r="X30" i="53"/>
  <c r="Y30" i="53"/>
  <c r="AA30" i="53"/>
  <c r="AE30" i="53"/>
  <c r="AF30" i="53"/>
  <c r="AH30" i="53"/>
  <c r="BZ30" i="53" a="1"/>
  <c r="BZ30" i="53"/>
  <c r="X31" i="53"/>
  <c r="Y31" i="53"/>
  <c r="AA31" i="53"/>
  <c r="AE31" i="53"/>
  <c r="AF31" i="53"/>
  <c r="AH31" i="53"/>
  <c r="BZ31" i="53" a="1"/>
  <c r="BZ31" i="53"/>
  <c r="X32" i="53"/>
  <c r="Y32" i="53"/>
  <c r="AA32" i="53"/>
  <c r="AE32" i="53"/>
  <c r="AF32" i="53"/>
  <c r="AH32" i="53"/>
  <c r="BZ32" i="53" a="1"/>
  <c r="X33" i="53"/>
  <c r="Y33" i="53"/>
  <c r="AA33" i="53"/>
  <c r="AE33" i="53"/>
  <c r="AF33" i="53"/>
  <c r="AH33" i="53"/>
  <c r="BZ33" i="53" a="1"/>
  <c r="X34" i="53"/>
  <c r="Y34" i="53"/>
  <c r="AA34" i="53"/>
  <c r="AE34" i="53"/>
  <c r="AF34" i="53"/>
  <c r="AH34" i="53"/>
  <c r="BZ34" i="53" a="1"/>
  <c r="X35" i="53"/>
  <c r="Y35" i="53"/>
  <c r="AA35" i="53"/>
  <c r="AE35" i="53"/>
  <c r="AF35" i="53"/>
  <c r="AH35" i="53"/>
  <c r="BZ35" i="53" a="1"/>
  <c r="X36" i="53"/>
  <c r="Y36" i="53"/>
  <c r="AA36" i="53"/>
  <c r="AE36" i="53"/>
  <c r="AF36" i="53"/>
  <c r="AH36" i="53"/>
  <c r="BZ36" i="53" a="1"/>
  <c r="X37" i="53"/>
  <c r="Y37" i="53"/>
  <c r="AA37" i="53"/>
  <c r="AE37" i="53"/>
  <c r="AF37" i="53"/>
  <c r="AH37" i="53"/>
  <c r="BZ37" i="53" a="1"/>
  <c r="X38" i="53"/>
  <c r="Y38" i="53"/>
  <c r="AA38" i="53"/>
  <c r="AE38" i="53"/>
  <c r="AF38" i="53"/>
  <c r="AH38" i="53"/>
  <c r="BZ38" i="53" a="1"/>
  <c r="X39" i="53"/>
  <c r="Y39" i="53"/>
  <c r="AA39" i="53"/>
  <c r="AE39" i="53"/>
  <c r="AF39" i="53"/>
  <c r="AH39" i="53"/>
  <c r="BZ39" i="53" a="1"/>
  <c r="X40" i="53"/>
  <c r="Y40" i="53"/>
  <c r="AA40" i="53"/>
  <c r="AE40" i="53"/>
  <c r="AF40" i="53"/>
  <c r="AH40" i="53"/>
  <c r="BZ40" i="53" a="1"/>
  <c r="X41" i="53"/>
  <c r="Y41" i="53"/>
  <c r="AA41" i="53"/>
  <c r="AE41" i="53"/>
  <c r="AF41" i="53"/>
  <c r="AH41" i="53"/>
  <c r="BZ41" i="53" a="1"/>
  <c r="X42" i="53"/>
  <c r="Y42" i="53"/>
  <c r="AA42" i="53"/>
  <c r="AE42" i="53"/>
  <c r="AF42" i="53"/>
  <c r="AH42" i="53"/>
  <c r="BZ42" i="53" a="1"/>
  <c r="X43" i="53"/>
  <c r="Y43" i="53"/>
  <c r="AA43" i="53"/>
  <c r="AE43" i="53"/>
  <c r="AF43" i="53"/>
  <c r="AH43" i="53"/>
  <c r="BZ43" i="53" a="1"/>
  <c r="X44" i="53"/>
  <c r="Y44" i="53"/>
  <c r="AA44" i="53"/>
  <c r="AE44" i="53"/>
  <c r="AF44" i="53"/>
  <c r="AH44" i="53"/>
  <c r="BZ44" i="53" a="1"/>
  <c r="X45" i="53"/>
  <c r="Y45" i="53"/>
  <c r="AA45" i="53"/>
  <c r="AE45" i="53"/>
  <c r="AF45" i="53"/>
  <c r="AH45" i="53"/>
  <c r="BZ45" i="53" a="1"/>
  <c r="X46" i="53"/>
  <c r="Y46" i="53"/>
  <c r="AA46" i="53"/>
  <c r="AE46" i="53"/>
  <c r="AF46" i="53"/>
  <c r="AH46" i="53"/>
  <c r="BZ46" i="53" a="1"/>
  <c r="X47" i="53"/>
  <c r="Y47" i="53"/>
  <c r="AA47" i="53"/>
  <c r="AE47" i="53"/>
  <c r="AF47" i="53"/>
  <c r="AH47" i="53"/>
  <c r="BZ47" i="53" a="1"/>
  <c r="X48" i="53"/>
  <c r="Y48" i="53"/>
  <c r="AA48" i="53"/>
  <c r="AE48" i="53"/>
  <c r="AF48" i="53"/>
  <c r="AH48" i="53"/>
  <c r="BZ48" i="53" a="1"/>
  <c r="X49" i="53"/>
  <c r="Y49" i="53"/>
  <c r="AA49" i="53"/>
  <c r="AE49" i="53"/>
  <c r="AF49" i="53"/>
  <c r="AH49" i="53"/>
  <c r="BZ49" i="53" a="1"/>
  <c r="X50" i="53"/>
  <c r="Y50" i="53"/>
  <c r="AA50" i="53"/>
  <c r="AE50" i="53"/>
  <c r="AF50" i="53"/>
  <c r="AH50" i="53"/>
  <c r="BZ50" i="53" a="1"/>
  <c r="X51" i="53"/>
  <c r="Y51" i="53"/>
  <c r="AA51" i="53"/>
  <c r="AE51" i="53"/>
  <c r="AF51" i="53"/>
  <c r="AH51" i="53"/>
  <c r="BZ51" i="53" a="1"/>
  <c r="X52" i="53"/>
  <c r="Y52" i="53"/>
  <c r="AA52" i="53"/>
  <c r="AE52" i="53"/>
  <c r="AF52" i="53"/>
  <c r="AH52" i="53"/>
  <c r="BZ52" i="53" a="1"/>
  <c r="X53" i="53"/>
  <c r="Y53" i="53"/>
  <c r="AA53" i="53"/>
  <c r="AE53" i="53"/>
  <c r="AF53" i="53"/>
  <c r="AH53" i="53"/>
  <c r="BZ53" i="53" a="1"/>
  <c r="X54" i="53"/>
  <c r="Y54" i="53"/>
  <c r="AA54" i="53"/>
  <c r="AE54" i="53"/>
  <c r="AF54" i="53"/>
  <c r="AH54" i="53"/>
  <c r="BZ54" i="53" a="1"/>
  <c r="X55" i="53"/>
  <c r="Y55" i="53"/>
  <c r="AA55" i="53"/>
  <c r="AE55" i="53"/>
  <c r="AF55" i="53"/>
  <c r="AH55" i="53"/>
  <c r="BZ55" i="53" a="1"/>
  <c r="X56" i="53"/>
  <c r="Y56" i="53"/>
  <c r="AA56" i="53"/>
  <c r="AE56" i="53"/>
  <c r="AF56" i="53"/>
  <c r="AH56" i="53"/>
  <c r="BZ56" i="53" a="1"/>
  <c r="X57" i="53"/>
  <c r="Y57" i="53"/>
  <c r="AA57" i="53"/>
  <c r="AE57" i="53"/>
  <c r="AF57" i="53"/>
  <c r="AH57" i="53"/>
  <c r="BZ57" i="53" a="1"/>
  <c r="X58" i="53"/>
  <c r="Y58" i="53"/>
  <c r="AA58" i="53"/>
  <c r="AE58" i="53"/>
  <c r="AF58" i="53"/>
  <c r="AH58" i="53"/>
  <c r="BZ58" i="53" a="1"/>
  <c r="X59" i="53"/>
  <c r="Y59" i="53"/>
  <c r="AA59" i="53"/>
  <c r="AE59" i="53"/>
  <c r="AF59" i="53"/>
  <c r="AH59" i="53"/>
  <c r="BZ59" i="53" a="1"/>
  <c r="X60" i="53"/>
  <c r="Y60" i="53"/>
  <c r="AA60" i="53"/>
  <c r="AE60" i="53"/>
  <c r="AF60" i="53"/>
  <c r="AH60" i="53"/>
  <c r="BZ60" i="53" a="1"/>
  <c r="X61" i="53"/>
  <c r="Y61" i="53"/>
  <c r="AA61" i="53"/>
  <c r="AE61" i="53"/>
  <c r="AF61" i="53"/>
  <c r="AH61" i="53"/>
  <c r="BZ61" i="53" a="1"/>
  <c r="X62" i="53"/>
  <c r="Y62" i="53"/>
  <c r="AA62" i="53"/>
  <c r="AE62" i="53"/>
  <c r="AF62" i="53"/>
  <c r="AH62" i="53"/>
  <c r="BZ62" i="53" a="1"/>
  <c r="X63" i="53"/>
  <c r="Y63" i="53"/>
  <c r="AA63" i="53"/>
  <c r="AE63" i="53"/>
  <c r="AF63" i="53"/>
  <c r="AH63" i="53"/>
  <c r="BZ63" i="53" a="1"/>
  <c r="X64" i="53"/>
  <c r="Y64" i="53"/>
  <c r="AA64" i="53"/>
  <c r="AE64" i="53"/>
  <c r="AF64" i="53"/>
  <c r="AH64" i="53"/>
  <c r="BZ64" i="53" a="1"/>
  <c r="BZ32" i="53"/>
  <c r="BZ33" i="53"/>
  <c r="BZ34" i="53"/>
  <c r="BZ35" i="53"/>
  <c r="BZ36" i="53"/>
  <c r="BZ37" i="53"/>
  <c r="BZ38" i="53"/>
  <c r="BZ39" i="53"/>
  <c r="BZ40" i="53"/>
  <c r="BZ41" i="53"/>
  <c r="BZ42" i="53"/>
  <c r="BZ43" i="53"/>
  <c r="BZ44" i="53"/>
  <c r="BZ45" i="53"/>
  <c r="BZ46" i="53"/>
  <c r="BZ47" i="53"/>
  <c r="BZ48" i="53"/>
  <c r="BZ49" i="53"/>
  <c r="BZ50" i="53"/>
  <c r="BZ51" i="53"/>
  <c r="BZ52" i="53"/>
  <c r="BZ53" i="53"/>
  <c r="BZ54" i="53"/>
  <c r="BZ55" i="53"/>
  <c r="BZ56" i="53"/>
  <c r="BZ57" i="53"/>
  <c r="BZ58" i="53"/>
  <c r="BZ59" i="53"/>
  <c r="BZ60" i="53"/>
  <c r="BZ61" i="53"/>
  <c r="BZ62" i="53"/>
  <c r="BZ63" i="53"/>
  <c r="BZ64" i="53"/>
  <c r="BZ68" i="53"/>
  <c r="CL27" i="53"/>
  <c r="AB30" i="53"/>
  <c r="AI30" i="53"/>
  <c r="CL30" i="53" a="1"/>
  <c r="CL30" i="53"/>
  <c r="AB31" i="53"/>
  <c r="AI31" i="53"/>
  <c r="CL31" i="53" a="1"/>
  <c r="CL31" i="53"/>
  <c r="AB32" i="53"/>
  <c r="AI32" i="53"/>
  <c r="CL32" i="53" a="1"/>
  <c r="AB33" i="53"/>
  <c r="AI33" i="53"/>
  <c r="CL33" i="53" a="1"/>
  <c r="AB34" i="53"/>
  <c r="AI34" i="53"/>
  <c r="CL34" i="53" a="1"/>
  <c r="AB35" i="53"/>
  <c r="AI35" i="53"/>
  <c r="CL35" i="53" a="1"/>
  <c r="AB36" i="53"/>
  <c r="AI36" i="53"/>
  <c r="CL36" i="53" a="1"/>
  <c r="AB37" i="53"/>
  <c r="AI37" i="53"/>
  <c r="CL37" i="53" a="1"/>
  <c r="AB38" i="53"/>
  <c r="AI38" i="53"/>
  <c r="CL38" i="53" a="1"/>
  <c r="AB39" i="53"/>
  <c r="AI39" i="53"/>
  <c r="CL39" i="53" a="1"/>
  <c r="AB40" i="53"/>
  <c r="AI40" i="53"/>
  <c r="CL40" i="53" a="1"/>
  <c r="AB41" i="53"/>
  <c r="AI41" i="53"/>
  <c r="CL41" i="53" a="1"/>
  <c r="AB42" i="53"/>
  <c r="AI42" i="53"/>
  <c r="CL42" i="53" a="1"/>
  <c r="AB43" i="53"/>
  <c r="AI43" i="53"/>
  <c r="CL43" i="53" a="1"/>
  <c r="AB44" i="53"/>
  <c r="AI44" i="53"/>
  <c r="CL44" i="53" a="1"/>
  <c r="AB45" i="53"/>
  <c r="AI45" i="53"/>
  <c r="CL45" i="53" a="1"/>
  <c r="AB46" i="53"/>
  <c r="AI46" i="53"/>
  <c r="CL46" i="53" a="1"/>
  <c r="AB47" i="53"/>
  <c r="AI47" i="53"/>
  <c r="CL47" i="53" a="1"/>
  <c r="AB48" i="53"/>
  <c r="AI48" i="53"/>
  <c r="CL48" i="53" a="1"/>
  <c r="AB49" i="53"/>
  <c r="AI49" i="53"/>
  <c r="CL49" i="53" a="1"/>
  <c r="AB50" i="53"/>
  <c r="AI50" i="53"/>
  <c r="CL50" i="53" a="1"/>
  <c r="AB51" i="53"/>
  <c r="AI51" i="53"/>
  <c r="CL51" i="53" a="1"/>
  <c r="AB52" i="53"/>
  <c r="AI52" i="53"/>
  <c r="CL52" i="53" a="1"/>
  <c r="AB53" i="53"/>
  <c r="AI53" i="53"/>
  <c r="CL53" i="53" a="1"/>
  <c r="AB54" i="53"/>
  <c r="AI54" i="53"/>
  <c r="CL54" i="53" a="1"/>
  <c r="AB55" i="53"/>
  <c r="AI55" i="53"/>
  <c r="CL55" i="53" a="1"/>
  <c r="AB56" i="53"/>
  <c r="AI56" i="53"/>
  <c r="CL56" i="53" a="1"/>
  <c r="AB57" i="53"/>
  <c r="AI57" i="53"/>
  <c r="CL57" i="53" a="1"/>
  <c r="AB58" i="53"/>
  <c r="AI58" i="53"/>
  <c r="CL58" i="53" a="1"/>
  <c r="AB59" i="53"/>
  <c r="AI59" i="53"/>
  <c r="CL59" i="53" a="1"/>
  <c r="AB60" i="53"/>
  <c r="AI60" i="53"/>
  <c r="CL60" i="53" a="1"/>
  <c r="AB61" i="53"/>
  <c r="AI61" i="53"/>
  <c r="CL61" i="53" a="1"/>
  <c r="AB62" i="53"/>
  <c r="AI62" i="53"/>
  <c r="CL62" i="53" a="1"/>
  <c r="AB63" i="53"/>
  <c r="AI63" i="53"/>
  <c r="CL63" i="53" a="1"/>
  <c r="AB64" i="53"/>
  <c r="AI64" i="53"/>
  <c r="CL64" i="53" a="1"/>
  <c r="CL32" i="53"/>
  <c r="CL33" i="53"/>
  <c r="CL34" i="53"/>
  <c r="CL35" i="53"/>
  <c r="CL36" i="53"/>
  <c r="CL37" i="53"/>
  <c r="CL38" i="53"/>
  <c r="CL39" i="53"/>
  <c r="CL40" i="53"/>
  <c r="CL41" i="53"/>
  <c r="CL42" i="53"/>
  <c r="CL43" i="53"/>
  <c r="CL44" i="53"/>
  <c r="CL45" i="53"/>
  <c r="CL46" i="53"/>
  <c r="CL47" i="53"/>
  <c r="CL48" i="53"/>
  <c r="CL49" i="53"/>
  <c r="CL50" i="53"/>
  <c r="CL51" i="53"/>
  <c r="CL52" i="53"/>
  <c r="CL53" i="53"/>
  <c r="CL54" i="53"/>
  <c r="CL55" i="53"/>
  <c r="CL56" i="53"/>
  <c r="CL57" i="53"/>
  <c r="CL58" i="53"/>
  <c r="CL59" i="53"/>
  <c r="CL60" i="53"/>
  <c r="CL61" i="53"/>
  <c r="CL62" i="53"/>
  <c r="CL63" i="53"/>
  <c r="CL64" i="53"/>
  <c r="CL68" i="53"/>
  <c r="CZ27" i="53"/>
  <c r="AC30" i="53"/>
  <c r="AJ30" i="53"/>
  <c r="CZ30" i="53" a="1"/>
  <c r="CZ30" i="53"/>
  <c r="AC31" i="53"/>
  <c r="AJ31" i="53"/>
  <c r="CZ31" i="53" a="1"/>
  <c r="CZ31" i="53"/>
  <c r="AC32" i="53"/>
  <c r="AJ32" i="53"/>
  <c r="CZ32" i="53" a="1"/>
  <c r="AC33" i="53"/>
  <c r="AJ33" i="53"/>
  <c r="CZ33" i="53" a="1"/>
  <c r="AC34" i="53"/>
  <c r="AJ34" i="53"/>
  <c r="CZ34" i="53" a="1"/>
  <c r="AC35" i="53"/>
  <c r="AJ35" i="53"/>
  <c r="CZ35" i="53" a="1"/>
  <c r="AC36" i="53"/>
  <c r="AJ36" i="53"/>
  <c r="CZ36" i="53" a="1"/>
  <c r="AC37" i="53"/>
  <c r="AJ37" i="53"/>
  <c r="CZ37" i="53" a="1"/>
  <c r="AC38" i="53"/>
  <c r="AJ38" i="53"/>
  <c r="CZ38" i="53" a="1"/>
  <c r="AC39" i="53"/>
  <c r="AJ39" i="53"/>
  <c r="CZ39" i="53" a="1"/>
  <c r="AC40" i="53"/>
  <c r="AJ40" i="53"/>
  <c r="CZ40" i="53" a="1"/>
  <c r="AC41" i="53"/>
  <c r="AJ41" i="53"/>
  <c r="CZ41" i="53" a="1"/>
  <c r="AC42" i="53"/>
  <c r="AJ42" i="53"/>
  <c r="CZ42" i="53" a="1"/>
  <c r="AC43" i="53"/>
  <c r="AJ43" i="53"/>
  <c r="CZ43" i="53" a="1"/>
  <c r="AC44" i="53"/>
  <c r="AJ44" i="53"/>
  <c r="CZ44" i="53" a="1"/>
  <c r="AC45" i="53"/>
  <c r="AJ45" i="53"/>
  <c r="CZ45" i="53" a="1"/>
  <c r="AC46" i="53"/>
  <c r="AJ46" i="53"/>
  <c r="CZ46" i="53" a="1"/>
  <c r="AC47" i="53"/>
  <c r="AJ47" i="53"/>
  <c r="CZ47" i="53" a="1"/>
  <c r="AC48" i="53"/>
  <c r="AJ48" i="53"/>
  <c r="CZ48" i="53" a="1"/>
  <c r="AC49" i="53"/>
  <c r="AJ49" i="53"/>
  <c r="CZ49" i="53" a="1"/>
  <c r="AC50" i="53"/>
  <c r="AJ50" i="53"/>
  <c r="CZ50" i="53" a="1"/>
  <c r="AC51" i="53"/>
  <c r="AJ51" i="53"/>
  <c r="CZ51" i="53" a="1"/>
  <c r="AC52" i="53"/>
  <c r="AJ52" i="53"/>
  <c r="CZ52" i="53" a="1"/>
  <c r="AC53" i="53"/>
  <c r="AJ53" i="53"/>
  <c r="CZ53" i="53" a="1"/>
  <c r="AC54" i="53"/>
  <c r="AJ54" i="53"/>
  <c r="CZ54" i="53" a="1"/>
  <c r="AC55" i="53"/>
  <c r="AJ55" i="53"/>
  <c r="CZ55" i="53" a="1"/>
  <c r="AC56" i="53"/>
  <c r="AJ56" i="53"/>
  <c r="CZ56" i="53" a="1"/>
  <c r="AC57" i="53"/>
  <c r="AJ57" i="53"/>
  <c r="CZ57" i="53" a="1"/>
  <c r="AC58" i="53"/>
  <c r="AJ58" i="53"/>
  <c r="CZ58" i="53" a="1"/>
  <c r="AC59" i="53"/>
  <c r="AJ59" i="53"/>
  <c r="CZ59" i="53" a="1"/>
  <c r="AC60" i="53"/>
  <c r="AJ60" i="53"/>
  <c r="CZ60" i="53" a="1"/>
  <c r="AC61" i="53"/>
  <c r="AJ61" i="53"/>
  <c r="CZ61" i="53" a="1"/>
  <c r="AC62" i="53"/>
  <c r="AJ62" i="53"/>
  <c r="CZ62" i="53" a="1"/>
  <c r="AC63" i="53"/>
  <c r="AJ63" i="53"/>
  <c r="CZ63" i="53" a="1"/>
  <c r="AC64" i="53"/>
  <c r="AJ64" i="53"/>
  <c r="CZ64" i="53" a="1"/>
  <c r="CZ32" i="53"/>
  <c r="CZ33" i="53"/>
  <c r="CZ34" i="53"/>
  <c r="CZ35" i="53"/>
  <c r="CZ36" i="53"/>
  <c r="CZ37" i="53"/>
  <c r="CZ38" i="53"/>
  <c r="CZ39" i="53"/>
  <c r="CZ40" i="53"/>
  <c r="CZ41" i="53"/>
  <c r="CZ42" i="53"/>
  <c r="CZ43" i="53"/>
  <c r="CZ44" i="53"/>
  <c r="CZ45" i="53"/>
  <c r="CZ46" i="53"/>
  <c r="CZ47" i="53"/>
  <c r="CZ48" i="53"/>
  <c r="CZ49" i="53"/>
  <c r="CZ50" i="53"/>
  <c r="CZ51" i="53"/>
  <c r="CZ52" i="53"/>
  <c r="CZ53" i="53"/>
  <c r="CZ54" i="53"/>
  <c r="CZ55" i="53"/>
  <c r="CZ56" i="53"/>
  <c r="CZ57" i="53"/>
  <c r="CZ58" i="53"/>
  <c r="CZ59" i="53"/>
  <c r="CZ60" i="53"/>
  <c r="CZ61" i="53"/>
  <c r="CZ62" i="53"/>
  <c r="CZ63" i="53"/>
  <c r="CZ64" i="53"/>
  <c r="CZ68" i="53"/>
  <c r="DN27" i="53"/>
  <c r="AD30" i="53"/>
  <c r="AK30" i="53"/>
  <c r="DN30" i="53" a="1"/>
  <c r="DN30" i="53"/>
  <c r="AD31" i="53"/>
  <c r="AK31" i="53"/>
  <c r="DN31" i="53" a="1"/>
  <c r="DN31" i="53"/>
  <c r="AD32" i="53"/>
  <c r="AK32" i="53"/>
  <c r="DN32" i="53" a="1"/>
  <c r="AD33" i="53"/>
  <c r="AK33" i="53"/>
  <c r="DN33" i="53" a="1"/>
  <c r="AD34" i="53"/>
  <c r="AK34" i="53"/>
  <c r="DN34" i="53" a="1"/>
  <c r="AD35" i="53"/>
  <c r="AK35" i="53"/>
  <c r="DN35" i="53" a="1"/>
  <c r="AD36" i="53"/>
  <c r="AK36" i="53"/>
  <c r="DN36" i="53" a="1"/>
  <c r="AD37" i="53"/>
  <c r="AK37" i="53"/>
  <c r="DN37" i="53" a="1"/>
  <c r="AD38" i="53"/>
  <c r="AK38" i="53"/>
  <c r="DN38" i="53" a="1"/>
  <c r="AD39" i="53"/>
  <c r="AK39" i="53"/>
  <c r="DN39" i="53" a="1"/>
  <c r="AD40" i="53"/>
  <c r="AK40" i="53"/>
  <c r="DN40" i="53" a="1"/>
  <c r="AD41" i="53"/>
  <c r="AK41" i="53"/>
  <c r="DN41" i="53" a="1"/>
  <c r="AD42" i="53"/>
  <c r="AK42" i="53"/>
  <c r="DN42" i="53" a="1"/>
  <c r="AD43" i="53"/>
  <c r="AK43" i="53"/>
  <c r="DN43" i="53" a="1"/>
  <c r="AD44" i="53"/>
  <c r="AK44" i="53"/>
  <c r="DN44" i="53" a="1"/>
  <c r="AD45" i="53"/>
  <c r="AK45" i="53"/>
  <c r="DN45" i="53" a="1"/>
  <c r="AD46" i="53"/>
  <c r="AK46" i="53"/>
  <c r="DN46" i="53" a="1"/>
  <c r="AD47" i="53"/>
  <c r="AK47" i="53"/>
  <c r="DN47" i="53" a="1"/>
  <c r="AD48" i="53"/>
  <c r="AK48" i="53"/>
  <c r="DN48" i="53" a="1"/>
  <c r="AD49" i="53"/>
  <c r="AK49" i="53"/>
  <c r="DN49" i="53" a="1"/>
  <c r="AD50" i="53"/>
  <c r="AK50" i="53"/>
  <c r="DN50" i="53" a="1"/>
  <c r="AD51" i="53"/>
  <c r="AK51" i="53"/>
  <c r="DN51" i="53" a="1"/>
  <c r="AD52" i="53"/>
  <c r="AK52" i="53"/>
  <c r="DN52" i="53" a="1"/>
  <c r="AD53" i="53"/>
  <c r="AK53" i="53"/>
  <c r="DN53" i="53" a="1"/>
  <c r="AD54" i="53"/>
  <c r="AK54" i="53"/>
  <c r="DN54" i="53" a="1"/>
  <c r="AD55" i="53"/>
  <c r="AK55" i="53"/>
  <c r="DN55" i="53" a="1"/>
  <c r="AD56" i="53"/>
  <c r="AK56" i="53"/>
  <c r="DN56" i="53" a="1"/>
  <c r="AD57" i="53"/>
  <c r="AK57" i="53"/>
  <c r="DN57" i="53" a="1"/>
  <c r="AD58" i="53"/>
  <c r="AK58" i="53"/>
  <c r="DN58" i="53" a="1"/>
  <c r="AD59" i="53"/>
  <c r="AK59" i="53"/>
  <c r="DN59" i="53" a="1"/>
  <c r="AD60" i="53"/>
  <c r="AK60" i="53"/>
  <c r="DN60" i="53" a="1"/>
  <c r="AD61" i="53"/>
  <c r="AK61" i="53"/>
  <c r="DN61" i="53" a="1"/>
  <c r="AD62" i="53"/>
  <c r="AK62" i="53"/>
  <c r="DN62" i="53" a="1"/>
  <c r="AD63" i="53"/>
  <c r="AK63" i="53"/>
  <c r="DN63" i="53" a="1"/>
  <c r="AD64" i="53"/>
  <c r="AK64" i="53"/>
  <c r="DN64" i="53" a="1"/>
  <c r="DN32" i="53"/>
  <c r="DN33" i="53"/>
  <c r="DN34" i="53"/>
  <c r="DN35" i="53"/>
  <c r="DN36" i="53"/>
  <c r="DN37" i="53"/>
  <c r="DN38" i="53"/>
  <c r="DN39" i="53"/>
  <c r="DN40" i="53"/>
  <c r="DN41" i="53"/>
  <c r="DN42" i="53"/>
  <c r="DN43" i="53"/>
  <c r="DN44" i="53"/>
  <c r="DN45" i="53"/>
  <c r="DN46" i="53"/>
  <c r="DN47" i="53"/>
  <c r="DN48" i="53"/>
  <c r="DN49" i="53"/>
  <c r="DN50" i="53"/>
  <c r="DN51" i="53"/>
  <c r="DN52" i="53"/>
  <c r="DN53" i="53"/>
  <c r="DN54" i="53"/>
  <c r="DN55" i="53"/>
  <c r="DN56" i="53"/>
  <c r="DN57" i="53"/>
  <c r="DN58" i="53"/>
  <c r="DN59" i="53"/>
  <c r="DN60" i="53"/>
  <c r="DN61" i="53"/>
  <c r="DN62" i="53"/>
  <c r="DN63" i="53"/>
  <c r="DN64" i="53"/>
  <c r="DN68" i="53"/>
  <c r="BZ71" i="53"/>
  <c r="BY27" i="53"/>
  <c r="BY30" i="53" a="1"/>
  <c r="BY30" i="53"/>
  <c r="BY31" i="53" a="1"/>
  <c r="BY31" i="53"/>
  <c r="BY32" i="53" a="1"/>
  <c r="BY33" i="53" a="1"/>
  <c r="BY34" i="53" a="1"/>
  <c r="BY35" i="53" a="1"/>
  <c r="BY36" i="53" a="1"/>
  <c r="BY37" i="53" a="1"/>
  <c r="BY38" i="53" a="1"/>
  <c r="BY39" i="53" a="1"/>
  <c r="BY40" i="53" a="1"/>
  <c r="BY41" i="53" a="1"/>
  <c r="BY42" i="53" a="1"/>
  <c r="BY43" i="53" a="1"/>
  <c r="BY44" i="53" a="1"/>
  <c r="BY45" i="53" a="1"/>
  <c r="BY46" i="53" a="1"/>
  <c r="BY47" i="53" a="1"/>
  <c r="BY48" i="53" a="1"/>
  <c r="BY49" i="53" a="1"/>
  <c r="BY50" i="53" a="1"/>
  <c r="BY51" i="53" a="1"/>
  <c r="BY52" i="53" a="1"/>
  <c r="BY53" i="53" a="1"/>
  <c r="BY54" i="53" a="1"/>
  <c r="BY55" i="53" a="1"/>
  <c r="BY56" i="53" a="1"/>
  <c r="BY57" i="53" a="1"/>
  <c r="BY58" i="53" a="1"/>
  <c r="BY59" i="53" a="1"/>
  <c r="BY60" i="53" a="1"/>
  <c r="BY61" i="53" a="1"/>
  <c r="BY62" i="53" a="1"/>
  <c r="BY63" i="53" a="1"/>
  <c r="BY64" i="53" a="1"/>
  <c r="BY32" i="53"/>
  <c r="BY33" i="53"/>
  <c r="BY34" i="53"/>
  <c r="BY35" i="53"/>
  <c r="BY36" i="53"/>
  <c r="BY37" i="53"/>
  <c r="BY38" i="53"/>
  <c r="BY39" i="53"/>
  <c r="BY40" i="53"/>
  <c r="BY41" i="53"/>
  <c r="BY42" i="53"/>
  <c r="BY43" i="53"/>
  <c r="BY44" i="53"/>
  <c r="BY45" i="53"/>
  <c r="BY46" i="53"/>
  <c r="BY47" i="53"/>
  <c r="BY48" i="53"/>
  <c r="BY49" i="53"/>
  <c r="BY50" i="53"/>
  <c r="BY51" i="53"/>
  <c r="BY52" i="53"/>
  <c r="BY53" i="53"/>
  <c r="BY54" i="53"/>
  <c r="BY55" i="53"/>
  <c r="BY56" i="53"/>
  <c r="BY57" i="53"/>
  <c r="BY58" i="53"/>
  <c r="BY59" i="53"/>
  <c r="BY60" i="53"/>
  <c r="BY61" i="53"/>
  <c r="BY62" i="53"/>
  <c r="BY63" i="53"/>
  <c r="BY64" i="53"/>
  <c r="BY68" i="53"/>
  <c r="CM27" i="53"/>
  <c r="CM30" i="53" a="1"/>
  <c r="CM30" i="53"/>
  <c r="CM31" i="53" a="1"/>
  <c r="CM31" i="53"/>
  <c r="CM32" i="53" a="1"/>
  <c r="CM33" i="53" a="1"/>
  <c r="CM34" i="53" a="1"/>
  <c r="CM35" i="53" a="1"/>
  <c r="CM36" i="53" a="1"/>
  <c r="CM37" i="53" a="1"/>
  <c r="CM38" i="53" a="1"/>
  <c r="CM39" i="53" a="1"/>
  <c r="CM40" i="53" a="1"/>
  <c r="CM41" i="53" a="1"/>
  <c r="CM42" i="53" a="1"/>
  <c r="CM43" i="53" a="1"/>
  <c r="CM44" i="53" a="1"/>
  <c r="CM45" i="53" a="1"/>
  <c r="CM46" i="53" a="1"/>
  <c r="CM47" i="53" a="1"/>
  <c r="CM48" i="53" a="1"/>
  <c r="CM49" i="53" a="1"/>
  <c r="CM50" i="53" a="1"/>
  <c r="CM51" i="53" a="1"/>
  <c r="CM52" i="53" a="1"/>
  <c r="CM53" i="53" a="1"/>
  <c r="CM54" i="53" a="1"/>
  <c r="CM55" i="53" a="1"/>
  <c r="CM56" i="53" a="1"/>
  <c r="CM57" i="53" a="1"/>
  <c r="CM58" i="53" a="1"/>
  <c r="CM59" i="53" a="1"/>
  <c r="CM60" i="53" a="1"/>
  <c r="CM61" i="53" a="1"/>
  <c r="CM62" i="53" a="1"/>
  <c r="CM63" i="53" a="1"/>
  <c r="CM64" i="53" a="1"/>
  <c r="CM32" i="53"/>
  <c r="CM33" i="53"/>
  <c r="CM34" i="53"/>
  <c r="CM35" i="53"/>
  <c r="CM36" i="53"/>
  <c r="CM37" i="53"/>
  <c r="CM38" i="53"/>
  <c r="CM39" i="53"/>
  <c r="CM40" i="53"/>
  <c r="CM41" i="53"/>
  <c r="CM42" i="53"/>
  <c r="CM43" i="53"/>
  <c r="CM44" i="53"/>
  <c r="CM45" i="53"/>
  <c r="CM46" i="53"/>
  <c r="CM47" i="53"/>
  <c r="CM48" i="53"/>
  <c r="CM49" i="53"/>
  <c r="CM50" i="53"/>
  <c r="CM51" i="53"/>
  <c r="CM52" i="53"/>
  <c r="CM53" i="53"/>
  <c r="CM54" i="53"/>
  <c r="CM55" i="53"/>
  <c r="CM56" i="53"/>
  <c r="CM57" i="53"/>
  <c r="CM58" i="53"/>
  <c r="CM59" i="53"/>
  <c r="CM60" i="53"/>
  <c r="CM61" i="53"/>
  <c r="CM62" i="53"/>
  <c r="CM63" i="53"/>
  <c r="CM64" i="53"/>
  <c r="CM68" i="53"/>
  <c r="CY30" i="53" a="1"/>
  <c r="CY30" i="53"/>
  <c r="CY31" i="53" a="1"/>
  <c r="CY31" i="53"/>
  <c r="CY32" i="53" a="1"/>
  <c r="CY33" i="53" a="1"/>
  <c r="CY34" i="53" a="1"/>
  <c r="CY35" i="53" a="1"/>
  <c r="CY36" i="53" a="1"/>
  <c r="CY37" i="53" a="1"/>
  <c r="CY38" i="53" a="1"/>
  <c r="CY39" i="53" a="1"/>
  <c r="CY40" i="53" a="1"/>
  <c r="CY41" i="53" a="1"/>
  <c r="CY42" i="53" a="1"/>
  <c r="CY43" i="53" a="1"/>
  <c r="CY44" i="53" a="1"/>
  <c r="CY45" i="53" a="1"/>
  <c r="CY46" i="53" a="1"/>
  <c r="CY47" i="53" a="1"/>
  <c r="CY48" i="53" a="1"/>
  <c r="CY49" i="53" a="1"/>
  <c r="CY50" i="53" a="1"/>
  <c r="CY51" i="53" a="1"/>
  <c r="CY52" i="53" a="1"/>
  <c r="CY53" i="53" a="1"/>
  <c r="CY54" i="53" a="1"/>
  <c r="CY55" i="53" a="1"/>
  <c r="CY56" i="53" a="1"/>
  <c r="CY57" i="53" a="1"/>
  <c r="CY58" i="53" a="1"/>
  <c r="CY59" i="53" a="1"/>
  <c r="CY60" i="53" a="1"/>
  <c r="CY61" i="53" a="1"/>
  <c r="CY62" i="53" a="1"/>
  <c r="CY63" i="53" a="1"/>
  <c r="CY64" i="53" a="1"/>
  <c r="CY32" i="53"/>
  <c r="CY33" i="53"/>
  <c r="CY34" i="53"/>
  <c r="CY35" i="53"/>
  <c r="CY36" i="53"/>
  <c r="CY37" i="53"/>
  <c r="CY38" i="53"/>
  <c r="CY39" i="53"/>
  <c r="CY40" i="53"/>
  <c r="CY41" i="53"/>
  <c r="CY42" i="53"/>
  <c r="CY43" i="53"/>
  <c r="CY44" i="53"/>
  <c r="CY45" i="53"/>
  <c r="CY46" i="53"/>
  <c r="CY47" i="53"/>
  <c r="CY48" i="53"/>
  <c r="CY49" i="53"/>
  <c r="CY50" i="53"/>
  <c r="CY51" i="53"/>
  <c r="CY52" i="53"/>
  <c r="CY53" i="53"/>
  <c r="CY54" i="53"/>
  <c r="CY55" i="53"/>
  <c r="CY56" i="53"/>
  <c r="CY57" i="53"/>
  <c r="CY58" i="53"/>
  <c r="CY59" i="53"/>
  <c r="CY60" i="53"/>
  <c r="CY61" i="53"/>
  <c r="CY62" i="53"/>
  <c r="CY63" i="53"/>
  <c r="CY64" i="53"/>
  <c r="CY68" i="53"/>
  <c r="DM30" i="53" a="1"/>
  <c r="DM30" i="53"/>
  <c r="DM31" i="53" a="1"/>
  <c r="DM31" i="53"/>
  <c r="DM32" i="53" a="1"/>
  <c r="DM33" i="53" a="1"/>
  <c r="DM34" i="53" a="1"/>
  <c r="DM35" i="53" a="1"/>
  <c r="DM36" i="53" a="1"/>
  <c r="DM37" i="53" a="1"/>
  <c r="DM38" i="53" a="1"/>
  <c r="DM39" i="53" a="1"/>
  <c r="DM40" i="53" a="1"/>
  <c r="DM41" i="53" a="1"/>
  <c r="DM42" i="53" a="1"/>
  <c r="DM43" i="53" a="1"/>
  <c r="DM44" i="53" a="1"/>
  <c r="DM45" i="53" a="1"/>
  <c r="DM46" i="53" a="1"/>
  <c r="DM47" i="53" a="1"/>
  <c r="DM48" i="53" a="1"/>
  <c r="DM49" i="53" a="1"/>
  <c r="DM50" i="53" a="1"/>
  <c r="DM51" i="53" a="1"/>
  <c r="DM52" i="53" a="1"/>
  <c r="DM53" i="53" a="1"/>
  <c r="DM54" i="53" a="1"/>
  <c r="DM55" i="53" a="1"/>
  <c r="DM56" i="53" a="1"/>
  <c r="DM57" i="53" a="1"/>
  <c r="DM58" i="53" a="1"/>
  <c r="DM59" i="53" a="1"/>
  <c r="DM60" i="53" a="1"/>
  <c r="DM61" i="53" a="1"/>
  <c r="DM62" i="53" a="1"/>
  <c r="DM63" i="53" a="1"/>
  <c r="DM64" i="53" a="1"/>
  <c r="DM32" i="53"/>
  <c r="DM33" i="53"/>
  <c r="DM34" i="53"/>
  <c r="DM35" i="53"/>
  <c r="DM36" i="53"/>
  <c r="DM37" i="53"/>
  <c r="DM38" i="53"/>
  <c r="DM39" i="53"/>
  <c r="DM40" i="53"/>
  <c r="DM41" i="53"/>
  <c r="DM42" i="53"/>
  <c r="DM43" i="53"/>
  <c r="DM44" i="53"/>
  <c r="DM45" i="53"/>
  <c r="DM46" i="53"/>
  <c r="DM47" i="53"/>
  <c r="DM48" i="53"/>
  <c r="DM49" i="53"/>
  <c r="DM50" i="53"/>
  <c r="DM51" i="53"/>
  <c r="DM52" i="53"/>
  <c r="DM53" i="53"/>
  <c r="DM54" i="53"/>
  <c r="DM55" i="53"/>
  <c r="DM56" i="53"/>
  <c r="DM57" i="53"/>
  <c r="DM58" i="53"/>
  <c r="DM59" i="53"/>
  <c r="DM60" i="53"/>
  <c r="DM61" i="53"/>
  <c r="DM62" i="53"/>
  <c r="DM63" i="53"/>
  <c r="DM64" i="53"/>
  <c r="DM68" i="53"/>
  <c r="BY71" i="53"/>
  <c r="BX27" i="53"/>
  <c r="BX30" i="53" a="1"/>
  <c r="BX30" i="53"/>
  <c r="BX31" i="53" a="1"/>
  <c r="BX31" i="53"/>
  <c r="BX32" i="53" a="1"/>
  <c r="BX33" i="53" a="1"/>
  <c r="BX34" i="53" a="1"/>
  <c r="BX35" i="53" a="1"/>
  <c r="BX36" i="53" a="1"/>
  <c r="BX37" i="53" a="1"/>
  <c r="BX38" i="53" a="1"/>
  <c r="BX39" i="53" a="1"/>
  <c r="BX40" i="53" a="1"/>
  <c r="BX41" i="53" a="1"/>
  <c r="BX42" i="53" a="1"/>
  <c r="BX43" i="53" a="1"/>
  <c r="BX44" i="53" a="1"/>
  <c r="BX45" i="53" a="1"/>
  <c r="BX46" i="53" a="1"/>
  <c r="BX47" i="53" a="1"/>
  <c r="BX48" i="53" a="1"/>
  <c r="BX49" i="53" a="1"/>
  <c r="BX50" i="53" a="1"/>
  <c r="BX51" i="53" a="1"/>
  <c r="BX52" i="53" a="1"/>
  <c r="BX53" i="53" a="1"/>
  <c r="BX54" i="53" a="1"/>
  <c r="BX55" i="53" a="1"/>
  <c r="BX56" i="53" a="1"/>
  <c r="BX57" i="53" a="1"/>
  <c r="BX58" i="53" a="1"/>
  <c r="BX59" i="53" a="1"/>
  <c r="BX60" i="53" a="1"/>
  <c r="BX61" i="53" a="1"/>
  <c r="BX62" i="53" a="1"/>
  <c r="BX63" i="53" a="1"/>
  <c r="BX64" i="53" a="1"/>
  <c r="BX32" i="53"/>
  <c r="BX33" i="53"/>
  <c r="BX34" i="53"/>
  <c r="BX35" i="53"/>
  <c r="BX36" i="53"/>
  <c r="BX37" i="53"/>
  <c r="BX38" i="53"/>
  <c r="BX39" i="53"/>
  <c r="BX40" i="53"/>
  <c r="BX41" i="53"/>
  <c r="BX42" i="53"/>
  <c r="BX43" i="53"/>
  <c r="BX44" i="53"/>
  <c r="BX45" i="53"/>
  <c r="BX46" i="53"/>
  <c r="BX47" i="53"/>
  <c r="BX48" i="53"/>
  <c r="BX49" i="53"/>
  <c r="BX50" i="53"/>
  <c r="BX51" i="53"/>
  <c r="BX52" i="53"/>
  <c r="BX53" i="53"/>
  <c r="BX54" i="53"/>
  <c r="BX55" i="53"/>
  <c r="BX56" i="53"/>
  <c r="BX57" i="53"/>
  <c r="BX58" i="53"/>
  <c r="BX59" i="53"/>
  <c r="BX60" i="53"/>
  <c r="BX61" i="53"/>
  <c r="BX62" i="53"/>
  <c r="BX63" i="53"/>
  <c r="BX64" i="53"/>
  <c r="BX68" i="53"/>
  <c r="CX30" i="53" a="1"/>
  <c r="CX30" i="53"/>
  <c r="CX31" i="53" a="1"/>
  <c r="CX31" i="53"/>
  <c r="CX32" i="53" a="1"/>
  <c r="CX33" i="53" a="1"/>
  <c r="CX34" i="53" a="1"/>
  <c r="CX35" i="53" a="1"/>
  <c r="CX36" i="53" a="1"/>
  <c r="CX37" i="53" a="1"/>
  <c r="CX38" i="53" a="1"/>
  <c r="CX39" i="53" a="1"/>
  <c r="CX40" i="53" a="1"/>
  <c r="CX41" i="53" a="1"/>
  <c r="CX42" i="53" a="1"/>
  <c r="CX43" i="53" a="1"/>
  <c r="CX44" i="53" a="1"/>
  <c r="CX45" i="53" a="1"/>
  <c r="CX46" i="53" a="1"/>
  <c r="CX47" i="53" a="1"/>
  <c r="CX48" i="53" a="1"/>
  <c r="CX49" i="53" a="1"/>
  <c r="CX50" i="53" a="1"/>
  <c r="CX51" i="53" a="1"/>
  <c r="CX52" i="53" a="1"/>
  <c r="CX53" i="53" a="1"/>
  <c r="CX54" i="53" a="1"/>
  <c r="CX55" i="53" a="1"/>
  <c r="CX56" i="53" a="1"/>
  <c r="CX57" i="53" a="1"/>
  <c r="CX58" i="53" a="1"/>
  <c r="CX59" i="53" a="1"/>
  <c r="CX60" i="53" a="1"/>
  <c r="CX61" i="53" a="1"/>
  <c r="CX62" i="53" a="1"/>
  <c r="CX63" i="53" a="1"/>
  <c r="CX64" i="53" a="1"/>
  <c r="CX32" i="53"/>
  <c r="CX33" i="53"/>
  <c r="CX34" i="53"/>
  <c r="CX35" i="53"/>
  <c r="CX36" i="53"/>
  <c r="CX37" i="53"/>
  <c r="CX38" i="53"/>
  <c r="CX39" i="53"/>
  <c r="CX40" i="53"/>
  <c r="CX41" i="53"/>
  <c r="CX42" i="53"/>
  <c r="CX43" i="53"/>
  <c r="CX44" i="53"/>
  <c r="CX45" i="53"/>
  <c r="CX46" i="53"/>
  <c r="CX47" i="53"/>
  <c r="CX48" i="53"/>
  <c r="CX49" i="53"/>
  <c r="CX50" i="53"/>
  <c r="CX51" i="53"/>
  <c r="CX52" i="53"/>
  <c r="CX53" i="53"/>
  <c r="CX54" i="53"/>
  <c r="CX55" i="53"/>
  <c r="CX56" i="53"/>
  <c r="CX57" i="53"/>
  <c r="CX58" i="53"/>
  <c r="CX59" i="53"/>
  <c r="CX60" i="53"/>
  <c r="CX61" i="53"/>
  <c r="CX62" i="53"/>
  <c r="CX63" i="53"/>
  <c r="CX64" i="53"/>
  <c r="CX68" i="53"/>
  <c r="DL30" i="53" a="1"/>
  <c r="DL30" i="53"/>
  <c r="DL31" i="53" a="1"/>
  <c r="DL31" i="53"/>
  <c r="DL32" i="53" a="1"/>
  <c r="DL33" i="53" a="1"/>
  <c r="DL34" i="53" a="1"/>
  <c r="DL35" i="53" a="1"/>
  <c r="DL36" i="53" a="1"/>
  <c r="DL37" i="53" a="1"/>
  <c r="DL38" i="53" a="1"/>
  <c r="DL39" i="53" a="1"/>
  <c r="DL40" i="53" a="1"/>
  <c r="DL41" i="53" a="1"/>
  <c r="DL42" i="53" a="1"/>
  <c r="DL43" i="53" a="1"/>
  <c r="DL44" i="53" a="1"/>
  <c r="DL45" i="53" a="1"/>
  <c r="DL46" i="53" a="1"/>
  <c r="DL47" i="53" a="1"/>
  <c r="DL48" i="53" a="1"/>
  <c r="DL49" i="53" a="1"/>
  <c r="DL50" i="53" a="1"/>
  <c r="DL51" i="53" a="1"/>
  <c r="DL52" i="53" a="1"/>
  <c r="DL53" i="53" a="1"/>
  <c r="DL54" i="53" a="1"/>
  <c r="DL55" i="53" a="1"/>
  <c r="DL56" i="53" a="1"/>
  <c r="DL57" i="53" a="1"/>
  <c r="DL58" i="53" a="1"/>
  <c r="DL59" i="53" a="1"/>
  <c r="DL60" i="53" a="1"/>
  <c r="DL61" i="53" a="1"/>
  <c r="DL62" i="53" a="1"/>
  <c r="DL63" i="53" a="1"/>
  <c r="DL64" i="53" a="1"/>
  <c r="DL32" i="53"/>
  <c r="DL33" i="53"/>
  <c r="DL34" i="53"/>
  <c r="DL35" i="53"/>
  <c r="DL36" i="53"/>
  <c r="DL37" i="53"/>
  <c r="DL38" i="53"/>
  <c r="DL39" i="53"/>
  <c r="DL40" i="53"/>
  <c r="DL41" i="53"/>
  <c r="DL42" i="53"/>
  <c r="DL43" i="53"/>
  <c r="DL44" i="53"/>
  <c r="DL45" i="53"/>
  <c r="DL46" i="53"/>
  <c r="DL47" i="53"/>
  <c r="DL48" i="53"/>
  <c r="DL49" i="53"/>
  <c r="DL50" i="53"/>
  <c r="DL51" i="53"/>
  <c r="DL52" i="53"/>
  <c r="DL53" i="53"/>
  <c r="DL54" i="53"/>
  <c r="DL55" i="53"/>
  <c r="DL56" i="53"/>
  <c r="DL57" i="53"/>
  <c r="DL58" i="53"/>
  <c r="DL59" i="53"/>
  <c r="DL60" i="53"/>
  <c r="DL61" i="53"/>
  <c r="DL62" i="53"/>
  <c r="DL63" i="53"/>
  <c r="DL64" i="53"/>
  <c r="DL68" i="53"/>
  <c r="BX71" i="53"/>
  <c r="BW27" i="53"/>
  <c r="BW30" i="53" a="1"/>
  <c r="BW30" i="53"/>
  <c r="BW31" i="53" a="1"/>
  <c r="BW31" i="53"/>
  <c r="BW32" i="53" a="1"/>
  <c r="BW33" i="53" a="1"/>
  <c r="BW34" i="53" a="1"/>
  <c r="BW35" i="53" a="1"/>
  <c r="BW36" i="53" a="1"/>
  <c r="BW37" i="53" a="1"/>
  <c r="BW38" i="53" a="1"/>
  <c r="BW39" i="53" a="1"/>
  <c r="BW40" i="53" a="1"/>
  <c r="BW41" i="53" a="1"/>
  <c r="BW42" i="53" a="1"/>
  <c r="BW43" i="53" a="1"/>
  <c r="BW44" i="53" a="1"/>
  <c r="BW45" i="53" a="1"/>
  <c r="BW46" i="53" a="1"/>
  <c r="BW47" i="53" a="1"/>
  <c r="BW48" i="53" a="1"/>
  <c r="BW49" i="53" a="1"/>
  <c r="BW50" i="53" a="1"/>
  <c r="BW51" i="53" a="1"/>
  <c r="BW52" i="53" a="1"/>
  <c r="BW53" i="53" a="1"/>
  <c r="BW54" i="53" a="1"/>
  <c r="BW55" i="53" a="1"/>
  <c r="BW56" i="53" a="1"/>
  <c r="BW57" i="53" a="1"/>
  <c r="BW58" i="53" a="1"/>
  <c r="BW59" i="53" a="1"/>
  <c r="BW60" i="53" a="1"/>
  <c r="BW61" i="53" a="1"/>
  <c r="BW62" i="53" a="1"/>
  <c r="BW63" i="53" a="1"/>
  <c r="BW64" i="53" a="1"/>
  <c r="BW32" i="53"/>
  <c r="BW33" i="53"/>
  <c r="BW34" i="53"/>
  <c r="BW35" i="53"/>
  <c r="BW36" i="53"/>
  <c r="BW37" i="53"/>
  <c r="BW38" i="53"/>
  <c r="BW39" i="53"/>
  <c r="BW40" i="53"/>
  <c r="BW41" i="53"/>
  <c r="BW42" i="53"/>
  <c r="BW43" i="53"/>
  <c r="BW44" i="53"/>
  <c r="BW45" i="53"/>
  <c r="BW46" i="53"/>
  <c r="BW47" i="53"/>
  <c r="BW48" i="53"/>
  <c r="BW49" i="53"/>
  <c r="BW50" i="53"/>
  <c r="BW51" i="53"/>
  <c r="BW52" i="53"/>
  <c r="BW53" i="53"/>
  <c r="BW54" i="53"/>
  <c r="BW55" i="53"/>
  <c r="BW56" i="53"/>
  <c r="BW57" i="53"/>
  <c r="BW58" i="53"/>
  <c r="BW59" i="53"/>
  <c r="BW60" i="53"/>
  <c r="BW61" i="53"/>
  <c r="BW62" i="53"/>
  <c r="BW63" i="53"/>
  <c r="BW64" i="53"/>
  <c r="BW68" i="53"/>
  <c r="CK27" i="53"/>
  <c r="CK30" i="53" a="1"/>
  <c r="CK30" i="53"/>
  <c r="CK31" i="53" a="1"/>
  <c r="CK31" i="53"/>
  <c r="CK32" i="53" a="1"/>
  <c r="CK33" i="53" a="1"/>
  <c r="CK34" i="53" a="1"/>
  <c r="CK35" i="53" a="1"/>
  <c r="CK36" i="53" a="1"/>
  <c r="CK37" i="53" a="1"/>
  <c r="CK38" i="53" a="1"/>
  <c r="CK39" i="53" a="1"/>
  <c r="CK40" i="53" a="1"/>
  <c r="CK41" i="53" a="1"/>
  <c r="CK42" i="53" a="1"/>
  <c r="CK43" i="53" a="1"/>
  <c r="CK44" i="53" a="1"/>
  <c r="CK45" i="53" a="1"/>
  <c r="CK46" i="53" a="1"/>
  <c r="CK47" i="53" a="1"/>
  <c r="CK48" i="53" a="1"/>
  <c r="CK49" i="53" a="1"/>
  <c r="CK50" i="53" a="1"/>
  <c r="CK51" i="53" a="1"/>
  <c r="CK52" i="53" a="1"/>
  <c r="CK53" i="53" a="1"/>
  <c r="CK54" i="53" a="1"/>
  <c r="CK55" i="53" a="1"/>
  <c r="CK56" i="53" a="1"/>
  <c r="CK57" i="53" a="1"/>
  <c r="CK58" i="53" a="1"/>
  <c r="CK59" i="53" a="1"/>
  <c r="CK60" i="53" a="1"/>
  <c r="CK61" i="53" a="1"/>
  <c r="CK62" i="53" a="1"/>
  <c r="CK63" i="53" a="1"/>
  <c r="CK64" i="53" a="1"/>
  <c r="CK32" i="53"/>
  <c r="CK33" i="53"/>
  <c r="CK34" i="53"/>
  <c r="CK35" i="53"/>
  <c r="CK36" i="53"/>
  <c r="CK37" i="53"/>
  <c r="CK38" i="53"/>
  <c r="CK39" i="53"/>
  <c r="CK40" i="53"/>
  <c r="CK41" i="53"/>
  <c r="CK42" i="53"/>
  <c r="CK43" i="53"/>
  <c r="CK44" i="53"/>
  <c r="CK45" i="53"/>
  <c r="CK46" i="53"/>
  <c r="CK47" i="53"/>
  <c r="CK48" i="53"/>
  <c r="CK49" i="53"/>
  <c r="CK50" i="53"/>
  <c r="CK51" i="53"/>
  <c r="CK52" i="53"/>
  <c r="CK53" i="53"/>
  <c r="CK54" i="53"/>
  <c r="CK55" i="53"/>
  <c r="CK56" i="53"/>
  <c r="CK57" i="53"/>
  <c r="CK58" i="53"/>
  <c r="CK59" i="53"/>
  <c r="CK60" i="53"/>
  <c r="CK61" i="53"/>
  <c r="CK62" i="53"/>
  <c r="CK63" i="53"/>
  <c r="CK64" i="53"/>
  <c r="CK68" i="53"/>
  <c r="CW27" i="53"/>
  <c r="CW30" i="53" a="1"/>
  <c r="CW30" i="53"/>
  <c r="CW31" i="53" a="1"/>
  <c r="CW31" i="53"/>
  <c r="CW32" i="53" a="1"/>
  <c r="CW33" i="53" a="1"/>
  <c r="CW34" i="53" a="1"/>
  <c r="CW35" i="53" a="1"/>
  <c r="CW36" i="53" a="1"/>
  <c r="CW37" i="53" a="1"/>
  <c r="CW38" i="53" a="1"/>
  <c r="CW39" i="53" a="1"/>
  <c r="CW40" i="53" a="1"/>
  <c r="CW41" i="53" a="1"/>
  <c r="CW42" i="53" a="1"/>
  <c r="CW43" i="53" a="1"/>
  <c r="CW44" i="53" a="1"/>
  <c r="CW45" i="53" a="1"/>
  <c r="CW46" i="53" a="1"/>
  <c r="CW47" i="53" a="1"/>
  <c r="CW48" i="53" a="1"/>
  <c r="CW49" i="53" a="1"/>
  <c r="CW50" i="53" a="1"/>
  <c r="CW51" i="53" a="1"/>
  <c r="CW52" i="53" a="1"/>
  <c r="CW53" i="53" a="1"/>
  <c r="CW54" i="53" a="1"/>
  <c r="CW55" i="53" a="1"/>
  <c r="CW56" i="53" a="1"/>
  <c r="CW57" i="53" a="1"/>
  <c r="CW58" i="53" a="1"/>
  <c r="CW59" i="53" a="1"/>
  <c r="CW60" i="53" a="1"/>
  <c r="CW61" i="53" a="1"/>
  <c r="CW62" i="53" a="1"/>
  <c r="CW63" i="53" a="1"/>
  <c r="CW64" i="53" a="1"/>
  <c r="CW32" i="53"/>
  <c r="CW33" i="53"/>
  <c r="CW34" i="53"/>
  <c r="CW35" i="53"/>
  <c r="CW36" i="53"/>
  <c r="CW37" i="53"/>
  <c r="CW38" i="53"/>
  <c r="CW39" i="53"/>
  <c r="CW40" i="53"/>
  <c r="CW41" i="53"/>
  <c r="CW42" i="53"/>
  <c r="CW43" i="53"/>
  <c r="CW44" i="53"/>
  <c r="CW45" i="53"/>
  <c r="CW46" i="53"/>
  <c r="CW47" i="53"/>
  <c r="CW48" i="53"/>
  <c r="CW49" i="53"/>
  <c r="CW50" i="53"/>
  <c r="CW51" i="53"/>
  <c r="CW52" i="53"/>
  <c r="CW53" i="53"/>
  <c r="CW54" i="53"/>
  <c r="CW55" i="53"/>
  <c r="CW56" i="53"/>
  <c r="CW57" i="53"/>
  <c r="CW58" i="53"/>
  <c r="CW59" i="53"/>
  <c r="CW60" i="53"/>
  <c r="CW61" i="53"/>
  <c r="CW62" i="53"/>
  <c r="CW63" i="53"/>
  <c r="CW64" i="53"/>
  <c r="CW68" i="53"/>
  <c r="DK27" i="53"/>
  <c r="DK30" i="53" a="1"/>
  <c r="DK30" i="53"/>
  <c r="DK31" i="53" a="1"/>
  <c r="DK31" i="53"/>
  <c r="DK32" i="53" a="1"/>
  <c r="DK33" i="53" a="1"/>
  <c r="DK34" i="53" a="1"/>
  <c r="DK35" i="53" a="1"/>
  <c r="DK36" i="53" a="1"/>
  <c r="DK37" i="53" a="1"/>
  <c r="DK38" i="53" a="1"/>
  <c r="DK39" i="53" a="1"/>
  <c r="DK40" i="53" a="1"/>
  <c r="DK41" i="53" a="1"/>
  <c r="DK42" i="53" a="1"/>
  <c r="DK43" i="53" a="1"/>
  <c r="DK44" i="53" a="1"/>
  <c r="DK45" i="53" a="1"/>
  <c r="DK46" i="53" a="1"/>
  <c r="DK47" i="53" a="1"/>
  <c r="DK48" i="53" a="1"/>
  <c r="DK49" i="53" a="1"/>
  <c r="DK50" i="53" a="1"/>
  <c r="DK51" i="53" a="1"/>
  <c r="DK52" i="53" a="1"/>
  <c r="DK53" i="53" a="1"/>
  <c r="DK54" i="53" a="1"/>
  <c r="DK55" i="53" a="1"/>
  <c r="DK56" i="53" a="1"/>
  <c r="DK57" i="53" a="1"/>
  <c r="DK58" i="53" a="1"/>
  <c r="DK59" i="53" a="1"/>
  <c r="DK60" i="53" a="1"/>
  <c r="DK61" i="53" a="1"/>
  <c r="DK62" i="53" a="1"/>
  <c r="DK63" i="53" a="1"/>
  <c r="DK64" i="53" a="1"/>
  <c r="DK32" i="53"/>
  <c r="DK33" i="53"/>
  <c r="DK34" i="53"/>
  <c r="DK35" i="53"/>
  <c r="DK36" i="53"/>
  <c r="DK37" i="53"/>
  <c r="DK38" i="53"/>
  <c r="DK39" i="53"/>
  <c r="DK40" i="53"/>
  <c r="DK41" i="53"/>
  <c r="DK42" i="53"/>
  <c r="DK43" i="53"/>
  <c r="DK44" i="53"/>
  <c r="DK45" i="53"/>
  <c r="DK46" i="53"/>
  <c r="DK47" i="53"/>
  <c r="DK48" i="53"/>
  <c r="DK49" i="53"/>
  <c r="DK50" i="53"/>
  <c r="DK51" i="53"/>
  <c r="DK52" i="53"/>
  <c r="DK53" i="53"/>
  <c r="DK54" i="53"/>
  <c r="DK55" i="53"/>
  <c r="DK56" i="53"/>
  <c r="DK57" i="53"/>
  <c r="DK58" i="53"/>
  <c r="DK59" i="53"/>
  <c r="DK60" i="53"/>
  <c r="DK61" i="53"/>
  <c r="DK62" i="53"/>
  <c r="DK63" i="53"/>
  <c r="DK64" i="53"/>
  <c r="DK68" i="53"/>
  <c r="BW71" i="53"/>
  <c r="BV27" i="53"/>
  <c r="BV30" i="53" a="1"/>
  <c r="BV30" i="53"/>
  <c r="BV31" i="53" a="1"/>
  <c r="BV31" i="53"/>
  <c r="BV32" i="53" a="1"/>
  <c r="BV33" i="53" a="1"/>
  <c r="BV34" i="53" a="1"/>
  <c r="BV35" i="53" a="1"/>
  <c r="BV36" i="53" a="1"/>
  <c r="BV37" i="53" a="1"/>
  <c r="BV38" i="53" a="1"/>
  <c r="BV39" i="53" a="1"/>
  <c r="BV40" i="53" a="1"/>
  <c r="BV41" i="53" a="1"/>
  <c r="BV42" i="53" a="1"/>
  <c r="BV43" i="53" a="1"/>
  <c r="BV44" i="53" a="1"/>
  <c r="BV45" i="53" a="1"/>
  <c r="BV46" i="53" a="1"/>
  <c r="BV47" i="53" a="1"/>
  <c r="BV48" i="53" a="1"/>
  <c r="BV49" i="53" a="1"/>
  <c r="BV50" i="53" a="1"/>
  <c r="BV51" i="53" a="1"/>
  <c r="BV52" i="53" a="1"/>
  <c r="BV53" i="53" a="1"/>
  <c r="BV54" i="53" a="1"/>
  <c r="BV55" i="53" a="1"/>
  <c r="BV56" i="53" a="1"/>
  <c r="BV57" i="53" a="1"/>
  <c r="BV58" i="53" a="1"/>
  <c r="BV59" i="53" a="1"/>
  <c r="BV60" i="53" a="1"/>
  <c r="BV61" i="53" a="1"/>
  <c r="BV62" i="53" a="1"/>
  <c r="BV63" i="53" a="1"/>
  <c r="BV64" i="53" a="1"/>
  <c r="BV32" i="53"/>
  <c r="BV33" i="53"/>
  <c r="BV34" i="53"/>
  <c r="BV35" i="53"/>
  <c r="BV36" i="53"/>
  <c r="BV37" i="53"/>
  <c r="BV38" i="53"/>
  <c r="BV39" i="53"/>
  <c r="BV40" i="53"/>
  <c r="BV41" i="53"/>
  <c r="BV42" i="53"/>
  <c r="BV43" i="53"/>
  <c r="BV44" i="53"/>
  <c r="BV45" i="53"/>
  <c r="BV46" i="53"/>
  <c r="BV47" i="53"/>
  <c r="BV48" i="53"/>
  <c r="BV49" i="53"/>
  <c r="BV50" i="53"/>
  <c r="BV51" i="53"/>
  <c r="BV52" i="53"/>
  <c r="BV53" i="53"/>
  <c r="BV54" i="53"/>
  <c r="BV55" i="53"/>
  <c r="BV56" i="53"/>
  <c r="BV57" i="53"/>
  <c r="BV58" i="53"/>
  <c r="BV59" i="53"/>
  <c r="BV60" i="53"/>
  <c r="BV61" i="53"/>
  <c r="BV62" i="53"/>
  <c r="BV63" i="53"/>
  <c r="BV64" i="53"/>
  <c r="BV68" i="53"/>
  <c r="CJ27" i="53"/>
  <c r="CJ30" i="53" a="1"/>
  <c r="CJ30" i="53"/>
  <c r="CJ31" i="53" a="1"/>
  <c r="CJ31" i="53"/>
  <c r="CJ32" i="53" a="1"/>
  <c r="CJ33" i="53" a="1"/>
  <c r="CJ34" i="53" a="1"/>
  <c r="CJ35" i="53" a="1"/>
  <c r="CJ36" i="53" a="1"/>
  <c r="CJ37" i="53" a="1"/>
  <c r="CJ38" i="53" a="1"/>
  <c r="CJ39" i="53" a="1"/>
  <c r="CJ40" i="53" a="1"/>
  <c r="CJ41" i="53" a="1"/>
  <c r="CJ42" i="53" a="1"/>
  <c r="CJ43" i="53" a="1"/>
  <c r="CJ44" i="53" a="1"/>
  <c r="CJ45" i="53" a="1"/>
  <c r="CJ46" i="53" a="1"/>
  <c r="CJ47" i="53" a="1"/>
  <c r="CJ48" i="53" a="1"/>
  <c r="CJ49" i="53" a="1"/>
  <c r="CJ50" i="53" a="1"/>
  <c r="CJ51" i="53" a="1"/>
  <c r="CJ52" i="53" a="1"/>
  <c r="CJ53" i="53" a="1"/>
  <c r="CJ54" i="53" a="1"/>
  <c r="CJ55" i="53" a="1"/>
  <c r="CJ56" i="53" a="1"/>
  <c r="CJ57" i="53" a="1"/>
  <c r="CJ58" i="53" a="1"/>
  <c r="CJ59" i="53" a="1"/>
  <c r="CJ60" i="53" a="1"/>
  <c r="CJ61" i="53" a="1"/>
  <c r="CJ62" i="53" a="1"/>
  <c r="CJ63" i="53" a="1"/>
  <c r="CJ64" i="53" a="1"/>
  <c r="CJ32" i="53"/>
  <c r="CJ33" i="53"/>
  <c r="CJ34" i="53"/>
  <c r="CJ35" i="53"/>
  <c r="CJ36" i="53"/>
  <c r="CJ37" i="53"/>
  <c r="CJ38" i="53"/>
  <c r="CJ39" i="53"/>
  <c r="CJ40" i="53"/>
  <c r="CJ41" i="53"/>
  <c r="CJ42" i="53"/>
  <c r="CJ43" i="53"/>
  <c r="CJ44" i="53"/>
  <c r="CJ45" i="53"/>
  <c r="CJ46" i="53"/>
  <c r="CJ47" i="53"/>
  <c r="CJ48" i="53"/>
  <c r="CJ49" i="53"/>
  <c r="CJ50" i="53"/>
  <c r="CJ51" i="53"/>
  <c r="CJ52" i="53"/>
  <c r="CJ53" i="53"/>
  <c r="CJ54" i="53"/>
  <c r="CJ55" i="53"/>
  <c r="CJ56" i="53"/>
  <c r="CJ57" i="53"/>
  <c r="CJ58" i="53"/>
  <c r="CJ59" i="53"/>
  <c r="CJ60" i="53"/>
  <c r="CJ61" i="53"/>
  <c r="CJ62" i="53"/>
  <c r="CJ63" i="53"/>
  <c r="CJ64" i="53"/>
  <c r="CJ68" i="53"/>
  <c r="CV27" i="53"/>
  <c r="CV30" i="53" a="1"/>
  <c r="CV30" i="53"/>
  <c r="CV31" i="53" a="1"/>
  <c r="CV31" i="53"/>
  <c r="CV32" i="53" a="1"/>
  <c r="CV33" i="53" a="1"/>
  <c r="CV34" i="53" a="1"/>
  <c r="CV35" i="53" a="1"/>
  <c r="CV36" i="53" a="1"/>
  <c r="CV37" i="53" a="1"/>
  <c r="CV38" i="53" a="1"/>
  <c r="CV39" i="53" a="1"/>
  <c r="CV40" i="53" a="1"/>
  <c r="CV41" i="53" a="1"/>
  <c r="CV42" i="53" a="1"/>
  <c r="CV43" i="53" a="1"/>
  <c r="CV44" i="53" a="1"/>
  <c r="CV45" i="53" a="1"/>
  <c r="CV46" i="53" a="1"/>
  <c r="CV47" i="53" a="1"/>
  <c r="CV48" i="53" a="1"/>
  <c r="CV49" i="53" a="1"/>
  <c r="CV50" i="53" a="1"/>
  <c r="CV51" i="53" a="1"/>
  <c r="CV52" i="53" a="1"/>
  <c r="CV53" i="53" a="1"/>
  <c r="CV54" i="53" a="1"/>
  <c r="CV55" i="53" a="1"/>
  <c r="CV56" i="53" a="1"/>
  <c r="CV57" i="53" a="1"/>
  <c r="CV58" i="53" a="1"/>
  <c r="CV59" i="53" a="1"/>
  <c r="CV60" i="53" a="1"/>
  <c r="CV61" i="53" a="1"/>
  <c r="CV62" i="53" a="1"/>
  <c r="CV63" i="53" a="1"/>
  <c r="CV64" i="53" a="1"/>
  <c r="CV32" i="53"/>
  <c r="CV33" i="53"/>
  <c r="CV34" i="53"/>
  <c r="CV35" i="53"/>
  <c r="CV36" i="53"/>
  <c r="CV37" i="53"/>
  <c r="CV38" i="53"/>
  <c r="CV39" i="53"/>
  <c r="CV40" i="53"/>
  <c r="CV41" i="53"/>
  <c r="CV42" i="53"/>
  <c r="CV43" i="53"/>
  <c r="CV44" i="53"/>
  <c r="CV45" i="53"/>
  <c r="CV46" i="53"/>
  <c r="CV47" i="53"/>
  <c r="CV48" i="53"/>
  <c r="CV49" i="53"/>
  <c r="CV50" i="53"/>
  <c r="CV51" i="53"/>
  <c r="CV52" i="53"/>
  <c r="CV53" i="53"/>
  <c r="CV54" i="53"/>
  <c r="CV55" i="53"/>
  <c r="CV56" i="53"/>
  <c r="CV57" i="53"/>
  <c r="CV58" i="53"/>
  <c r="CV59" i="53"/>
  <c r="CV60" i="53"/>
  <c r="CV61" i="53"/>
  <c r="CV62" i="53"/>
  <c r="CV63" i="53"/>
  <c r="CV64" i="53"/>
  <c r="CV68" i="53"/>
  <c r="DJ27" i="53"/>
  <c r="DJ30" i="53" a="1"/>
  <c r="DJ30" i="53"/>
  <c r="DJ31" i="53" a="1"/>
  <c r="DJ31" i="53"/>
  <c r="DJ32" i="53" a="1"/>
  <c r="DJ33" i="53" a="1"/>
  <c r="DJ34" i="53" a="1"/>
  <c r="DJ35" i="53" a="1"/>
  <c r="DJ36" i="53" a="1"/>
  <c r="DJ37" i="53" a="1"/>
  <c r="DJ38" i="53" a="1"/>
  <c r="DJ39" i="53" a="1"/>
  <c r="DJ40" i="53" a="1"/>
  <c r="DJ41" i="53" a="1"/>
  <c r="DJ42" i="53" a="1"/>
  <c r="DJ43" i="53" a="1"/>
  <c r="DJ44" i="53" a="1"/>
  <c r="DJ45" i="53" a="1"/>
  <c r="DJ46" i="53" a="1"/>
  <c r="DJ47" i="53" a="1"/>
  <c r="DJ48" i="53" a="1"/>
  <c r="DJ49" i="53" a="1"/>
  <c r="DJ50" i="53" a="1"/>
  <c r="DJ51" i="53" a="1"/>
  <c r="DJ52" i="53" a="1"/>
  <c r="DJ53" i="53" a="1"/>
  <c r="DJ54" i="53" a="1"/>
  <c r="DJ55" i="53" a="1"/>
  <c r="DJ56" i="53" a="1"/>
  <c r="DJ57" i="53" a="1"/>
  <c r="DJ58" i="53" a="1"/>
  <c r="DJ59" i="53" a="1"/>
  <c r="DJ60" i="53" a="1"/>
  <c r="DJ61" i="53" a="1"/>
  <c r="DJ62" i="53" a="1"/>
  <c r="DJ63" i="53" a="1"/>
  <c r="DJ64" i="53" a="1"/>
  <c r="DJ32" i="53"/>
  <c r="DJ33" i="53"/>
  <c r="DJ34" i="53"/>
  <c r="DJ35" i="53"/>
  <c r="DJ36" i="53"/>
  <c r="DJ37" i="53"/>
  <c r="DJ38" i="53"/>
  <c r="DJ39" i="53"/>
  <c r="DJ40" i="53"/>
  <c r="DJ41" i="53"/>
  <c r="DJ42" i="53"/>
  <c r="DJ43" i="53"/>
  <c r="DJ44" i="53"/>
  <c r="DJ45" i="53"/>
  <c r="DJ46" i="53"/>
  <c r="DJ47" i="53"/>
  <c r="DJ48" i="53"/>
  <c r="DJ49" i="53"/>
  <c r="DJ50" i="53"/>
  <c r="DJ51" i="53"/>
  <c r="DJ52" i="53"/>
  <c r="DJ53" i="53"/>
  <c r="DJ54" i="53"/>
  <c r="DJ55" i="53"/>
  <c r="DJ56" i="53"/>
  <c r="DJ57" i="53"/>
  <c r="DJ58" i="53"/>
  <c r="DJ59" i="53"/>
  <c r="DJ60" i="53"/>
  <c r="DJ61" i="53"/>
  <c r="DJ62" i="53"/>
  <c r="DJ63" i="53"/>
  <c r="DJ64" i="53"/>
  <c r="DJ68" i="53"/>
  <c r="BV71" i="53"/>
  <c r="BU27" i="53"/>
  <c r="BU30" i="53" a="1"/>
  <c r="BU30" i="53"/>
  <c r="BU31" i="53" a="1"/>
  <c r="BU31" i="53"/>
  <c r="BU32" i="53" a="1"/>
  <c r="BU33" i="53" a="1"/>
  <c r="BU34" i="53" a="1"/>
  <c r="BU35" i="53" a="1"/>
  <c r="BU36" i="53" a="1"/>
  <c r="BU37" i="53" a="1"/>
  <c r="BU38" i="53" a="1"/>
  <c r="BU39" i="53" a="1"/>
  <c r="BU40" i="53" a="1"/>
  <c r="BU41" i="53" a="1"/>
  <c r="BU42" i="53" a="1"/>
  <c r="BU43" i="53" a="1"/>
  <c r="BU44" i="53" a="1"/>
  <c r="BU45" i="53" a="1"/>
  <c r="BU46" i="53" a="1"/>
  <c r="BU47" i="53" a="1"/>
  <c r="BU48" i="53" a="1"/>
  <c r="BU49" i="53" a="1"/>
  <c r="BU50" i="53" a="1"/>
  <c r="BU51" i="53" a="1"/>
  <c r="BU52" i="53" a="1"/>
  <c r="BU53" i="53" a="1"/>
  <c r="BU54" i="53" a="1"/>
  <c r="BU55" i="53" a="1"/>
  <c r="BU56" i="53" a="1"/>
  <c r="BU57" i="53" a="1"/>
  <c r="BU58" i="53" a="1"/>
  <c r="BU59" i="53" a="1"/>
  <c r="BU60" i="53" a="1"/>
  <c r="BU61" i="53" a="1"/>
  <c r="BU62" i="53" a="1"/>
  <c r="BU63" i="53" a="1"/>
  <c r="BU64" i="53" a="1"/>
  <c r="BU32" i="53"/>
  <c r="BU33" i="53"/>
  <c r="BU34" i="53"/>
  <c r="BU35" i="53"/>
  <c r="BU36" i="53"/>
  <c r="BU37" i="53"/>
  <c r="BU38" i="53"/>
  <c r="BU39" i="53"/>
  <c r="BU40" i="53"/>
  <c r="BU41" i="53"/>
  <c r="BU42" i="53"/>
  <c r="BU43" i="53"/>
  <c r="BU44" i="53"/>
  <c r="BU45" i="53"/>
  <c r="BU46" i="53"/>
  <c r="BU47" i="53"/>
  <c r="BU48" i="53"/>
  <c r="BU49" i="53"/>
  <c r="BU50" i="53"/>
  <c r="BU51" i="53"/>
  <c r="BU52" i="53"/>
  <c r="BU53" i="53"/>
  <c r="BU54" i="53"/>
  <c r="BU55" i="53"/>
  <c r="BU56" i="53"/>
  <c r="BU57" i="53"/>
  <c r="BU58" i="53"/>
  <c r="BU59" i="53"/>
  <c r="BU60" i="53"/>
  <c r="BU61" i="53"/>
  <c r="BU62" i="53"/>
  <c r="BU63" i="53"/>
  <c r="BU64" i="53"/>
  <c r="BU68" i="53"/>
  <c r="CI27" i="53"/>
  <c r="CI30" i="53" a="1"/>
  <c r="CI30" i="53"/>
  <c r="CI31" i="53" a="1"/>
  <c r="CI31" i="53"/>
  <c r="CI32" i="53" a="1"/>
  <c r="CI33" i="53" a="1"/>
  <c r="CI34" i="53" a="1"/>
  <c r="CI35" i="53" a="1"/>
  <c r="CI36" i="53" a="1"/>
  <c r="CI37" i="53" a="1"/>
  <c r="CI38" i="53" a="1"/>
  <c r="CI39" i="53" a="1"/>
  <c r="CI40" i="53" a="1"/>
  <c r="CI41" i="53" a="1"/>
  <c r="CI42" i="53" a="1"/>
  <c r="CI43" i="53" a="1"/>
  <c r="CI44" i="53" a="1"/>
  <c r="CI45" i="53" a="1"/>
  <c r="CI46" i="53" a="1"/>
  <c r="CI47" i="53" a="1"/>
  <c r="CI48" i="53" a="1"/>
  <c r="CI49" i="53" a="1"/>
  <c r="CI50" i="53" a="1"/>
  <c r="CI51" i="53" a="1"/>
  <c r="CI52" i="53" a="1"/>
  <c r="CI53" i="53" a="1"/>
  <c r="CI54" i="53" a="1"/>
  <c r="CI55" i="53" a="1"/>
  <c r="CI56" i="53" a="1"/>
  <c r="CI57" i="53" a="1"/>
  <c r="CI58" i="53" a="1"/>
  <c r="CI59" i="53" a="1"/>
  <c r="CI60" i="53" a="1"/>
  <c r="CI61" i="53" a="1"/>
  <c r="CI62" i="53" a="1"/>
  <c r="CI63" i="53" a="1"/>
  <c r="CI64" i="53" a="1"/>
  <c r="CI32" i="53"/>
  <c r="CI33" i="53"/>
  <c r="CI34" i="53"/>
  <c r="CI35" i="53"/>
  <c r="CI36" i="53"/>
  <c r="CI37" i="53"/>
  <c r="CI38" i="53"/>
  <c r="CI39" i="53"/>
  <c r="CI40" i="53"/>
  <c r="CI41" i="53"/>
  <c r="CI42" i="53"/>
  <c r="CI43" i="53"/>
  <c r="CI44" i="53"/>
  <c r="CI45" i="53"/>
  <c r="CI46" i="53"/>
  <c r="CI47" i="53"/>
  <c r="CI48" i="53"/>
  <c r="CI49" i="53"/>
  <c r="CI50" i="53"/>
  <c r="CI51" i="53"/>
  <c r="CI52" i="53"/>
  <c r="CI53" i="53"/>
  <c r="CI54" i="53"/>
  <c r="CI55" i="53"/>
  <c r="CI56" i="53"/>
  <c r="CI57" i="53"/>
  <c r="CI58" i="53"/>
  <c r="CI59" i="53"/>
  <c r="CI60" i="53"/>
  <c r="CI61" i="53"/>
  <c r="CI62" i="53"/>
  <c r="CI63" i="53"/>
  <c r="CI64" i="53"/>
  <c r="CI68" i="53"/>
  <c r="CU27" i="53"/>
  <c r="CU30" i="53" a="1"/>
  <c r="CU30" i="53"/>
  <c r="CU31" i="53" a="1"/>
  <c r="CU31" i="53"/>
  <c r="CU32" i="53" a="1"/>
  <c r="CU33" i="53" a="1"/>
  <c r="CU34" i="53" a="1"/>
  <c r="CU35" i="53" a="1"/>
  <c r="CU36" i="53" a="1"/>
  <c r="CU37" i="53" a="1"/>
  <c r="CU38" i="53" a="1"/>
  <c r="CU39" i="53" a="1"/>
  <c r="CU40" i="53" a="1"/>
  <c r="CU41" i="53" a="1"/>
  <c r="CU42" i="53" a="1"/>
  <c r="CU43" i="53" a="1"/>
  <c r="CU44" i="53" a="1"/>
  <c r="CU45" i="53" a="1"/>
  <c r="CU46" i="53" a="1"/>
  <c r="CU47" i="53" a="1"/>
  <c r="CU48" i="53" a="1"/>
  <c r="CU49" i="53" a="1"/>
  <c r="CU50" i="53" a="1"/>
  <c r="CU51" i="53" a="1"/>
  <c r="CU52" i="53" a="1"/>
  <c r="CU53" i="53" a="1"/>
  <c r="CU54" i="53" a="1"/>
  <c r="CU55" i="53" a="1"/>
  <c r="CU56" i="53" a="1"/>
  <c r="CU57" i="53" a="1"/>
  <c r="CU58" i="53" a="1"/>
  <c r="CU59" i="53" a="1"/>
  <c r="CU60" i="53" a="1"/>
  <c r="CU61" i="53" a="1"/>
  <c r="CU62" i="53" a="1"/>
  <c r="CU63" i="53" a="1"/>
  <c r="CU64" i="53" a="1"/>
  <c r="CU32" i="53"/>
  <c r="CU33" i="53"/>
  <c r="CU34" i="53"/>
  <c r="CU35" i="53"/>
  <c r="CU36" i="53"/>
  <c r="CU37" i="53"/>
  <c r="CU38" i="53"/>
  <c r="CU39" i="53"/>
  <c r="CU40" i="53"/>
  <c r="CU41" i="53"/>
  <c r="CU42" i="53"/>
  <c r="CU43" i="53"/>
  <c r="CU44" i="53"/>
  <c r="CU45" i="53"/>
  <c r="CU46" i="53"/>
  <c r="CU47" i="53"/>
  <c r="CU48" i="53"/>
  <c r="CU49" i="53"/>
  <c r="CU50" i="53"/>
  <c r="CU51" i="53"/>
  <c r="CU52" i="53"/>
  <c r="CU53" i="53"/>
  <c r="CU54" i="53"/>
  <c r="CU55" i="53"/>
  <c r="CU56" i="53"/>
  <c r="CU57" i="53"/>
  <c r="CU58" i="53"/>
  <c r="CU59" i="53"/>
  <c r="CU60" i="53"/>
  <c r="CU61" i="53"/>
  <c r="CU62" i="53"/>
  <c r="CU63" i="53"/>
  <c r="CU64" i="53"/>
  <c r="CU68" i="53"/>
  <c r="DI27" i="53"/>
  <c r="DI30" i="53" a="1"/>
  <c r="DI30" i="53"/>
  <c r="DI31" i="53" a="1"/>
  <c r="DI31" i="53"/>
  <c r="DI32" i="53" a="1"/>
  <c r="DI33" i="53" a="1"/>
  <c r="DI34" i="53" a="1"/>
  <c r="DI35" i="53" a="1"/>
  <c r="DI36" i="53" a="1"/>
  <c r="DI37" i="53" a="1"/>
  <c r="DI38" i="53" a="1"/>
  <c r="DI39" i="53" a="1"/>
  <c r="DI40" i="53" a="1"/>
  <c r="DI41" i="53" a="1"/>
  <c r="DI42" i="53" a="1"/>
  <c r="DI43" i="53" a="1"/>
  <c r="DI44" i="53" a="1"/>
  <c r="DI45" i="53" a="1"/>
  <c r="DI46" i="53" a="1"/>
  <c r="DI47" i="53" a="1"/>
  <c r="DI48" i="53" a="1"/>
  <c r="DI49" i="53" a="1"/>
  <c r="DI50" i="53" a="1"/>
  <c r="DI51" i="53" a="1"/>
  <c r="DI52" i="53" a="1"/>
  <c r="DI53" i="53" a="1"/>
  <c r="DI54" i="53" a="1"/>
  <c r="DI55" i="53" a="1"/>
  <c r="DI56" i="53" a="1"/>
  <c r="DI57" i="53" a="1"/>
  <c r="DI58" i="53" a="1"/>
  <c r="DI59" i="53" a="1"/>
  <c r="DI60" i="53" a="1"/>
  <c r="DI61" i="53" a="1"/>
  <c r="DI62" i="53" a="1"/>
  <c r="DI63" i="53" a="1"/>
  <c r="DI64" i="53" a="1"/>
  <c r="DI32" i="53"/>
  <c r="DI33" i="53"/>
  <c r="DI34" i="53"/>
  <c r="DI35" i="53"/>
  <c r="DI36" i="53"/>
  <c r="DI37" i="53"/>
  <c r="DI38" i="53"/>
  <c r="DI39" i="53"/>
  <c r="DI40" i="53"/>
  <c r="DI41" i="53"/>
  <c r="DI42" i="53"/>
  <c r="DI43" i="53"/>
  <c r="DI44" i="53"/>
  <c r="DI45" i="53"/>
  <c r="DI46" i="53"/>
  <c r="DI47" i="53"/>
  <c r="DI48" i="53"/>
  <c r="DI49" i="53"/>
  <c r="DI50" i="53"/>
  <c r="DI51" i="53"/>
  <c r="DI52" i="53"/>
  <c r="DI53" i="53"/>
  <c r="DI54" i="53"/>
  <c r="DI55" i="53"/>
  <c r="DI56" i="53"/>
  <c r="DI57" i="53"/>
  <c r="DI58" i="53"/>
  <c r="DI59" i="53"/>
  <c r="DI60" i="53"/>
  <c r="DI61" i="53"/>
  <c r="DI62" i="53"/>
  <c r="DI63" i="53"/>
  <c r="DI64" i="53"/>
  <c r="DI68" i="53"/>
  <c r="BU71" i="53"/>
  <c r="BT27" i="53"/>
  <c r="BT30" i="53" a="1"/>
  <c r="BT30" i="53"/>
  <c r="BT31" i="53" a="1"/>
  <c r="BT31" i="53"/>
  <c r="BT32" i="53" a="1"/>
  <c r="BT33" i="53" a="1"/>
  <c r="BT34" i="53" a="1"/>
  <c r="BT35" i="53" a="1"/>
  <c r="BT36" i="53" a="1"/>
  <c r="BT37" i="53" a="1"/>
  <c r="BT38" i="53" a="1"/>
  <c r="BT39" i="53" a="1"/>
  <c r="BT40" i="53" a="1"/>
  <c r="BT41" i="53" a="1"/>
  <c r="BT42" i="53" a="1"/>
  <c r="BT43" i="53" a="1"/>
  <c r="BT44" i="53" a="1"/>
  <c r="BT45" i="53" a="1"/>
  <c r="BT46" i="53" a="1"/>
  <c r="BT47" i="53" a="1"/>
  <c r="BT48" i="53" a="1"/>
  <c r="BT49" i="53" a="1"/>
  <c r="BT50" i="53" a="1"/>
  <c r="BT51" i="53" a="1"/>
  <c r="BT52" i="53" a="1"/>
  <c r="BT53" i="53" a="1"/>
  <c r="BT54" i="53" a="1"/>
  <c r="BT55" i="53" a="1"/>
  <c r="BT56" i="53" a="1"/>
  <c r="BT57" i="53" a="1"/>
  <c r="BT58" i="53" a="1"/>
  <c r="BT59" i="53" a="1"/>
  <c r="BT60" i="53" a="1"/>
  <c r="BT61" i="53" a="1"/>
  <c r="BT62" i="53" a="1"/>
  <c r="BT63" i="53" a="1"/>
  <c r="BT64" i="53" a="1"/>
  <c r="BT32" i="53"/>
  <c r="BT33" i="53"/>
  <c r="BT34" i="53"/>
  <c r="BT35" i="53"/>
  <c r="BT36" i="53"/>
  <c r="BT37" i="53"/>
  <c r="BT38" i="53"/>
  <c r="BT39" i="53"/>
  <c r="BT40" i="53"/>
  <c r="BT41" i="53"/>
  <c r="BT42" i="53"/>
  <c r="BT43" i="53"/>
  <c r="BT44" i="53"/>
  <c r="BT45" i="53"/>
  <c r="BT46" i="53"/>
  <c r="BT47" i="53"/>
  <c r="BT48" i="53"/>
  <c r="BT49" i="53"/>
  <c r="BT50" i="53"/>
  <c r="BT51" i="53"/>
  <c r="BT52" i="53"/>
  <c r="BT53" i="53"/>
  <c r="BT54" i="53"/>
  <c r="BT55" i="53"/>
  <c r="BT56" i="53"/>
  <c r="BT57" i="53"/>
  <c r="BT58" i="53"/>
  <c r="BT59" i="53"/>
  <c r="BT60" i="53"/>
  <c r="BT61" i="53"/>
  <c r="BT62" i="53"/>
  <c r="BT63" i="53"/>
  <c r="BT64" i="53"/>
  <c r="BT68" i="53"/>
  <c r="CH27" i="53"/>
  <c r="CH30" i="53" a="1"/>
  <c r="CH30" i="53"/>
  <c r="CH31" i="53" a="1"/>
  <c r="CH31" i="53"/>
  <c r="CH32" i="53" a="1"/>
  <c r="CH33" i="53" a="1"/>
  <c r="CH34" i="53" a="1"/>
  <c r="CH35" i="53" a="1"/>
  <c r="CH36" i="53" a="1"/>
  <c r="CH37" i="53" a="1"/>
  <c r="CH38" i="53" a="1"/>
  <c r="CH39" i="53" a="1"/>
  <c r="CH40" i="53" a="1"/>
  <c r="CH41" i="53" a="1"/>
  <c r="CH42" i="53" a="1"/>
  <c r="CH43" i="53" a="1"/>
  <c r="CH44" i="53" a="1"/>
  <c r="CH45" i="53" a="1"/>
  <c r="CH46" i="53" a="1"/>
  <c r="CH47" i="53" a="1"/>
  <c r="CH48" i="53" a="1"/>
  <c r="CH49" i="53" a="1"/>
  <c r="CH50" i="53" a="1"/>
  <c r="CH51" i="53" a="1"/>
  <c r="CH52" i="53" a="1"/>
  <c r="CH53" i="53" a="1"/>
  <c r="CH54" i="53" a="1"/>
  <c r="CH55" i="53" a="1"/>
  <c r="CH56" i="53" a="1"/>
  <c r="CH57" i="53" a="1"/>
  <c r="CH58" i="53" a="1"/>
  <c r="CH59" i="53" a="1"/>
  <c r="CH60" i="53" a="1"/>
  <c r="CH61" i="53" a="1"/>
  <c r="CH62" i="53" a="1"/>
  <c r="CH63" i="53" a="1"/>
  <c r="CH64" i="53" a="1"/>
  <c r="CH32" i="53"/>
  <c r="CH33" i="53"/>
  <c r="CH34" i="53"/>
  <c r="CH35" i="53"/>
  <c r="CH36" i="53"/>
  <c r="CH37" i="53"/>
  <c r="CH38" i="53"/>
  <c r="CH39" i="53"/>
  <c r="CH40" i="53"/>
  <c r="CH41" i="53"/>
  <c r="CH42" i="53"/>
  <c r="CH43" i="53"/>
  <c r="CH44" i="53"/>
  <c r="CH45" i="53"/>
  <c r="CH46" i="53"/>
  <c r="CH47" i="53"/>
  <c r="CH48" i="53"/>
  <c r="CH49" i="53"/>
  <c r="CH50" i="53"/>
  <c r="CH51" i="53"/>
  <c r="CH52" i="53"/>
  <c r="CH53" i="53"/>
  <c r="CH54" i="53"/>
  <c r="CH55" i="53"/>
  <c r="CH56" i="53"/>
  <c r="CH57" i="53"/>
  <c r="CH58" i="53"/>
  <c r="CH59" i="53"/>
  <c r="CH60" i="53"/>
  <c r="CH61" i="53"/>
  <c r="CH62" i="53"/>
  <c r="CH63" i="53"/>
  <c r="CH64" i="53"/>
  <c r="CH68" i="53"/>
  <c r="CT27" i="53"/>
  <c r="CT30" i="53" a="1"/>
  <c r="CT30" i="53"/>
  <c r="CT31" i="53" a="1"/>
  <c r="CT31" i="53"/>
  <c r="CT32" i="53" a="1"/>
  <c r="CT33" i="53" a="1"/>
  <c r="CT34" i="53" a="1"/>
  <c r="CT35" i="53" a="1"/>
  <c r="CT36" i="53" a="1"/>
  <c r="CT37" i="53" a="1"/>
  <c r="CT38" i="53" a="1"/>
  <c r="CT39" i="53" a="1"/>
  <c r="CT40" i="53" a="1"/>
  <c r="CT41" i="53" a="1"/>
  <c r="CT42" i="53" a="1"/>
  <c r="CT43" i="53" a="1"/>
  <c r="CT44" i="53" a="1"/>
  <c r="CT45" i="53" a="1"/>
  <c r="CT46" i="53" a="1"/>
  <c r="CT47" i="53" a="1"/>
  <c r="CT48" i="53" a="1"/>
  <c r="CT49" i="53" a="1"/>
  <c r="CT50" i="53" a="1"/>
  <c r="CT51" i="53" a="1"/>
  <c r="CT52" i="53" a="1"/>
  <c r="CT53" i="53" a="1"/>
  <c r="CT54" i="53" a="1"/>
  <c r="CT55" i="53" a="1"/>
  <c r="CT56" i="53" a="1"/>
  <c r="CT57" i="53" a="1"/>
  <c r="CT58" i="53" a="1"/>
  <c r="CT59" i="53" a="1"/>
  <c r="CT60" i="53" a="1"/>
  <c r="CT61" i="53" a="1"/>
  <c r="CT62" i="53" a="1"/>
  <c r="CT63" i="53" a="1"/>
  <c r="CT64" i="53" a="1"/>
  <c r="CT32" i="53"/>
  <c r="CT33" i="53"/>
  <c r="CT34" i="53"/>
  <c r="CT35" i="53"/>
  <c r="CT36" i="53"/>
  <c r="CT37" i="53"/>
  <c r="CT38" i="53"/>
  <c r="CT39" i="53"/>
  <c r="CT40" i="53"/>
  <c r="CT41" i="53"/>
  <c r="CT42" i="53"/>
  <c r="CT43" i="53"/>
  <c r="CT44" i="53"/>
  <c r="CT45" i="53"/>
  <c r="CT46" i="53"/>
  <c r="CT47" i="53"/>
  <c r="CT48" i="53"/>
  <c r="CT49" i="53"/>
  <c r="CT50" i="53"/>
  <c r="CT51" i="53"/>
  <c r="CT52" i="53"/>
  <c r="CT53" i="53"/>
  <c r="CT54" i="53"/>
  <c r="CT55" i="53"/>
  <c r="CT56" i="53"/>
  <c r="CT57" i="53"/>
  <c r="CT58" i="53"/>
  <c r="CT59" i="53"/>
  <c r="CT60" i="53"/>
  <c r="CT61" i="53"/>
  <c r="CT62" i="53"/>
  <c r="CT63" i="53"/>
  <c r="CT64" i="53"/>
  <c r="CT68" i="53"/>
  <c r="DH27" i="53"/>
  <c r="DH30" i="53" a="1"/>
  <c r="DH30" i="53"/>
  <c r="DH31" i="53" a="1"/>
  <c r="DH31" i="53"/>
  <c r="DH32" i="53" a="1"/>
  <c r="DH33" i="53" a="1"/>
  <c r="DH34" i="53" a="1"/>
  <c r="DH35" i="53" a="1"/>
  <c r="DH36" i="53" a="1"/>
  <c r="DH37" i="53" a="1"/>
  <c r="DH38" i="53" a="1"/>
  <c r="DH39" i="53" a="1"/>
  <c r="DH40" i="53" a="1"/>
  <c r="DH41" i="53" a="1"/>
  <c r="DH42" i="53" a="1"/>
  <c r="DH43" i="53" a="1"/>
  <c r="DH44" i="53" a="1"/>
  <c r="DH45" i="53" a="1"/>
  <c r="DH46" i="53" a="1"/>
  <c r="DH47" i="53" a="1"/>
  <c r="DH48" i="53" a="1"/>
  <c r="DH49" i="53" a="1"/>
  <c r="DH50" i="53" a="1"/>
  <c r="DH51" i="53" a="1"/>
  <c r="DH52" i="53" a="1"/>
  <c r="DH53" i="53" a="1"/>
  <c r="DH54" i="53" a="1"/>
  <c r="DH55" i="53" a="1"/>
  <c r="DH56" i="53" a="1"/>
  <c r="DH57" i="53" a="1"/>
  <c r="DH58" i="53" a="1"/>
  <c r="DH59" i="53" a="1"/>
  <c r="DH60" i="53" a="1"/>
  <c r="DH61" i="53" a="1"/>
  <c r="DH62" i="53" a="1"/>
  <c r="DH63" i="53" a="1"/>
  <c r="DH64" i="53" a="1"/>
  <c r="DH32" i="53"/>
  <c r="DH33" i="53"/>
  <c r="DH34" i="53"/>
  <c r="DH35" i="53"/>
  <c r="DH36" i="53"/>
  <c r="DH37" i="53"/>
  <c r="DH38" i="53"/>
  <c r="DH39" i="53"/>
  <c r="DH40" i="53"/>
  <c r="DH41" i="53"/>
  <c r="DH42" i="53"/>
  <c r="DH43" i="53"/>
  <c r="DH44" i="53"/>
  <c r="DH45" i="53"/>
  <c r="DH46" i="53"/>
  <c r="DH47" i="53"/>
  <c r="DH48" i="53"/>
  <c r="DH49" i="53"/>
  <c r="DH50" i="53"/>
  <c r="DH51" i="53"/>
  <c r="DH52" i="53"/>
  <c r="DH53" i="53"/>
  <c r="DH54" i="53"/>
  <c r="DH55" i="53"/>
  <c r="DH56" i="53"/>
  <c r="DH57" i="53"/>
  <c r="DH58" i="53"/>
  <c r="DH59" i="53"/>
  <c r="DH60" i="53"/>
  <c r="DH61" i="53"/>
  <c r="DH62" i="53"/>
  <c r="DH63" i="53"/>
  <c r="DH64" i="53"/>
  <c r="DH68" i="53"/>
  <c r="BT71" i="53"/>
  <c r="BS27" i="53"/>
  <c r="BS30" i="53" a="1"/>
  <c r="BS30" i="53"/>
  <c r="BS31" i="53" a="1"/>
  <c r="BS31" i="53"/>
  <c r="BS32" i="53" a="1"/>
  <c r="BS33" i="53" a="1"/>
  <c r="BS34" i="53" a="1"/>
  <c r="BS35" i="53" a="1"/>
  <c r="BS36" i="53" a="1"/>
  <c r="BS37" i="53" a="1"/>
  <c r="BS38" i="53" a="1"/>
  <c r="BS39" i="53" a="1"/>
  <c r="BS40" i="53" a="1"/>
  <c r="BS41" i="53" a="1"/>
  <c r="BS42" i="53" a="1"/>
  <c r="BS43" i="53" a="1"/>
  <c r="BS44" i="53" a="1"/>
  <c r="BS45" i="53" a="1"/>
  <c r="BS46" i="53" a="1"/>
  <c r="BS47" i="53" a="1"/>
  <c r="BS48" i="53" a="1"/>
  <c r="BS49" i="53" a="1"/>
  <c r="BS50" i="53" a="1"/>
  <c r="BS51" i="53" a="1"/>
  <c r="BS52" i="53" a="1"/>
  <c r="BS53" i="53" a="1"/>
  <c r="BS54" i="53" a="1"/>
  <c r="BS55" i="53" a="1"/>
  <c r="BS56" i="53" a="1"/>
  <c r="BS57" i="53" a="1"/>
  <c r="BS58" i="53" a="1"/>
  <c r="BS59" i="53" a="1"/>
  <c r="BS60" i="53" a="1"/>
  <c r="BS61" i="53" a="1"/>
  <c r="BS62" i="53" a="1"/>
  <c r="BS63" i="53" a="1"/>
  <c r="BS64" i="53" a="1"/>
  <c r="BS32" i="53"/>
  <c r="BS33" i="53"/>
  <c r="BS34" i="53"/>
  <c r="BS35" i="53"/>
  <c r="BS36" i="53"/>
  <c r="BS37" i="53"/>
  <c r="BS38" i="53"/>
  <c r="BS39" i="53"/>
  <c r="BS40" i="53"/>
  <c r="BS41" i="53"/>
  <c r="BS42" i="53"/>
  <c r="BS43" i="53"/>
  <c r="BS44" i="53"/>
  <c r="BS45" i="53"/>
  <c r="BS46" i="53"/>
  <c r="BS47" i="53"/>
  <c r="BS48" i="53"/>
  <c r="BS49" i="53"/>
  <c r="BS50" i="53"/>
  <c r="BS51" i="53"/>
  <c r="BS52" i="53"/>
  <c r="BS53" i="53"/>
  <c r="BS54" i="53"/>
  <c r="BS55" i="53"/>
  <c r="BS56" i="53"/>
  <c r="BS57" i="53"/>
  <c r="BS58" i="53"/>
  <c r="BS59" i="53"/>
  <c r="BS60" i="53"/>
  <c r="BS61" i="53"/>
  <c r="BS62" i="53"/>
  <c r="BS63" i="53"/>
  <c r="BS64" i="53"/>
  <c r="BS68" i="53"/>
  <c r="CG27" i="53"/>
  <c r="CG30" i="53" a="1"/>
  <c r="CG30" i="53"/>
  <c r="CG31" i="53" a="1"/>
  <c r="CG31" i="53"/>
  <c r="CG32" i="53" a="1"/>
  <c r="CG33" i="53" a="1"/>
  <c r="CG34" i="53" a="1"/>
  <c r="CG35" i="53" a="1"/>
  <c r="CG36" i="53" a="1"/>
  <c r="CG37" i="53" a="1"/>
  <c r="CG38" i="53" a="1"/>
  <c r="CG39" i="53" a="1"/>
  <c r="CG40" i="53" a="1"/>
  <c r="CG41" i="53" a="1"/>
  <c r="CG42" i="53" a="1"/>
  <c r="CG43" i="53" a="1"/>
  <c r="CG44" i="53" a="1"/>
  <c r="CG45" i="53" a="1"/>
  <c r="CG46" i="53" a="1"/>
  <c r="CG47" i="53" a="1"/>
  <c r="CG48" i="53" a="1"/>
  <c r="CG49" i="53" a="1"/>
  <c r="CG50" i="53" a="1"/>
  <c r="CG51" i="53" a="1"/>
  <c r="CG52" i="53" a="1"/>
  <c r="CG53" i="53" a="1"/>
  <c r="CG54" i="53" a="1"/>
  <c r="CG55" i="53" a="1"/>
  <c r="CG56" i="53" a="1"/>
  <c r="CG57" i="53" a="1"/>
  <c r="CG58" i="53" a="1"/>
  <c r="CG59" i="53" a="1"/>
  <c r="CG60" i="53" a="1"/>
  <c r="CG61" i="53" a="1"/>
  <c r="CG62" i="53" a="1"/>
  <c r="CG63" i="53" a="1"/>
  <c r="CG64" i="53" a="1"/>
  <c r="CG32" i="53"/>
  <c r="CG33" i="53"/>
  <c r="CG34" i="53"/>
  <c r="CG35" i="53"/>
  <c r="CG36" i="53"/>
  <c r="CG37" i="53"/>
  <c r="CG38" i="53"/>
  <c r="CG39" i="53"/>
  <c r="CG40" i="53"/>
  <c r="CG41" i="53"/>
  <c r="CG42" i="53"/>
  <c r="CG43" i="53"/>
  <c r="CG44" i="53"/>
  <c r="CG45" i="53"/>
  <c r="CG46" i="53"/>
  <c r="CG47" i="53"/>
  <c r="CG48" i="53"/>
  <c r="CG49" i="53"/>
  <c r="CG50" i="53"/>
  <c r="CG51" i="53"/>
  <c r="CG52" i="53"/>
  <c r="CG53" i="53"/>
  <c r="CG54" i="53"/>
  <c r="CG55" i="53"/>
  <c r="CG56" i="53"/>
  <c r="CG57" i="53"/>
  <c r="CG58" i="53"/>
  <c r="CG59" i="53"/>
  <c r="CG60" i="53"/>
  <c r="CG61" i="53"/>
  <c r="CG62" i="53"/>
  <c r="CG63" i="53"/>
  <c r="CG64" i="53"/>
  <c r="CG68" i="53"/>
  <c r="CS27" i="53"/>
  <c r="CS30" i="53" a="1"/>
  <c r="CS30" i="53"/>
  <c r="CS31" i="53" a="1"/>
  <c r="CS31" i="53"/>
  <c r="CS32" i="53" a="1"/>
  <c r="CS33" i="53" a="1"/>
  <c r="CS34" i="53" a="1"/>
  <c r="CS35" i="53" a="1"/>
  <c r="CS36" i="53" a="1"/>
  <c r="CS37" i="53" a="1"/>
  <c r="CS38" i="53" a="1"/>
  <c r="CS39" i="53" a="1"/>
  <c r="CS40" i="53" a="1"/>
  <c r="CS41" i="53" a="1"/>
  <c r="CS42" i="53" a="1"/>
  <c r="CS43" i="53" a="1"/>
  <c r="CS44" i="53" a="1"/>
  <c r="CS45" i="53" a="1"/>
  <c r="CS46" i="53" a="1"/>
  <c r="CS47" i="53" a="1"/>
  <c r="CS48" i="53" a="1"/>
  <c r="CS49" i="53" a="1"/>
  <c r="CS50" i="53" a="1"/>
  <c r="CS51" i="53" a="1"/>
  <c r="CS52" i="53" a="1"/>
  <c r="CS53" i="53" a="1"/>
  <c r="CS54" i="53" a="1"/>
  <c r="CS55" i="53" a="1"/>
  <c r="CS56" i="53" a="1"/>
  <c r="CS57" i="53" a="1"/>
  <c r="CS58" i="53" a="1"/>
  <c r="CS59" i="53" a="1"/>
  <c r="CS60" i="53" a="1"/>
  <c r="CS61" i="53" a="1"/>
  <c r="CS62" i="53" a="1"/>
  <c r="CS63" i="53" a="1"/>
  <c r="CS64" i="53" a="1"/>
  <c r="CS32" i="53"/>
  <c r="CS33" i="53"/>
  <c r="CS34" i="53"/>
  <c r="CS35" i="53"/>
  <c r="CS36" i="53"/>
  <c r="CS37" i="53"/>
  <c r="CS38" i="53"/>
  <c r="CS39" i="53"/>
  <c r="CS40" i="53"/>
  <c r="CS41" i="53"/>
  <c r="CS42" i="53"/>
  <c r="CS43" i="53"/>
  <c r="CS44" i="53"/>
  <c r="CS45" i="53"/>
  <c r="CS46" i="53"/>
  <c r="CS47" i="53"/>
  <c r="CS48" i="53"/>
  <c r="CS49" i="53"/>
  <c r="CS50" i="53"/>
  <c r="CS51" i="53"/>
  <c r="CS52" i="53"/>
  <c r="CS53" i="53"/>
  <c r="CS54" i="53"/>
  <c r="CS55" i="53"/>
  <c r="CS56" i="53"/>
  <c r="CS57" i="53"/>
  <c r="CS58" i="53"/>
  <c r="CS59" i="53"/>
  <c r="CS60" i="53"/>
  <c r="CS61" i="53"/>
  <c r="CS62" i="53"/>
  <c r="CS63" i="53"/>
  <c r="CS64" i="53"/>
  <c r="CS68" i="53"/>
  <c r="DG27" i="53"/>
  <c r="DG30" i="53" a="1"/>
  <c r="DG30" i="53"/>
  <c r="DG31" i="53" a="1"/>
  <c r="DG31" i="53"/>
  <c r="DG32" i="53" a="1"/>
  <c r="DG33" i="53" a="1"/>
  <c r="DG34" i="53" a="1"/>
  <c r="DG35" i="53" a="1"/>
  <c r="DG36" i="53" a="1"/>
  <c r="DG37" i="53" a="1"/>
  <c r="DG38" i="53" a="1"/>
  <c r="DG39" i="53" a="1"/>
  <c r="DG40" i="53" a="1"/>
  <c r="DG41" i="53" a="1"/>
  <c r="DG42" i="53" a="1"/>
  <c r="DG43" i="53" a="1"/>
  <c r="DG44" i="53" a="1"/>
  <c r="DG45" i="53" a="1"/>
  <c r="DG46" i="53" a="1"/>
  <c r="DG47" i="53" a="1"/>
  <c r="DG48" i="53" a="1"/>
  <c r="DG49" i="53" a="1"/>
  <c r="DG50" i="53" a="1"/>
  <c r="DG51" i="53" a="1"/>
  <c r="DG52" i="53" a="1"/>
  <c r="DG53" i="53" a="1"/>
  <c r="DG54" i="53" a="1"/>
  <c r="DG55" i="53" a="1"/>
  <c r="DG56" i="53" a="1"/>
  <c r="DG57" i="53" a="1"/>
  <c r="DG58" i="53" a="1"/>
  <c r="DG59" i="53" a="1"/>
  <c r="DG60" i="53" a="1"/>
  <c r="DG61" i="53" a="1"/>
  <c r="DG62" i="53" a="1"/>
  <c r="DG63" i="53" a="1"/>
  <c r="DG64" i="53" a="1"/>
  <c r="DG32" i="53"/>
  <c r="DG33" i="53"/>
  <c r="DG34" i="53"/>
  <c r="DG35" i="53"/>
  <c r="DG36" i="53"/>
  <c r="DG37" i="53"/>
  <c r="DG38" i="53"/>
  <c r="DG39" i="53"/>
  <c r="DG40" i="53"/>
  <c r="DG41" i="53"/>
  <c r="DG42" i="53"/>
  <c r="DG43" i="53"/>
  <c r="DG44" i="53"/>
  <c r="DG45" i="53"/>
  <c r="DG46" i="53"/>
  <c r="DG47" i="53"/>
  <c r="DG48" i="53"/>
  <c r="DG49" i="53"/>
  <c r="DG50" i="53"/>
  <c r="DG51" i="53"/>
  <c r="DG52" i="53"/>
  <c r="DG53" i="53"/>
  <c r="DG54" i="53"/>
  <c r="DG55" i="53"/>
  <c r="DG56" i="53"/>
  <c r="DG57" i="53"/>
  <c r="DG58" i="53"/>
  <c r="DG59" i="53"/>
  <c r="DG60" i="53"/>
  <c r="DG61" i="53"/>
  <c r="DG62" i="53"/>
  <c r="DG63" i="53"/>
  <c r="DG64" i="53"/>
  <c r="DG68" i="53"/>
  <c r="BS71" i="53"/>
  <c r="BR27" i="53"/>
  <c r="BR30" i="53" a="1"/>
  <c r="BR30" i="53"/>
  <c r="BR31" i="53" a="1"/>
  <c r="BR31" i="53"/>
  <c r="BR32" i="53" a="1"/>
  <c r="BR33" i="53" a="1"/>
  <c r="BR34" i="53" a="1"/>
  <c r="BR35" i="53" a="1"/>
  <c r="BR36" i="53" a="1"/>
  <c r="BR37" i="53" a="1"/>
  <c r="BR38" i="53" a="1"/>
  <c r="BR39" i="53" a="1"/>
  <c r="BR40" i="53" a="1"/>
  <c r="BR41" i="53" a="1"/>
  <c r="BR42" i="53" a="1"/>
  <c r="BR43" i="53" a="1"/>
  <c r="BR44" i="53" a="1"/>
  <c r="BR45" i="53" a="1"/>
  <c r="BR46" i="53" a="1"/>
  <c r="BR47" i="53" a="1"/>
  <c r="BR48" i="53" a="1"/>
  <c r="BR49" i="53" a="1"/>
  <c r="BR50" i="53" a="1"/>
  <c r="BR51" i="53" a="1"/>
  <c r="BR52" i="53" a="1"/>
  <c r="BR53" i="53" a="1"/>
  <c r="BR54" i="53" a="1"/>
  <c r="BR55" i="53" a="1"/>
  <c r="BR56" i="53" a="1"/>
  <c r="BR57" i="53" a="1"/>
  <c r="BR58" i="53" a="1"/>
  <c r="BR59" i="53" a="1"/>
  <c r="BR60" i="53" a="1"/>
  <c r="BR61" i="53" a="1"/>
  <c r="BR62" i="53" a="1"/>
  <c r="BR63" i="53" a="1"/>
  <c r="BR64" i="53" a="1"/>
  <c r="BR32" i="53"/>
  <c r="BR33" i="53"/>
  <c r="BR34" i="53"/>
  <c r="BR35" i="53"/>
  <c r="BR36" i="53"/>
  <c r="BR37" i="53"/>
  <c r="BR38" i="53"/>
  <c r="BR39" i="53"/>
  <c r="BR40" i="53"/>
  <c r="BR41" i="53"/>
  <c r="BR42" i="53"/>
  <c r="BR43" i="53"/>
  <c r="BR44" i="53"/>
  <c r="BR45" i="53"/>
  <c r="BR46" i="53"/>
  <c r="BR47" i="53"/>
  <c r="BR48" i="53"/>
  <c r="BR49" i="53"/>
  <c r="BR50" i="53"/>
  <c r="BR51" i="53"/>
  <c r="BR52" i="53"/>
  <c r="BR53" i="53"/>
  <c r="BR54" i="53"/>
  <c r="BR55" i="53"/>
  <c r="BR56" i="53"/>
  <c r="BR57" i="53"/>
  <c r="BR58" i="53"/>
  <c r="BR59" i="53"/>
  <c r="BR60" i="53"/>
  <c r="BR61" i="53"/>
  <c r="BR62" i="53"/>
  <c r="BR63" i="53"/>
  <c r="BR64" i="53"/>
  <c r="BR68" i="53"/>
  <c r="CF27" i="53"/>
  <c r="CF30" i="53" a="1"/>
  <c r="CF30" i="53"/>
  <c r="CF31" i="53" a="1"/>
  <c r="CF31" i="53"/>
  <c r="CF32" i="53" a="1"/>
  <c r="CF33" i="53" a="1"/>
  <c r="CF34" i="53" a="1"/>
  <c r="CF35" i="53" a="1"/>
  <c r="CF36" i="53" a="1"/>
  <c r="CF37" i="53" a="1"/>
  <c r="CF38" i="53" a="1"/>
  <c r="CF39" i="53" a="1"/>
  <c r="CF40" i="53" a="1"/>
  <c r="CF41" i="53" a="1"/>
  <c r="CF42" i="53" a="1"/>
  <c r="CF43" i="53" a="1"/>
  <c r="CF44" i="53" a="1"/>
  <c r="CF45" i="53" a="1"/>
  <c r="CF46" i="53" a="1"/>
  <c r="CF47" i="53" a="1"/>
  <c r="CF48" i="53" a="1"/>
  <c r="CF49" i="53" a="1"/>
  <c r="CF50" i="53" a="1"/>
  <c r="CF51" i="53" a="1"/>
  <c r="CF52" i="53" a="1"/>
  <c r="CF53" i="53" a="1"/>
  <c r="CF54" i="53" a="1"/>
  <c r="CF55" i="53" a="1"/>
  <c r="CF56" i="53" a="1"/>
  <c r="CF57" i="53" a="1"/>
  <c r="CF58" i="53" a="1"/>
  <c r="CF59" i="53" a="1"/>
  <c r="CF60" i="53" a="1"/>
  <c r="CF61" i="53" a="1"/>
  <c r="CF62" i="53" a="1"/>
  <c r="CF63" i="53" a="1"/>
  <c r="CF64" i="53" a="1"/>
  <c r="CF32" i="53"/>
  <c r="CF33" i="53"/>
  <c r="CF34" i="53"/>
  <c r="CF35" i="53"/>
  <c r="CF36" i="53"/>
  <c r="CF37" i="53"/>
  <c r="CF38" i="53"/>
  <c r="CF39" i="53"/>
  <c r="CF40" i="53"/>
  <c r="CF41" i="53"/>
  <c r="CF42" i="53"/>
  <c r="CF43" i="53"/>
  <c r="CF44" i="53"/>
  <c r="CF45" i="53"/>
  <c r="CF46" i="53"/>
  <c r="CF47" i="53"/>
  <c r="CF48" i="53"/>
  <c r="CF49" i="53"/>
  <c r="CF50" i="53"/>
  <c r="CF51" i="53"/>
  <c r="CF52" i="53"/>
  <c r="CF53" i="53"/>
  <c r="CF54" i="53"/>
  <c r="CF55" i="53"/>
  <c r="CF56" i="53"/>
  <c r="CF57" i="53"/>
  <c r="CF58" i="53"/>
  <c r="CF59" i="53"/>
  <c r="CF60" i="53"/>
  <c r="CF61" i="53"/>
  <c r="CF62" i="53"/>
  <c r="CF63" i="53"/>
  <c r="CF64" i="53"/>
  <c r="CF68" i="53"/>
  <c r="CR27" i="53"/>
  <c r="CR30" i="53" a="1"/>
  <c r="CR30" i="53"/>
  <c r="CR31" i="53" a="1"/>
  <c r="CR31" i="53"/>
  <c r="CR32" i="53" a="1"/>
  <c r="CR33" i="53" a="1"/>
  <c r="CR34" i="53" a="1"/>
  <c r="CR35" i="53" a="1"/>
  <c r="CR36" i="53" a="1"/>
  <c r="CR37" i="53" a="1"/>
  <c r="CR38" i="53" a="1"/>
  <c r="CR39" i="53" a="1"/>
  <c r="CR40" i="53" a="1"/>
  <c r="CR41" i="53" a="1"/>
  <c r="CR42" i="53" a="1"/>
  <c r="CR43" i="53" a="1"/>
  <c r="CR44" i="53" a="1"/>
  <c r="CR45" i="53" a="1"/>
  <c r="CR46" i="53" a="1"/>
  <c r="CR47" i="53" a="1"/>
  <c r="CR48" i="53" a="1"/>
  <c r="CR49" i="53" a="1"/>
  <c r="CR50" i="53" a="1"/>
  <c r="CR51" i="53" a="1"/>
  <c r="CR52" i="53" a="1"/>
  <c r="CR53" i="53" a="1"/>
  <c r="CR54" i="53" a="1"/>
  <c r="CR55" i="53" a="1"/>
  <c r="CR56" i="53" a="1"/>
  <c r="CR57" i="53" a="1"/>
  <c r="CR58" i="53" a="1"/>
  <c r="CR59" i="53" a="1"/>
  <c r="CR60" i="53" a="1"/>
  <c r="CR61" i="53" a="1"/>
  <c r="CR62" i="53" a="1"/>
  <c r="CR63" i="53" a="1"/>
  <c r="CR64" i="53" a="1"/>
  <c r="CR32" i="53"/>
  <c r="CR33" i="53"/>
  <c r="CR34" i="53"/>
  <c r="CR35" i="53"/>
  <c r="CR36" i="53"/>
  <c r="CR37" i="53"/>
  <c r="CR38" i="53"/>
  <c r="CR39" i="53"/>
  <c r="CR40" i="53"/>
  <c r="CR41" i="53"/>
  <c r="CR42" i="53"/>
  <c r="CR43" i="53"/>
  <c r="CR44" i="53"/>
  <c r="CR45" i="53"/>
  <c r="CR46" i="53"/>
  <c r="CR47" i="53"/>
  <c r="CR48" i="53"/>
  <c r="CR49" i="53"/>
  <c r="CR50" i="53"/>
  <c r="CR51" i="53"/>
  <c r="CR52" i="53"/>
  <c r="CR53" i="53"/>
  <c r="CR54" i="53"/>
  <c r="CR55" i="53"/>
  <c r="CR56" i="53"/>
  <c r="CR57" i="53"/>
  <c r="CR58" i="53"/>
  <c r="CR59" i="53"/>
  <c r="CR60" i="53"/>
  <c r="CR61" i="53"/>
  <c r="CR62" i="53"/>
  <c r="CR63" i="53"/>
  <c r="CR64" i="53"/>
  <c r="CR68" i="53"/>
  <c r="DF27" i="53"/>
  <c r="DF30" i="53" a="1"/>
  <c r="DF30" i="53"/>
  <c r="DF31" i="53" a="1"/>
  <c r="DF31" i="53"/>
  <c r="DF32" i="53" a="1"/>
  <c r="DF33" i="53" a="1"/>
  <c r="DF34" i="53" a="1"/>
  <c r="DF35" i="53" a="1"/>
  <c r="DF36" i="53" a="1"/>
  <c r="DF37" i="53" a="1"/>
  <c r="DF38" i="53" a="1"/>
  <c r="DF39" i="53" a="1"/>
  <c r="DF40" i="53" a="1"/>
  <c r="DF41" i="53" a="1"/>
  <c r="DF42" i="53" a="1"/>
  <c r="DF43" i="53" a="1"/>
  <c r="DF44" i="53" a="1"/>
  <c r="DF45" i="53" a="1"/>
  <c r="DF46" i="53" a="1"/>
  <c r="DF47" i="53" a="1"/>
  <c r="DF48" i="53" a="1"/>
  <c r="DF49" i="53" a="1"/>
  <c r="DF50" i="53" a="1"/>
  <c r="DF51" i="53" a="1"/>
  <c r="DF52" i="53" a="1"/>
  <c r="DF53" i="53" a="1"/>
  <c r="DF54" i="53" a="1"/>
  <c r="DF55" i="53" a="1"/>
  <c r="DF56" i="53" a="1"/>
  <c r="DF57" i="53" a="1"/>
  <c r="DF58" i="53" a="1"/>
  <c r="DF59" i="53" a="1"/>
  <c r="DF60" i="53" a="1"/>
  <c r="DF61" i="53" a="1"/>
  <c r="DF62" i="53" a="1"/>
  <c r="DF63" i="53" a="1"/>
  <c r="DF64" i="53" a="1"/>
  <c r="DF32" i="53"/>
  <c r="DF33" i="53"/>
  <c r="DF34" i="53"/>
  <c r="DF35" i="53"/>
  <c r="DF36" i="53"/>
  <c r="DF37" i="53"/>
  <c r="DF38" i="53"/>
  <c r="DF39" i="53"/>
  <c r="DF40" i="53"/>
  <c r="DF41" i="53"/>
  <c r="DF42" i="53"/>
  <c r="DF43" i="53"/>
  <c r="DF44" i="53"/>
  <c r="DF45" i="53"/>
  <c r="DF46" i="53"/>
  <c r="DF47" i="53"/>
  <c r="DF48" i="53"/>
  <c r="DF49" i="53"/>
  <c r="DF50" i="53"/>
  <c r="DF51" i="53"/>
  <c r="DF52" i="53"/>
  <c r="DF53" i="53"/>
  <c r="DF54" i="53"/>
  <c r="DF55" i="53"/>
  <c r="DF56" i="53"/>
  <c r="DF57" i="53"/>
  <c r="DF58" i="53"/>
  <c r="DF59" i="53"/>
  <c r="DF60" i="53"/>
  <c r="DF61" i="53"/>
  <c r="DF62" i="53"/>
  <c r="DF63" i="53"/>
  <c r="DF64" i="53"/>
  <c r="DF68" i="53"/>
  <c r="BR71" i="53"/>
  <c r="BQ27" i="53"/>
  <c r="BQ30" i="53" a="1"/>
  <c r="BQ30" i="53"/>
  <c r="BQ31" i="53" a="1"/>
  <c r="BQ31" i="53"/>
  <c r="BQ32" i="53" a="1"/>
  <c r="BQ33" i="53" a="1"/>
  <c r="BQ34" i="53" a="1"/>
  <c r="BQ35" i="53" a="1"/>
  <c r="BQ36" i="53" a="1"/>
  <c r="BQ37" i="53" a="1"/>
  <c r="BQ38" i="53" a="1"/>
  <c r="BQ39" i="53" a="1"/>
  <c r="BQ40" i="53" a="1"/>
  <c r="BQ41" i="53" a="1"/>
  <c r="BQ42" i="53" a="1"/>
  <c r="BQ43" i="53" a="1"/>
  <c r="BQ44" i="53" a="1"/>
  <c r="BQ45" i="53" a="1"/>
  <c r="BQ46" i="53" a="1"/>
  <c r="BQ47" i="53" a="1"/>
  <c r="BQ48" i="53" a="1"/>
  <c r="BQ49" i="53" a="1"/>
  <c r="BQ50" i="53" a="1"/>
  <c r="BQ51" i="53" a="1"/>
  <c r="BQ52" i="53" a="1"/>
  <c r="BQ53" i="53" a="1"/>
  <c r="BQ54" i="53" a="1"/>
  <c r="BQ55" i="53" a="1"/>
  <c r="BQ56" i="53" a="1"/>
  <c r="BQ57" i="53" a="1"/>
  <c r="BQ58" i="53" a="1"/>
  <c r="BQ59" i="53" a="1"/>
  <c r="BQ60" i="53" a="1"/>
  <c r="BQ61" i="53" a="1"/>
  <c r="BQ62" i="53" a="1"/>
  <c r="BQ63" i="53" a="1"/>
  <c r="BQ64" i="53" a="1"/>
  <c r="BQ32" i="53"/>
  <c r="BQ33" i="53"/>
  <c r="BQ34" i="53"/>
  <c r="BQ35" i="53"/>
  <c r="BQ36" i="53"/>
  <c r="BQ37" i="53"/>
  <c r="BQ38" i="53"/>
  <c r="BQ39" i="53"/>
  <c r="BQ40" i="53"/>
  <c r="BQ41" i="53"/>
  <c r="BQ42" i="53"/>
  <c r="BQ43" i="53"/>
  <c r="BQ44" i="53"/>
  <c r="BQ45" i="53"/>
  <c r="BQ46" i="53"/>
  <c r="BQ47" i="53"/>
  <c r="BQ48" i="53"/>
  <c r="BQ49" i="53"/>
  <c r="BQ50" i="53"/>
  <c r="BQ51" i="53"/>
  <c r="BQ52" i="53"/>
  <c r="BQ53" i="53"/>
  <c r="BQ54" i="53"/>
  <c r="BQ55" i="53"/>
  <c r="BQ56" i="53"/>
  <c r="BQ57" i="53"/>
  <c r="BQ58" i="53"/>
  <c r="BQ59" i="53"/>
  <c r="BQ60" i="53"/>
  <c r="BQ61" i="53"/>
  <c r="BQ62" i="53"/>
  <c r="BQ63" i="53"/>
  <c r="BQ64" i="53"/>
  <c r="BQ68" i="53"/>
  <c r="CE27" i="53"/>
  <c r="CE30" i="53" a="1"/>
  <c r="CE30" i="53"/>
  <c r="CE31" i="53" a="1"/>
  <c r="CE31" i="53"/>
  <c r="CE32" i="53" a="1"/>
  <c r="CE33" i="53" a="1"/>
  <c r="CE34" i="53" a="1"/>
  <c r="CE35" i="53" a="1"/>
  <c r="CE36" i="53" a="1"/>
  <c r="CE37" i="53" a="1"/>
  <c r="CE38" i="53" a="1"/>
  <c r="CE39" i="53" a="1"/>
  <c r="CE40" i="53" a="1"/>
  <c r="CE41" i="53" a="1"/>
  <c r="CE42" i="53" a="1"/>
  <c r="CE43" i="53" a="1"/>
  <c r="CE44" i="53" a="1"/>
  <c r="CE45" i="53" a="1"/>
  <c r="CE46" i="53" a="1"/>
  <c r="CE47" i="53" a="1"/>
  <c r="CE48" i="53" a="1"/>
  <c r="CE49" i="53" a="1"/>
  <c r="CE50" i="53" a="1"/>
  <c r="CE51" i="53" a="1"/>
  <c r="CE52" i="53" a="1"/>
  <c r="CE53" i="53" a="1"/>
  <c r="CE54" i="53" a="1"/>
  <c r="CE55" i="53" a="1"/>
  <c r="CE56" i="53" a="1"/>
  <c r="CE57" i="53" a="1"/>
  <c r="CE58" i="53" a="1"/>
  <c r="CE59" i="53" a="1"/>
  <c r="CE60" i="53" a="1"/>
  <c r="CE61" i="53" a="1"/>
  <c r="CE62" i="53" a="1"/>
  <c r="CE63" i="53" a="1"/>
  <c r="CE64" i="53" a="1"/>
  <c r="CE32" i="53"/>
  <c r="CE33" i="53"/>
  <c r="CE34" i="53"/>
  <c r="CE35" i="53"/>
  <c r="CE36" i="53"/>
  <c r="CE37" i="53"/>
  <c r="CE38" i="53"/>
  <c r="CE39" i="53"/>
  <c r="CE40" i="53"/>
  <c r="CE41" i="53"/>
  <c r="CE42" i="53"/>
  <c r="CE43" i="53"/>
  <c r="CE44" i="53"/>
  <c r="CE45" i="53"/>
  <c r="CE46" i="53"/>
  <c r="CE47" i="53"/>
  <c r="CE48" i="53"/>
  <c r="CE49" i="53"/>
  <c r="CE50" i="53"/>
  <c r="CE51" i="53"/>
  <c r="CE52" i="53"/>
  <c r="CE53" i="53"/>
  <c r="CE54" i="53"/>
  <c r="CE55" i="53"/>
  <c r="CE56" i="53"/>
  <c r="CE57" i="53"/>
  <c r="CE58" i="53"/>
  <c r="CE59" i="53"/>
  <c r="CE60" i="53"/>
  <c r="CE61" i="53"/>
  <c r="CE62" i="53"/>
  <c r="CE63" i="53"/>
  <c r="CE64" i="53"/>
  <c r="CE68" i="53"/>
  <c r="CQ27" i="53"/>
  <c r="CQ30" i="53" a="1"/>
  <c r="CQ30" i="53"/>
  <c r="CQ31" i="53" a="1"/>
  <c r="CQ31" i="53"/>
  <c r="CQ32" i="53" a="1"/>
  <c r="CQ33" i="53" a="1"/>
  <c r="CQ34" i="53" a="1"/>
  <c r="CQ35" i="53" a="1"/>
  <c r="CQ36" i="53" a="1"/>
  <c r="CQ37" i="53" a="1"/>
  <c r="CQ38" i="53" a="1"/>
  <c r="CQ39" i="53" a="1"/>
  <c r="CQ40" i="53" a="1"/>
  <c r="CQ41" i="53" a="1"/>
  <c r="CQ42" i="53" a="1"/>
  <c r="CQ43" i="53" a="1"/>
  <c r="CQ44" i="53" a="1"/>
  <c r="CQ45" i="53" a="1"/>
  <c r="CQ46" i="53" a="1"/>
  <c r="CQ47" i="53" a="1"/>
  <c r="CQ48" i="53" a="1"/>
  <c r="CQ49" i="53" a="1"/>
  <c r="CQ50" i="53" a="1"/>
  <c r="CQ51" i="53" a="1"/>
  <c r="CQ52" i="53" a="1"/>
  <c r="CQ53" i="53" a="1"/>
  <c r="CQ54" i="53" a="1"/>
  <c r="CQ55" i="53" a="1"/>
  <c r="CQ56" i="53" a="1"/>
  <c r="CQ57" i="53" a="1"/>
  <c r="CQ58" i="53" a="1"/>
  <c r="CQ59" i="53" a="1"/>
  <c r="CQ60" i="53" a="1"/>
  <c r="CQ61" i="53" a="1"/>
  <c r="CQ62" i="53" a="1"/>
  <c r="CQ63" i="53" a="1"/>
  <c r="CQ64" i="53" a="1"/>
  <c r="CQ32" i="53"/>
  <c r="CQ33" i="53"/>
  <c r="CQ34" i="53"/>
  <c r="CQ35" i="53"/>
  <c r="CQ36" i="53"/>
  <c r="CQ37" i="53"/>
  <c r="CQ38" i="53"/>
  <c r="CQ39" i="53"/>
  <c r="CQ40" i="53"/>
  <c r="CQ41" i="53"/>
  <c r="CQ42" i="53"/>
  <c r="CQ43" i="53"/>
  <c r="CQ44" i="53"/>
  <c r="CQ45" i="53"/>
  <c r="CQ46" i="53"/>
  <c r="CQ47" i="53"/>
  <c r="CQ48" i="53"/>
  <c r="CQ49" i="53"/>
  <c r="CQ50" i="53"/>
  <c r="CQ51" i="53"/>
  <c r="CQ52" i="53"/>
  <c r="CQ53" i="53"/>
  <c r="CQ54" i="53"/>
  <c r="CQ55" i="53"/>
  <c r="CQ56" i="53"/>
  <c r="CQ57" i="53"/>
  <c r="CQ58" i="53"/>
  <c r="CQ59" i="53"/>
  <c r="CQ60" i="53"/>
  <c r="CQ61" i="53"/>
  <c r="CQ62" i="53"/>
  <c r="CQ63" i="53"/>
  <c r="CQ64" i="53"/>
  <c r="CQ68" i="53"/>
  <c r="DE27" i="53"/>
  <c r="DE30" i="53" a="1"/>
  <c r="DE30" i="53"/>
  <c r="DE31" i="53" a="1"/>
  <c r="DE31" i="53"/>
  <c r="DE32" i="53" a="1"/>
  <c r="DE33" i="53" a="1"/>
  <c r="DE34" i="53" a="1"/>
  <c r="DE35" i="53" a="1"/>
  <c r="DE36" i="53" a="1"/>
  <c r="DE37" i="53" a="1"/>
  <c r="DE38" i="53" a="1"/>
  <c r="DE39" i="53" a="1"/>
  <c r="DE40" i="53" a="1"/>
  <c r="DE41" i="53" a="1"/>
  <c r="DE42" i="53" a="1"/>
  <c r="DE43" i="53" a="1"/>
  <c r="DE44" i="53" a="1"/>
  <c r="DE45" i="53" a="1"/>
  <c r="DE46" i="53" a="1"/>
  <c r="DE47" i="53" a="1"/>
  <c r="DE48" i="53" a="1"/>
  <c r="DE49" i="53" a="1"/>
  <c r="DE50" i="53" a="1"/>
  <c r="DE51" i="53" a="1"/>
  <c r="DE52" i="53" a="1"/>
  <c r="DE53" i="53" a="1"/>
  <c r="DE54" i="53" a="1"/>
  <c r="DE55" i="53" a="1"/>
  <c r="DE56" i="53" a="1"/>
  <c r="DE57" i="53" a="1"/>
  <c r="DE58" i="53" a="1"/>
  <c r="DE59" i="53" a="1"/>
  <c r="DE60" i="53" a="1"/>
  <c r="DE61" i="53" a="1"/>
  <c r="DE62" i="53" a="1"/>
  <c r="DE63" i="53" a="1"/>
  <c r="DE64" i="53" a="1"/>
  <c r="DE32" i="53"/>
  <c r="DE33" i="53"/>
  <c r="DE34" i="53"/>
  <c r="DE35" i="53"/>
  <c r="DE36" i="53"/>
  <c r="DE37" i="53"/>
  <c r="DE38" i="53"/>
  <c r="DE39" i="53"/>
  <c r="DE40" i="53"/>
  <c r="DE41" i="53"/>
  <c r="DE42" i="53"/>
  <c r="DE43" i="53"/>
  <c r="DE44" i="53"/>
  <c r="DE45" i="53"/>
  <c r="DE46" i="53"/>
  <c r="DE47" i="53"/>
  <c r="DE48" i="53"/>
  <c r="DE49" i="53"/>
  <c r="DE50" i="53"/>
  <c r="DE51" i="53"/>
  <c r="DE52" i="53"/>
  <c r="DE53" i="53"/>
  <c r="DE54" i="53"/>
  <c r="DE55" i="53"/>
  <c r="DE56" i="53"/>
  <c r="DE57" i="53"/>
  <c r="DE58" i="53"/>
  <c r="DE59" i="53"/>
  <c r="DE60" i="53"/>
  <c r="DE61" i="53"/>
  <c r="DE62" i="53"/>
  <c r="DE63" i="53"/>
  <c r="DE64" i="53"/>
  <c r="DE68" i="53"/>
  <c r="BQ71" i="53"/>
  <c r="BP27" i="53"/>
  <c r="BP30" i="53" a="1"/>
  <c r="BP30" i="53"/>
  <c r="BP31" i="53" a="1"/>
  <c r="BP31" i="53"/>
  <c r="BP32" i="53" a="1"/>
  <c r="BP33" i="53" a="1"/>
  <c r="BP34" i="53" a="1"/>
  <c r="BP35" i="53" a="1"/>
  <c r="BP36" i="53" a="1"/>
  <c r="BP37" i="53" a="1"/>
  <c r="BP38" i="53" a="1"/>
  <c r="BP39" i="53" a="1"/>
  <c r="BP40" i="53" a="1"/>
  <c r="BP41" i="53" a="1"/>
  <c r="BP42" i="53" a="1"/>
  <c r="BP43" i="53" a="1"/>
  <c r="BP44" i="53" a="1"/>
  <c r="BP45" i="53" a="1"/>
  <c r="BP46" i="53" a="1"/>
  <c r="BP47" i="53" a="1"/>
  <c r="BP48" i="53" a="1"/>
  <c r="BP49" i="53" a="1"/>
  <c r="BP50" i="53" a="1"/>
  <c r="BP51" i="53" a="1"/>
  <c r="BP52" i="53" a="1"/>
  <c r="BP53" i="53" a="1"/>
  <c r="BP54" i="53" a="1"/>
  <c r="BP55" i="53" a="1"/>
  <c r="BP56" i="53" a="1"/>
  <c r="BP57" i="53" a="1"/>
  <c r="BP58" i="53" a="1"/>
  <c r="BP59" i="53" a="1"/>
  <c r="BP60" i="53" a="1"/>
  <c r="BP61" i="53" a="1"/>
  <c r="BP62" i="53" a="1"/>
  <c r="BP63" i="53" a="1"/>
  <c r="BP64" i="53" a="1"/>
  <c r="BP32" i="53"/>
  <c r="BP33" i="53"/>
  <c r="BP34" i="53"/>
  <c r="BP35" i="53"/>
  <c r="BP36" i="53"/>
  <c r="BP37" i="53"/>
  <c r="BP38" i="53"/>
  <c r="BP39" i="53"/>
  <c r="BP40" i="53"/>
  <c r="BP41" i="53"/>
  <c r="BP42" i="53"/>
  <c r="BP43" i="53"/>
  <c r="BP44" i="53"/>
  <c r="BP45" i="53"/>
  <c r="BP46" i="53"/>
  <c r="BP47" i="53"/>
  <c r="BP48" i="53"/>
  <c r="BP49" i="53"/>
  <c r="BP50" i="53"/>
  <c r="BP51" i="53"/>
  <c r="BP52" i="53"/>
  <c r="BP53" i="53"/>
  <c r="BP54" i="53"/>
  <c r="BP55" i="53"/>
  <c r="BP56" i="53"/>
  <c r="BP57" i="53"/>
  <c r="BP58" i="53"/>
  <c r="BP59" i="53"/>
  <c r="BP60" i="53"/>
  <c r="BP61" i="53"/>
  <c r="BP62" i="53"/>
  <c r="BP63" i="53"/>
  <c r="BP64" i="53"/>
  <c r="BP68" i="53"/>
  <c r="CD27" i="53"/>
  <c r="CD30" i="53" a="1"/>
  <c r="CD30" i="53"/>
  <c r="CD31" i="53" a="1"/>
  <c r="CD31" i="53"/>
  <c r="CD32" i="53" a="1"/>
  <c r="CD33" i="53" a="1"/>
  <c r="CD34" i="53" a="1"/>
  <c r="CD35" i="53" a="1"/>
  <c r="CD36" i="53" a="1"/>
  <c r="CD37" i="53" a="1"/>
  <c r="CD38" i="53" a="1"/>
  <c r="CD39" i="53" a="1"/>
  <c r="CD40" i="53" a="1"/>
  <c r="CD41" i="53" a="1"/>
  <c r="CD42" i="53" a="1"/>
  <c r="CD43" i="53" a="1"/>
  <c r="CD44" i="53" a="1"/>
  <c r="CD45" i="53" a="1"/>
  <c r="CD46" i="53" a="1"/>
  <c r="CD47" i="53" a="1"/>
  <c r="CD48" i="53" a="1"/>
  <c r="CD49" i="53" a="1"/>
  <c r="CD50" i="53" a="1"/>
  <c r="CD51" i="53" a="1"/>
  <c r="CD52" i="53" a="1"/>
  <c r="CD53" i="53" a="1"/>
  <c r="CD54" i="53" a="1"/>
  <c r="CD55" i="53" a="1"/>
  <c r="CD56" i="53" a="1"/>
  <c r="CD57" i="53" a="1"/>
  <c r="CD58" i="53" a="1"/>
  <c r="CD59" i="53" a="1"/>
  <c r="CD60" i="53" a="1"/>
  <c r="CD61" i="53" a="1"/>
  <c r="CD62" i="53" a="1"/>
  <c r="CD63" i="53" a="1"/>
  <c r="CD64" i="53" a="1"/>
  <c r="CD32" i="53"/>
  <c r="CD33" i="53"/>
  <c r="CD34" i="53"/>
  <c r="CD35" i="53"/>
  <c r="CD36" i="53"/>
  <c r="CD37" i="53"/>
  <c r="CD38" i="53"/>
  <c r="CD39" i="53"/>
  <c r="CD40" i="53"/>
  <c r="CD41" i="53"/>
  <c r="CD42" i="53"/>
  <c r="CD43" i="53"/>
  <c r="CD44" i="53"/>
  <c r="CD45" i="53"/>
  <c r="CD46" i="53"/>
  <c r="CD47" i="53"/>
  <c r="CD48" i="53"/>
  <c r="CD49" i="53"/>
  <c r="CD50" i="53"/>
  <c r="CD51" i="53"/>
  <c r="CD52" i="53"/>
  <c r="CD53" i="53"/>
  <c r="CD54" i="53"/>
  <c r="CD55" i="53"/>
  <c r="CD56" i="53"/>
  <c r="CD57" i="53"/>
  <c r="CD58" i="53"/>
  <c r="CD59" i="53"/>
  <c r="CD60" i="53"/>
  <c r="CD61" i="53"/>
  <c r="CD62" i="53"/>
  <c r="CD63" i="53"/>
  <c r="CD64" i="53"/>
  <c r="CD68" i="53"/>
  <c r="CP27" i="53"/>
  <c r="CP30" i="53" a="1"/>
  <c r="CP30" i="53"/>
  <c r="CP31" i="53" a="1"/>
  <c r="CP31" i="53"/>
  <c r="CP32" i="53" a="1"/>
  <c r="CP33" i="53" a="1"/>
  <c r="CP34" i="53" a="1"/>
  <c r="CP35" i="53" a="1"/>
  <c r="CP36" i="53" a="1"/>
  <c r="CP37" i="53" a="1"/>
  <c r="CP38" i="53" a="1"/>
  <c r="CP39" i="53" a="1"/>
  <c r="CP40" i="53" a="1"/>
  <c r="CP41" i="53" a="1"/>
  <c r="CP42" i="53" a="1"/>
  <c r="CP43" i="53" a="1"/>
  <c r="CP44" i="53" a="1"/>
  <c r="CP45" i="53" a="1"/>
  <c r="CP46" i="53" a="1"/>
  <c r="CP47" i="53" a="1"/>
  <c r="CP48" i="53" a="1"/>
  <c r="CP49" i="53" a="1"/>
  <c r="CP50" i="53" a="1"/>
  <c r="CP51" i="53" a="1"/>
  <c r="CP52" i="53" a="1"/>
  <c r="CP53" i="53" a="1"/>
  <c r="CP54" i="53" a="1"/>
  <c r="CP55" i="53" a="1"/>
  <c r="CP56" i="53" a="1"/>
  <c r="CP57" i="53" a="1"/>
  <c r="CP58" i="53" a="1"/>
  <c r="CP59" i="53" a="1"/>
  <c r="CP60" i="53" a="1"/>
  <c r="CP61" i="53" a="1"/>
  <c r="CP62" i="53" a="1"/>
  <c r="CP63" i="53" a="1"/>
  <c r="CP64" i="53" a="1"/>
  <c r="CP32" i="53"/>
  <c r="CP33" i="53"/>
  <c r="CP34" i="53"/>
  <c r="CP35" i="53"/>
  <c r="CP36" i="53"/>
  <c r="CP37" i="53"/>
  <c r="CP38" i="53"/>
  <c r="CP39" i="53"/>
  <c r="CP40" i="53"/>
  <c r="CP41" i="53"/>
  <c r="CP42" i="53"/>
  <c r="CP43" i="53"/>
  <c r="CP44" i="53"/>
  <c r="CP45" i="53"/>
  <c r="CP46" i="53"/>
  <c r="CP47" i="53"/>
  <c r="CP48" i="53"/>
  <c r="CP49" i="53"/>
  <c r="CP50" i="53"/>
  <c r="CP51" i="53"/>
  <c r="CP52" i="53"/>
  <c r="CP53" i="53"/>
  <c r="CP54" i="53"/>
  <c r="CP55" i="53"/>
  <c r="CP56" i="53"/>
  <c r="CP57" i="53"/>
  <c r="CP58" i="53"/>
  <c r="CP59" i="53"/>
  <c r="CP60" i="53"/>
  <c r="CP61" i="53"/>
  <c r="CP62" i="53"/>
  <c r="CP63" i="53"/>
  <c r="CP64" i="53"/>
  <c r="CP68" i="53"/>
  <c r="DD27" i="53"/>
  <c r="DD30" i="53" a="1"/>
  <c r="DD30" i="53"/>
  <c r="DD31" i="53" a="1"/>
  <c r="DD31" i="53"/>
  <c r="DD32" i="53" a="1"/>
  <c r="DD33" i="53" a="1"/>
  <c r="DD34" i="53" a="1"/>
  <c r="DD35" i="53" a="1"/>
  <c r="DD36" i="53" a="1"/>
  <c r="DD37" i="53" a="1"/>
  <c r="DD38" i="53" a="1"/>
  <c r="DD39" i="53" a="1"/>
  <c r="DD40" i="53" a="1"/>
  <c r="DD41" i="53" a="1"/>
  <c r="DD42" i="53" a="1"/>
  <c r="DD43" i="53" a="1"/>
  <c r="DD44" i="53" a="1"/>
  <c r="DD45" i="53" a="1"/>
  <c r="DD46" i="53" a="1"/>
  <c r="DD47" i="53" a="1"/>
  <c r="DD48" i="53" a="1"/>
  <c r="DD49" i="53" a="1"/>
  <c r="DD50" i="53" a="1"/>
  <c r="DD51" i="53" a="1"/>
  <c r="DD52" i="53" a="1"/>
  <c r="DD53" i="53" a="1"/>
  <c r="DD54" i="53" a="1"/>
  <c r="DD55" i="53" a="1"/>
  <c r="DD56" i="53" a="1"/>
  <c r="DD57" i="53" a="1"/>
  <c r="DD58" i="53" a="1"/>
  <c r="DD59" i="53" a="1"/>
  <c r="DD60" i="53" a="1"/>
  <c r="DD61" i="53" a="1"/>
  <c r="DD62" i="53" a="1"/>
  <c r="DD63" i="53" a="1"/>
  <c r="DD64" i="53" a="1"/>
  <c r="DD32" i="53"/>
  <c r="DD33" i="53"/>
  <c r="DD34" i="53"/>
  <c r="DD35" i="53"/>
  <c r="DD36" i="53"/>
  <c r="DD37" i="53"/>
  <c r="DD38" i="53"/>
  <c r="DD39" i="53"/>
  <c r="DD40" i="53"/>
  <c r="DD41" i="53"/>
  <c r="DD42" i="53"/>
  <c r="DD43" i="53"/>
  <c r="DD44" i="53"/>
  <c r="DD45" i="53"/>
  <c r="DD46" i="53"/>
  <c r="DD47" i="53"/>
  <c r="DD48" i="53"/>
  <c r="DD49" i="53"/>
  <c r="DD50" i="53"/>
  <c r="DD51" i="53"/>
  <c r="DD52" i="53"/>
  <c r="DD53" i="53"/>
  <c r="DD54" i="53"/>
  <c r="DD55" i="53"/>
  <c r="DD56" i="53"/>
  <c r="DD57" i="53"/>
  <c r="DD58" i="53"/>
  <c r="DD59" i="53"/>
  <c r="DD60" i="53"/>
  <c r="DD61" i="53"/>
  <c r="DD62" i="53"/>
  <c r="DD63" i="53"/>
  <c r="DD64" i="53"/>
  <c r="DD68" i="53"/>
  <c r="BP71" i="53"/>
  <c r="BO27" i="53"/>
  <c r="BO30" i="53" a="1"/>
  <c r="BO30" i="53"/>
  <c r="BO31" i="53" a="1"/>
  <c r="BO31" i="53"/>
  <c r="BO32" i="53" a="1"/>
  <c r="BO33" i="53" a="1"/>
  <c r="BO34" i="53" a="1"/>
  <c r="BO35" i="53" a="1"/>
  <c r="BO36" i="53" a="1"/>
  <c r="BO37" i="53" a="1"/>
  <c r="BO38" i="53" a="1"/>
  <c r="BO39" i="53" a="1"/>
  <c r="BO40" i="53" a="1"/>
  <c r="BO41" i="53" a="1"/>
  <c r="BO42" i="53" a="1"/>
  <c r="BO43" i="53" a="1"/>
  <c r="BO44" i="53" a="1"/>
  <c r="BO45" i="53" a="1"/>
  <c r="BO46" i="53" a="1"/>
  <c r="BO47" i="53" a="1"/>
  <c r="BO48" i="53" a="1"/>
  <c r="BO49" i="53" a="1"/>
  <c r="BO50" i="53" a="1"/>
  <c r="BO51" i="53" a="1"/>
  <c r="BO52" i="53" a="1"/>
  <c r="BO53" i="53" a="1"/>
  <c r="BO54" i="53" a="1"/>
  <c r="BO55" i="53" a="1"/>
  <c r="BO56" i="53" a="1"/>
  <c r="BO57" i="53" a="1"/>
  <c r="BO58" i="53" a="1"/>
  <c r="BO59" i="53" a="1"/>
  <c r="BO60" i="53" a="1"/>
  <c r="BO61" i="53" a="1"/>
  <c r="BO62" i="53" a="1"/>
  <c r="BO63" i="53" a="1"/>
  <c r="BO64" i="53" a="1"/>
  <c r="BO32" i="53"/>
  <c r="BO33" i="53"/>
  <c r="BO34" i="53"/>
  <c r="BO35" i="53"/>
  <c r="BO36" i="53"/>
  <c r="BO37" i="53"/>
  <c r="BO38" i="53"/>
  <c r="BO39" i="53"/>
  <c r="BO40" i="53"/>
  <c r="BO41" i="53"/>
  <c r="BO42" i="53"/>
  <c r="BO43" i="53"/>
  <c r="BO44" i="53"/>
  <c r="BO45" i="53"/>
  <c r="BO46" i="53"/>
  <c r="BO47" i="53"/>
  <c r="BO48" i="53"/>
  <c r="BO49" i="53"/>
  <c r="BO50" i="53"/>
  <c r="BO51" i="53"/>
  <c r="BO52" i="53"/>
  <c r="BO53" i="53"/>
  <c r="BO54" i="53"/>
  <c r="BO55" i="53"/>
  <c r="BO56" i="53"/>
  <c r="BO57" i="53"/>
  <c r="BO58" i="53"/>
  <c r="BO59" i="53"/>
  <c r="BO60" i="53"/>
  <c r="BO61" i="53"/>
  <c r="BO62" i="53"/>
  <c r="BO63" i="53"/>
  <c r="BO64" i="53"/>
  <c r="BO68" i="53"/>
  <c r="CC27" i="53"/>
  <c r="CC30" i="53" a="1"/>
  <c r="CC30" i="53"/>
  <c r="CC31" i="53" a="1"/>
  <c r="CC31" i="53"/>
  <c r="CC32" i="53" a="1"/>
  <c r="CC33" i="53" a="1"/>
  <c r="CC34" i="53" a="1"/>
  <c r="CC35" i="53" a="1"/>
  <c r="CC36" i="53" a="1"/>
  <c r="CC37" i="53" a="1"/>
  <c r="CC38" i="53" a="1"/>
  <c r="CC39" i="53" a="1"/>
  <c r="CC40" i="53" a="1"/>
  <c r="CC41" i="53" a="1"/>
  <c r="CC42" i="53" a="1"/>
  <c r="CC43" i="53" a="1"/>
  <c r="CC44" i="53" a="1"/>
  <c r="CC45" i="53" a="1"/>
  <c r="CC46" i="53" a="1"/>
  <c r="CC47" i="53" a="1"/>
  <c r="CC48" i="53" a="1"/>
  <c r="CC49" i="53" a="1"/>
  <c r="CC50" i="53" a="1"/>
  <c r="CC51" i="53" a="1"/>
  <c r="CC52" i="53" a="1"/>
  <c r="CC53" i="53" a="1"/>
  <c r="CC54" i="53" a="1"/>
  <c r="CC55" i="53" a="1"/>
  <c r="CC56" i="53" a="1"/>
  <c r="CC57" i="53" a="1"/>
  <c r="CC58" i="53" a="1"/>
  <c r="CC59" i="53" a="1"/>
  <c r="CC60" i="53" a="1"/>
  <c r="CC61" i="53" a="1"/>
  <c r="CC62" i="53" a="1"/>
  <c r="CC63" i="53" a="1"/>
  <c r="CC64" i="53" a="1"/>
  <c r="CC32" i="53"/>
  <c r="CC33" i="53"/>
  <c r="CC34" i="53"/>
  <c r="CC35" i="53"/>
  <c r="CC36" i="53"/>
  <c r="CC37" i="53"/>
  <c r="CC38" i="53"/>
  <c r="CC39" i="53"/>
  <c r="CC40" i="53"/>
  <c r="CC41" i="53"/>
  <c r="CC42" i="53"/>
  <c r="CC43" i="53"/>
  <c r="CC44" i="53"/>
  <c r="CC45" i="53"/>
  <c r="CC46" i="53"/>
  <c r="CC47" i="53"/>
  <c r="CC48" i="53"/>
  <c r="CC49" i="53"/>
  <c r="CC50" i="53"/>
  <c r="CC51" i="53"/>
  <c r="CC52" i="53"/>
  <c r="CC53" i="53"/>
  <c r="CC54" i="53"/>
  <c r="CC55" i="53"/>
  <c r="CC56" i="53"/>
  <c r="CC57" i="53"/>
  <c r="CC58" i="53"/>
  <c r="CC59" i="53"/>
  <c r="CC60" i="53"/>
  <c r="CC61" i="53"/>
  <c r="CC62" i="53"/>
  <c r="CC63" i="53"/>
  <c r="CC64" i="53"/>
  <c r="CC68" i="53"/>
  <c r="CO27" i="53"/>
  <c r="CO30" i="53" a="1"/>
  <c r="CO30" i="53"/>
  <c r="CO31" i="53" a="1"/>
  <c r="CO31" i="53"/>
  <c r="CO32" i="53" a="1"/>
  <c r="CO33" i="53" a="1"/>
  <c r="CO34" i="53" a="1"/>
  <c r="CO35" i="53" a="1"/>
  <c r="CO36" i="53" a="1"/>
  <c r="CO37" i="53" a="1"/>
  <c r="CO38" i="53" a="1"/>
  <c r="CO39" i="53" a="1"/>
  <c r="CO40" i="53" a="1"/>
  <c r="CO41" i="53" a="1"/>
  <c r="CO42" i="53" a="1"/>
  <c r="CO43" i="53" a="1"/>
  <c r="CO44" i="53" a="1"/>
  <c r="CO45" i="53" a="1"/>
  <c r="CO46" i="53" a="1"/>
  <c r="CO47" i="53" a="1"/>
  <c r="CO48" i="53" a="1"/>
  <c r="CO49" i="53" a="1"/>
  <c r="CO50" i="53" a="1"/>
  <c r="CO51" i="53" a="1"/>
  <c r="CO52" i="53" a="1"/>
  <c r="CO53" i="53" a="1"/>
  <c r="CO54" i="53" a="1"/>
  <c r="CO55" i="53" a="1"/>
  <c r="CO56" i="53" a="1"/>
  <c r="CO57" i="53" a="1"/>
  <c r="CO58" i="53" a="1"/>
  <c r="CO59" i="53" a="1"/>
  <c r="CO60" i="53" a="1"/>
  <c r="CO61" i="53" a="1"/>
  <c r="CO62" i="53" a="1"/>
  <c r="CO63" i="53" a="1"/>
  <c r="CO64" i="53" a="1"/>
  <c r="CO32" i="53"/>
  <c r="CO33" i="53"/>
  <c r="CO34" i="53"/>
  <c r="CO35" i="53"/>
  <c r="CO36" i="53"/>
  <c r="CO37" i="53"/>
  <c r="CO38" i="53"/>
  <c r="CO39" i="53"/>
  <c r="CO40" i="53"/>
  <c r="CO41" i="53"/>
  <c r="CO42" i="53"/>
  <c r="CO43" i="53"/>
  <c r="CO44" i="53"/>
  <c r="CO45" i="53"/>
  <c r="CO46" i="53"/>
  <c r="CO47" i="53"/>
  <c r="CO48" i="53"/>
  <c r="CO49" i="53"/>
  <c r="CO50" i="53"/>
  <c r="CO51" i="53"/>
  <c r="CO52" i="53"/>
  <c r="CO53" i="53"/>
  <c r="CO54" i="53"/>
  <c r="CO55" i="53"/>
  <c r="CO56" i="53"/>
  <c r="CO57" i="53"/>
  <c r="CO58" i="53"/>
  <c r="CO59" i="53"/>
  <c r="CO60" i="53"/>
  <c r="CO61" i="53"/>
  <c r="CO62" i="53"/>
  <c r="CO63" i="53"/>
  <c r="CO64" i="53"/>
  <c r="CO68" i="53"/>
  <c r="DC27" i="53"/>
  <c r="DC30" i="53" a="1"/>
  <c r="DC30" i="53"/>
  <c r="DC31" i="53" a="1"/>
  <c r="DC31" i="53"/>
  <c r="DC32" i="53" a="1"/>
  <c r="DC33" i="53" a="1"/>
  <c r="DC34" i="53" a="1"/>
  <c r="DC35" i="53" a="1"/>
  <c r="DC36" i="53" a="1"/>
  <c r="DC37" i="53" a="1"/>
  <c r="DC38" i="53" a="1"/>
  <c r="DC39" i="53" a="1"/>
  <c r="DC40" i="53" a="1"/>
  <c r="DC41" i="53" a="1"/>
  <c r="DC42" i="53" a="1"/>
  <c r="DC43" i="53" a="1"/>
  <c r="DC44" i="53" a="1"/>
  <c r="DC45" i="53" a="1"/>
  <c r="DC46" i="53" a="1"/>
  <c r="DC47" i="53" a="1"/>
  <c r="DC48" i="53" a="1"/>
  <c r="DC49" i="53" a="1"/>
  <c r="DC50" i="53" a="1"/>
  <c r="DC51" i="53" a="1"/>
  <c r="DC52" i="53" a="1"/>
  <c r="DC53" i="53" a="1"/>
  <c r="DC54" i="53" a="1"/>
  <c r="DC55" i="53" a="1"/>
  <c r="DC56" i="53" a="1"/>
  <c r="DC57" i="53" a="1"/>
  <c r="DC58" i="53" a="1"/>
  <c r="DC59" i="53" a="1"/>
  <c r="DC60" i="53" a="1"/>
  <c r="DC61" i="53" a="1"/>
  <c r="DC62" i="53" a="1"/>
  <c r="DC63" i="53" a="1"/>
  <c r="DC64" i="53" a="1"/>
  <c r="DC32" i="53"/>
  <c r="DC33" i="53"/>
  <c r="DC34" i="53"/>
  <c r="DC35" i="53"/>
  <c r="DC36" i="53"/>
  <c r="DC37" i="53"/>
  <c r="DC38" i="53"/>
  <c r="DC39" i="53"/>
  <c r="DC40" i="53"/>
  <c r="DC41" i="53"/>
  <c r="DC42" i="53"/>
  <c r="DC43" i="53"/>
  <c r="DC44" i="53"/>
  <c r="DC45" i="53"/>
  <c r="DC46" i="53"/>
  <c r="DC47" i="53"/>
  <c r="DC48" i="53"/>
  <c r="DC49" i="53"/>
  <c r="DC50" i="53"/>
  <c r="DC51" i="53"/>
  <c r="DC52" i="53"/>
  <c r="DC53" i="53"/>
  <c r="DC54" i="53"/>
  <c r="DC55" i="53"/>
  <c r="DC56" i="53"/>
  <c r="DC57" i="53"/>
  <c r="DC58" i="53"/>
  <c r="DC59" i="53"/>
  <c r="DC60" i="53"/>
  <c r="DC61" i="53"/>
  <c r="DC62" i="53"/>
  <c r="DC63" i="53"/>
  <c r="DC64" i="53"/>
  <c r="DC68" i="53"/>
  <c r="BO71" i="53"/>
  <c r="BN27" i="53"/>
  <c r="BN30" i="53" a="1"/>
  <c r="BN30" i="53"/>
  <c r="BN31" i="53" a="1"/>
  <c r="BN31" i="53"/>
  <c r="BN32" i="53" a="1"/>
  <c r="BN33" i="53" a="1"/>
  <c r="BN34" i="53" a="1"/>
  <c r="BN35" i="53" a="1"/>
  <c r="BN36" i="53" a="1"/>
  <c r="BN37" i="53" a="1"/>
  <c r="BN38" i="53" a="1"/>
  <c r="BN39" i="53" a="1"/>
  <c r="BN40" i="53" a="1"/>
  <c r="BN41" i="53" a="1"/>
  <c r="BN42" i="53" a="1"/>
  <c r="BN43" i="53" a="1"/>
  <c r="BN44" i="53" a="1"/>
  <c r="BN45" i="53" a="1"/>
  <c r="BN46" i="53" a="1"/>
  <c r="BN47" i="53" a="1"/>
  <c r="BN48" i="53" a="1"/>
  <c r="BN49" i="53" a="1"/>
  <c r="BN50" i="53" a="1"/>
  <c r="BN51" i="53" a="1"/>
  <c r="BN52" i="53" a="1"/>
  <c r="BN53" i="53" a="1"/>
  <c r="BN54" i="53" a="1"/>
  <c r="BN55" i="53" a="1"/>
  <c r="BN56" i="53" a="1"/>
  <c r="BN57" i="53" a="1"/>
  <c r="BN58" i="53" a="1"/>
  <c r="BN59" i="53" a="1"/>
  <c r="BN60" i="53" a="1"/>
  <c r="BN61" i="53" a="1"/>
  <c r="BN62" i="53" a="1"/>
  <c r="BN63" i="53" a="1"/>
  <c r="BN64" i="53" a="1"/>
  <c r="BN32" i="53"/>
  <c r="BN33" i="53"/>
  <c r="BN34" i="53"/>
  <c r="BN35" i="53"/>
  <c r="BN36" i="53"/>
  <c r="BN37" i="53"/>
  <c r="BN38" i="53"/>
  <c r="BN39" i="53"/>
  <c r="BN40" i="53"/>
  <c r="BN41" i="53"/>
  <c r="BN42" i="53"/>
  <c r="BN43" i="53"/>
  <c r="BN44" i="53"/>
  <c r="BN45" i="53"/>
  <c r="BN46" i="53"/>
  <c r="BN47" i="53"/>
  <c r="BN48" i="53"/>
  <c r="BN49" i="53"/>
  <c r="BN50" i="53"/>
  <c r="BN51" i="53"/>
  <c r="BN52" i="53"/>
  <c r="BN53" i="53"/>
  <c r="BN54" i="53"/>
  <c r="BN55" i="53"/>
  <c r="BN56" i="53"/>
  <c r="BN57" i="53"/>
  <c r="BN58" i="53"/>
  <c r="BN59" i="53"/>
  <c r="BN60" i="53"/>
  <c r="BN61" i="53"/>
  <c r="BN62" i="53"/>
  <c r="BN63" i="53"/>
  <c r="BN64" i="53"/>
  <c r="BN68" i="53"/>
  <c r="CB27" i="53"/>
  <c r="CB30" i="53" a="1"/>
  <c r="CB30" i="53"/>
  <c r="CB31" i="53" a="1"/>
  <c r="CB31" i="53"/>
  <c r="CB32" i="53" a="1"/>
  <c r="CB33" i="53" a="1"/>
  <c r="CB34" i="53" a="1"/>
  <c r="CB35" i="53" a="1"/>
  <c r="CB36" i="53" a="1"/>
  <c r="CB37" i="53" a="1"/>
  <c r="CB38" i="53" a="1"/>
  <c r="CB39" i="53" a="1"/>
  <c r="CB40" i="53" a="1"/>
  <c r="CB41" i="53" a="1"/>
  <c r="CB42" i="53" a="1"/>
  <c r="CB43" i="53" a="1"/>
  <c r="CB44" i="53" a="1"/>
  <c r="CB45" i="53" a="1"/>
  <c r="CB46" i="53" a="1"/>
  <c r="CB47" i="53" a="1"/>
  <c r="CB48" i="53" a="1"/>
  <c r="CB49" i="53" a="1"/>
  <c r="CB50" i="53" a="1"/>
  <c r="CB51" i="53" a="1"/>
  <c r="CB52" i="53" a="1"/>
  <c r="CB53" i="53" a="1"/>
  <c r="CB54" i="53" a="1"/>
  <c r="CB55" i="53" a="1"/>
  <c r="CB56" i="53" a="1"/>
  <c r="CB57" i="53" a="1"/>
  <c r="CB58" i="53" a="1"/>
  <c r="CB59" i="53" a="1"/>
  <c r="CB60" i="53" a="1"/>
  <c r="CB61" i="53" a="1"/>
  <c r="CB62" i="53" a="1"/>
  <c r="CB63" i="53" a="1"/>
  <c r="CB64" i="53" a="1"/>
  <c r="CB32" i="53"/>
  <c r="CB33" i="53"/>
  <c r="CB34" i="53"/>
  <c r="CB35" i="53"/>
  <c r="CB36" i="53"/>
  <c r="CB37" i="53"/>
  <c r="CB38" i="53"/>
  <c r="CB39" i="53"/>
  <c r="CB40" i="53"/>
  <c r="CB41" i="53"/>
  <c r="CB42" i="53"/>
  <c r="CB43" i="53"/>
  <c r="CB44" i="53"/>
  <c r="CB45" i="53"/>
  <c r="CB46" i="53"/>
  <c r="CB47" i="53"/>
  <c r="CB48" i="53"/>
  <c r="CB49" i="53"/>
  <c r="CB50" i="53"/>
  <c r="CB51" i="53"/>
  <c r="CB52" i="53"/>
  <c r="CB53" i="53"/>
  <c r="CB54" i="53"/>
  <c r="CB55" i="53"/>
  <c r="CB56" i="53"/>
  <c r="CB57" i="53"/>
  <c r="CB58" i="53"/>
  <c r="CB59" i="53"/>
  <c r="CB60" i="53"/>
  <c r="CB61" i="53"/>
  <c r="CB62" i="53"/>
  <c r="CB63" i="53"/>
  <c r="CB64" i="53"/>
  <c r="CB68" i="53"/>
  <c r="CN27" i="53"/>
  <c r="CN30" i="53" a="1"/>
  <c r="CN30" i="53"/>
  <c r="CN31" i="53" a="1"/>
  <c r="CN31" i="53"/>
  <c r="CN32" i="53" a="1"/>
  <c r="CN33" i="53" a="1"/>
  <c r="CN34" i="53" a="1"/>
  <c r="CN35" i="53" a="1"/>
  <c r="CN36" i="53" a="1"/>
  <c r="CN37" i="53" a="1"/>
  <c r="CN38" i="53" a="1"/>
  <c r="CN39" i="53" a="1"/>
  <c r="CN40" i="53" a="1"/>
  <c r="CN41" i="53" a="1"/>
  <c r="CN42" i="53" a="1"/>
  <c r="CN43" i="53" a="1"/>
  <c r="CN44" i="53" a="1"/>
  <c r="CN45" i="53" a="1"/>
  <c r="CN46" i="53" a="1"/>
  <c r="CN47" i="53" a="1"/>
  <c r="CN48" i="53" a="1"/>
  <c r="CN49" i="53" a="1"/>
  <c r="CN50" i="53" a="1"/>
  <c r="CN51" i="53" a="1"/>
  <c r="CN52" i="53" a="1"/>
  <c r="CN53" i="53" a="1"/>
  <c r="CN54" i="53" a="1"/>
  <c r="CN55" i="53" a="1"/>
  <c r="CN56" i="53" a="1"/>
  <c r="CN57" i="53" a="1"/>
  <c r="CN58" i="53" a="1"/>
  <c r="CN59" i="53" a="1"/>
  <c r="CN60" i="53" a="1"/>
  <c r="CN61" i="53" a="1"/>
  <c r="CN62" i="53" a="1"/>
  <c r="CN63" i="53" a="1"/>
  <c r="CN64" i="53" a="1"/>
  <c r="CN32" i="53"/>
  <c r="CN33" i="53"/>
  <c r="CN34" i="53"/>
  <c r="CN35" i="53"/>
  <c r="CN36" i="53"/>
  <c r="CN37" i="53"/>
  <c r="CN38" i="53"/>
  <c r="CN39" i="53"/>
  <c r="CN40" i="53"/>
  <c r="CN41" i="53"/>
  <c r="CN42" i="53"/>
  <c r="CN43" i="53"/>
  <c r="CN44" i="53"/>
  <c r="CN45" i="53"/>
  <c r="CN46" i="53"/>
  <c r="CN47" i="53"/>
  <c r="CN48" i="53"/>
  <c r="CN49" i="53"/>
  <c r="CN50" i="53"/>
  <c r="CN51" i="53"/>
  <c r="CN52" i="53"/>
  <c r="CN53" i="53"/>
  <c r="CN54" i="53"/>
  <c r="CN55" i="53"/>
  <c r="CN56" i="53"/>
  <c r="CN57" i="53"/>
  <c r="CN58" i="53"/>
  <c r="CN59" i="53"/>
  <c r="CN60" i="53"/>
  <c r="CN61" i="53"/>
  <c r="CN62" i="53"/>
  <c r="CN63" i="53"/>
  <c r="CN64" i="53"/>
  <c r="CN68" i="53"/>
  <c r="DB27" i="53"/>
  <c r="DB30" i="53" a="1"/>
  <c r="DB30" i="53"/>
  <c r="DB31" i="53" a="1"/>
  <c r="DB31" i="53"/>
  <c r="DB32" i="53" a="1"/>
  <c r="DB33" i="53" a="1"/>
  <c r="DB34" i="53" a="1"/>
  <c r="DB35" i="53" a="1"/>
  <c r="DB36" i="53" a="1"/>
  <c r="DB37" i="53" a="1"/>
  <c r="DB38" i="53" a="1"/>
  <c r="DB39" i="53" a="1"/>
  <c r="DB40" i="53" a="1"/>
  <c r="DB41" i="53" a="1"/>
  <c r="DB42" i="53" a="1"/>
  <c r="DB43" i="53" a="1"/>
  <c r="DB44" i="53" a="1"/>
  <c r="DB45" i="53" a="1"/>
  <c r="DB46" i="53" a="1"/>
  <c r="DB47" i="53" a="1"/>
  <c r="DB48" i="53" a="1"/>
  <c r="DB49" i="53" a="1"/>
  <c r="DB50" i="53" a="1"/>
  <c r="DB51" i="53" a="1"/>
  <c r="DB52" i="53" a="1"/>
  <c r="DB53" i="53" a="1"/>
  <c r="DB54" i="53" a="1"/>
  <c r="DB55" i="53" a="1"/>
  <c r="DB56" i="53" a="1"/>
  <c r="DB57" i="53" a="1"/>
  <c r="DB58" i="53" a="1"/>
  <c r="DB59" i="53" a="1"/>
  <c r="DB60" i="53" a="1"/>
  <c r="DB61" i="53" a="1"/>
  <c r="DB62" i="53" a="1"/>
  <c r="DB63" i="53" a="1"/>
  <c r="DB64" i="53" a="1"/>
  <c r="DB32" i="53"/>
  <c r="DB33" i="53"/>
  <c r="DB34" i="53"/>
  <c r="DB35" i="53"/>
  <c r="DB36" i="53"/>
  <c r="DB37" i="53"/>
  <c r="DB38" i="53"/>
  <c r="DB39" i="53"/>
  <c r="DB40" i="53"/>
  <c r="DB41" i="53"/>
  <c r="DB42" i="53"/>
  <c r="DB43" i="53"/>
  <c r="DB44" i="53"/>
  <c r="DB45" i="53"/>
  <c r="DB46" i="53"/>
  <c r="DB47" i="53"/>
  <c r="DB48" i="53"/>
  <c r="DB49" i="53"/>
  <c r="DB50" i="53"/>
  <c r="DB51" i="53"/>
  <c r="DB52" i="53"/>
  <c r="DB53" i="53"/>
  <c r="DB54" i="53"/>
  <c r="DB55" i="53"/>
  <c r="DB56" i="53"/>
  <c r="DB57" i="53"/>
  <c r="DB58" i="53"/>
  <c r="DB59" i="53"/>
  <c r="DB60" i="53"/>
  <c r="DB61" i="53"/>
  <c r="DB62" i="53"/>
  <c r="DB63" i="53"/>
  <c r="DB64" i="53"/>
  <c r="DB68" i="53"/>
  <c r="BN71" i="53"/>
  <c r="BM27" i="53"/>
  <c r="BM30" i="53" a="1"/>
  <c r="BM30" i="53"/>
  <c r="BM31" i="53" a="1"/>
  <c r="BM31" i="53"/>
  <c r="BM32" i="53" a="1"/>
  <c r="BM33" i="53" a="1"/>
  <c r="BM34" i="53" a="1"/>
  <c r="BM35" i="53" a="1"/>
  <c r="BM36" i="53" a="1"/>
  <c r="BM37" i="53" a="1"/>
  <c r="BM38" i="53" a="1"/>
  <c r="BM39" i="53" a="1"/>
  <c r="BM40" i="53" a="1"/>
  <c r="BM41" i="53" a="1"/>
  <c r="BM42" i="53" a="1"/>
  <c r="BM43" i="53" a="1"/>
  <c r="BM44" i="53" a="1"/>
  <c r="BM45" i="53" a="1"/>
  <c r="BM46" i="53" a="1"/>
  <c r="BM47" i="53" a="1"/>
  <c r="BM48" i="53" a="1"/>
  <c r="BM49" i="53" a="1"/>
  <c r="BM50" i="53" a="1"/>
  <c r="BM51" i="53" a="1"/>
  <c r="BM52" i="53" a="1"/>
  <c r="BM53" i="53" a="1"/>
  <c r="BM54" i="53" a="1"/>
  <c r="BM55" i="53" a="1"/>
  <c r="BM56" i="53" a="1"/>
  <c r="BM57" i="53" a="1"/>
  <c r="BM58" i="53" a="1"/>
  <c r="BM59" i="53" a="1"/>
  <c r="BM60" i="53" a="1"/>
  <c r="BM61" i="53" a="1"/>
  <c r="BM62" i="53" a="1"/>
  <c r="BM63" i="53" a="1"/>
  <c r="BM64" i="53" a="1"/>
  <c r="BM32" i="53"/>
  <c r="BM33" i="53"/>
  <c r="BM34" i="53"/>
  <c r="BM35" i="53"/>
  <c r="BM36" i="53"/>
  <c r="BM37" i="53"/>
  <c r="BM38" i="53"/>
  <c r="BM39" i="53"/>
  <c r="BM40" i="53"/>
  <c r="BM41" i="53"/>
  <c r="BM42" i="53"/>
  <c r="BM43" i="53"/>
  <c r="BM44" i="53"/>
  <c r="BM45" i="53"/>
  <c r="BM46" i="53"/>
  <c r="BM47" i="53"/>
  <c r="BM48" i="53"/>
  <c r="BM49" i="53"/>
  <c r="BM50" i="53"/>
  <c r="BM51" i="53"/>
  <c r="BM52" i="53"/>
  <c r="BM53" i="53"/>
  <c r="BM54" i="53"/>
  <c r="BM55" i="53"/>
  <c r="BM56" i="53"/>
  <c r="BM57" i="53"/>
  <c r="BM58" i="53"/>
  <c r="BM59" i="53"/>
  <c r="BM60" i="53"/>
  <c r="BM61" i="53"/>
  <c r="BM62" i="53"/>
  <c r="BM63" i="53"/>
  <c r="BM64" i="53"/>
  <c r="BM68" i="53"/>
  <c r="CA27" i="53"/>
  <c r="CA30" i="53" a="1"/>
  <c r="CA30" i="53"/>
  <c r="CA31" i="53" a="1"/>
  <c r="CA31" i="53"/>
  <c r="CA32" i="53" a="1"/>
  <c r="CA33" i="53" a="1"/>
  <c r="CA34" i="53" a="1"/>
  <c r="CA35" i="53" a="1"/>
  <c r="CA36" i="53" a="1"/>
  <c r="CA37" i="53" a="1"/>
  <c r="CA38" i="53" a="1"/>
  <c r="CA39" i="53" a="1"/>
  <c r="CA40" i="53" a="1"/>
  <c r="CA41" i="53" a="1"/>
  <c r="CA42" i="53" a="1"/>
  <c r="CA43" i="53" a="1"/>
  <c r="CA44" i="53" a="1"/>
  <c r="CA45" i="53" a="1"/>
  <c r="CA46" i="53" a="1"/>
  <c r="CA47" i="53" a="1"/>
  <c r="CA48" i="53" a="1"/>
  <c r="CA49" i="53" a="1"/>
  <c r="CA50" i="53" a="1"/>
  <c r="CA51" i="53" a="1"/>
  <c r="CA52" i="53" a="1"/>
  <c r="CA53" i="53" a="1"/>
  <c r="CA54" i="53" a="1"/>
  <c r="CA55" i="53" a="1"/>
  <c r="CA56" i="53" a="1"/>
  <c r="CA57" i="53" a="1"/>
  <c r="CA58" i="53" a="1"/>
  <c r="CA59" i="53" a="1"/>
  <c r="CA60" i="53" a="1"/>
  <c r="CA61" i="53" a="1"/>
  <c r="CA62" i="53" a="1"/>
  <c r="CA63" i="53" a="1"/>
  <c r="CA64" i="53" a="1"/>
  <c r="CA32" i="53"/>
  <c r="CA33" i="53"/>
  <c r="CA34" i="53"/>
  <c r="CA35" i="53"/>
  <c r="CA36" i="53"/>
  <c r="CA37" i="53"/>
  <c r="CA38" i="53"/>
  <c r="CA39" i="53"/>
  <c r="CA40" i="53"/>
  <c r="CA41" i="53"/>
  <c r="CA42" i="53"/>
  <c r="CA43" i="53"/>
  <c r="CA44" i="53"/>
  <c r="CA45" i="53"/>
  <c r="CA46" i="53"/>
  <c r="CA47" i="53"/>
  <c r="CA48" i="53"/>
  <c r="CA49" i="53"/>
  <c r="CA50" i="53"/>
  <c r="CA51" i="53"/>
  <c r="CA52" i="53"/>
  <c r="CA53" i="53"/>
  <c r="CA54" i="53"/>
  <c r="CA55" i="53"/>
  <c r="CA56" i="53"/>
  <c r="CA57" i="53"/>
  <c r="CA58" i="53"/>
  <c r="CA59" i="53"/>
  <c r="CA60" i="53"/>
  <c r="CA61" i="53"/>
  <c r="CA62" i="53"/>
  <c r="CA63" i="53"/>
  <c r="CA64" i="53"/>
  <c r="CA68" i="53"/>
  <c r="DA27" i="53"/>
  <c r="DA30" i="53" a="1"/>
  <c r="DA30" i="53"/>
  <c r="DA31" i="53" a="1"/>
  <c r="DA31" i="53"/>
  <c r="DA32" i="53" a="1"/>
  <c r="DA33" i="53" a="1"/>
  <c r="DA34" i="53" a="1"/>
  <c r="DA35" i="53" a="1"/>
  <c r="DA36" i="53" a="1"/>
  <c r="DA37" i="53" a="1"/>
  <c r="DA38" i="53" a="1"/>
  <c r="DA39" i="53" a="1"/>
  <c r="DA40" i="53" a="1"/>
  <c r="DA41" i="53" a="1"/>
  <c r="DA42" i="53" a="1"/>
  <c r="DA43" i="53" a="1"/>
  <c r="DA44" i="53" a="1"/>
  <c r="DA45" i="53" a="1"/>
  <c r="DA46" i="53" a="1"/>
  <c r="DA47" i="53" a="1"/>
  <c r="DA48" i="53" a="1"/>
  <c r="DA49" i="53" a="1"/>
  <c r="DA50" i="53" a="1"/>
  <c r="DA51" i="53" a="1"/>
  <c r="DA52" i="53" a="1"/>
  <c r="DA53" i="53" a="1"/>
  <c r="DA54" i="53" a="1"/>
  <c r="DA55" i="53" a="1"/>
  <c r="DA56" i="53" a="1"/>
  <c r="DA57" i="53" a="1"/>
  <c r="DA58" i="53" a="1"/>
  <c r="DA59" i="53" a="1"/>
  <c r="DA60" i="53" a="1"/>
  <c r="DA61" i="53" a="1"/>
  <c r="DA62" i="53" a="1"/>
  <c r="DA63" i="53" a="1"/>
  <c r="DA64" i="53" a="1"/>
  <c r="DA32" i="53"/>
  <c r="DA33" i="53"/>
  <c r="DA34" i="53"/>
  <c r="DA35" i="53"/>
  <c r="DA36" i="53"/>
  <c r="DA37" i="53"/>
  <c r="DA38" i="53"/>
  <c r="DA39" i="53"/>
  <c r="DA40" i="53"/>
  <c r="DA41" i="53"/>
  <c r="DA42" i="53"/>
  <c r="DA43" i="53"/>
  <c r="DA44" i="53"/>
  <c r="DA45" i="53"/>
  <c r="DA46" i="53"/>
  <c r="DA47" i="53"/>
  <c r="DA48" i="53"/>
  <c r="DA49" i="53"/>
  <c r="DA50" i="53"/>
  <c r="DA51" i="53"/>
  <c r="DA52" i="53"/>
  <c r="DA53" i="53"/>
  <c r="DA54" i="53"/>
  <c r="DA55" i="53"/>
  <c r="DA56" i="53"/>
  <c r="DA57" i="53"/>
  <c r="DA58" i="53"/>
  <c r="DA59" i="53"/>
  <c r="DA60" i="53"/>
  <c r="DA61" i="53"/>
  <c r="DA62" i="53"/>
  <c r="DA63" i="53"/>
  <c r="DA64" i="53"/>
  <c r="DA68" i="53"/>
  <c r="BM71" i="53"/>
  <c r="BZ70" i="53"/>
  <c r="BY70" i="53"/>
  <c r="BX70" i="53"/>
  <c r="BW70" i="53"/>
  <c r="BV70" i="53"/>
  <c r="BU70" i="53"/>
  <c r="BT70" i="53"/>
  <c r="BS70" i="53"/>
  <c r="BR70" i="53"/>
  <c r="BQ70" i="53"/>
  <c r="BP70" i="53"/>
  <c r="BO70" i="53"/>
  <c r="BN70" i="53"/>
  <c r="BM70" i="53"/>
  <c r="EB30" i="53"/>
  <c r="EB31" i="53"/>
  <c r="EB32" i="53"/>
  <c r="EB33" i="53"/>
  <c r="EB34" i="53"/>
  <c r="EB35" i="53"/>
  <c r="EB36" i="53"/>
  <c r="EB37" i="53"/>
  <c r="EB38" i="53"/>
  <c r="EB39" i="53"/>
  <c r="EB40" i="53"/>
  <c r="EB41" i="53"/>
  <c r="EB42" i="53"/>
  <c r="EB43" i="53"/>
  <c r="EB44" i="53"/>
  <c r="EB45" i="53"/>
  <c r="EB46" i="53"/>
  <c r="EB47" i="53"/>
  <c r="EB48" i="53"/>
  <c r="EB49" i="53"/>
  <c r="EB50" i="53"/>
  <c r="EB51" i="53"/>
  <c r="EB52" i="53"/>
  <c r="EB53" i="53"/>
  <c r="EB54" i="53"/>
  <c r="EB55" i="53"/>
  <c r="EB56" i="53"/>
  <c r="EB57" i="53"/>
  <c r="EB58" i="53"/>
  <c r="EB59" i="53"/>
  <c r="EB60" i="53"/>
  <c r="EB61" i="53"/>
  <c r="EB62" i="53"/>
  <c r="EB63" i="53"/>
  <c r="EB64" i="53"/>
  <c r="EB68" i="53"/>
  <c r="DF69" i="53"/>
  <c r="DT30" i="53"/>
  <c r="DT31" i="53"/>
  <c r="DT32" i="53"/>
  <c r="DT33" i="53"/>
  <c r="DT34" i="53"/>
  <c r="DT35" i="53"/>
  <c r="DT36" i="53"/>
  <c r="DT37" i="53"/>
  <c r="DT38" i="53"/>
  <c r="DT39" i="53"/>
  <c r="DT40" i="53"/>
  <c r="DT41" i="53"/>
  <c r="DT42" i="53"/>
  <c r="DT43" i="53"/>
  <c r="DT44" i="53"/>
  <c r="DT45" i="53"/>
  <c r="DT46" i="53"/>
  <c r="DT47" i="53"/>
  <c r="DT48" i="53"/>
  <c r="DT49" i="53"/>
  <c r="DT50" i="53"/>
  <c r="DT51" i="53"/>
  <c r="DT52" i="53"/>
  <c r="DT53" i="53"/>
  <c r="DT54" i="53"/>
  <c r="DT55" i="53"/>
  <c r="DT56" i="53"/>
  <c r="DT57" i="53"/>
  <c r="DT58" i="53"/>
  <c r="DT59" i="53"/>
  <c r="DT60" i="53"/>
  <c r="DT61" i="53"/>
  <c r="DT62" i="53"/>
  <c r="DT63" i="53"/>
  <c r="DT64" i="53"/>
  <c r="DT68" i="53"/>
  <c r="CZ69" i="53"/>
  <c r="DU30" i="53"/>
  <c r="DU31" i="53"/>
  <c r="DU32" i="53"/>
  <c r="DU33" i="53"/>
  <c r="DU34" i="53"/>
  <c r="DU35" i="53"/>
  <c r="DU36" i="53"/>
  <c r="DU37" i="53"/>
  <c r="DU38" i="53"/>
  <c r="DU39" i="53"/>
  <c r="DU40" i="53"/>
  <c r="DU41" i="53"/>
  <c r="DU42" i="53"/>
  <c r="DU43" i="53"/>
  <c r="DU44" i="53"/>
  <c r="DU45" i="53"/>
  <c r="DU46" i="53"/>
  <c r="DU47" i="53"/>
  <c r="DU48" i="53"/>
  <c r="DU49" i="53"/>
  <c r="DU50" i="53"/>
  <c r="DU51" i="53"/>
  <c r="DU52" i="53"/>
  <c r="DU53" i="53"/>
  <c r="DU54" i="53"/>
  <c r="DU55" i="53"/>
  <c r="DU56" i="53"/>
  <c r="DU57" i="53"/>
  <c r="DU58" i="53"/>
  <c r="DU59" i="53"/>
  <c r="DU60" i="53"/>
  <c r="DU61" i="53"/>
  <c r="DU62" i="53"/>
  <c r="DU63" i="53"/>
  <c r="DU64" i="53"/>
  <c r="DU68" i="53"/>
  <c r="CY69" i="53"/>
  <c r="CX69" i="53"/>
  <c r="DS30" i="53"/>
  <c r="DS31" i="53"/>
  <c r="DS32" i="53"/>
  <c r="DS33" i="53"/>
  <c r="DS34" i="53"/>
  <c r="DS35" i="53"/>
  <c r="DS36" i="53"/>
  <c r="DS37" i="53"/>
  <c r="DS38" i="53"/>
  <c r="DS39" i="53"/>
  <c r="DS40" i="53"/>
  <c r="DS41" i="53"/>
  <c r="DS42" i="53"/>
  <c r="DS43" i="53"/>
  <c r="DS44" i="53"/>
  <c r="DS45" i="53"/>
  <c r="DS46" i="53"/>
  <c r="DS47" i="53"/>
  <c r="DS48" i="53"/>
  <c r="DS49" i="53"/>
  <c r="DS50" i="53"/>
  <c r="DS51" i="53"/>
  <c r="DS52" i="53"/>
  <c r="DS53" i="53"/>
  <c r="DS54" i="53"/>
  <c r="DS55" i="53"/>
  <c r="DS56" i="53"/>
  <c r="DS57" i="53"/>
  <c r="DS58" i="53"/>
  <c r="DS59" i="53"/>
  <c r="DS60" i="53"/>
  <c r="DS61" i="53"/>
  <c r="DS62" i="53"/>
  <c r="DS63" i="53"/>
  <c r="DS64" i="53"/>
  <c r="DS68" i="53"/>
  <c r="CW69" i="53"/>
  <c r="DR30" i="53"/>
  <c r="DR31" i="53"/>
  <c r="DR32" i="53"/>
  <c r="DR33" i="53"/>
  <c r="DR34" i="53"/>
  <c r="DR35" i="53"/>
  <c r="DR36" i="53"/>
  <c r="DR37" i="53"/>
  <c r="DR38" i="53"/>
  <c r="DR39" i="53"/>
  <c r="DR40" i="53"/>
  <c r="DR41" i="53"/>
  <c r="DR42" i="53"/>
  <c r="DR43" i="53"/>
  <c r="DR44" i="53"/>
  <c r="DR45" i="53"/>
  <c r="DR46" i="53"/>
  <c r="DR47" i="53"/>
  <c r="DR48" i="53"/>
  <c r="DR49" i="53"/>
  <c r="DR50" i="53"/>
  <c r="DR51" i="53"/>
  <c r="DR52" i="53"/>
  <c r="DR53" i="53"/>
  <c r="DR54" i="53"/>
  <c r="DR55" i="53"/>
  <c r="DR56" i="53"/>
  <c r="DR57" i="53"/>
  <c r="DR58" i="53"/>
  <c r="DR59" i="53"/>
  <c r="DR60" i="53"/>
  <c r="DR61" i="53"/>
  <c r="DR62" i="53"/>
  <c r="DR63" i="53"/>
  <c r="DR64" i="53"/>
  <c r="DR68" i="53"/>
  <c r="CV69" i="53"/>
  <c r="DQ30" i="53"/>
  <c r="DQ31" i="53"/>
  <c r="DQ32" i="53"/>
  <c r="DQ33" i="53"/>
  <c r="DQ34" i="53"/>
  <c r="DQ35" i="53"/>
  <c r="DQ36" i="53"/>
  <c r="DQ37" i="53"/>
  <c r="DQ38" i="53"/>
  <c r="DQ39" i="53"/>
  <c r="DQ40" i="53"/>
  <c r="DQ41" i="53"/>
  <c r="DQ42" i="53"/>
  <c r="DQ43" i="53"/>
  <c r="DQ44" i="53"/>
  <c r="DQ45" i="53"/>
  <c r="DQ46" i="53"/>
  <c r="DQ47" i="53"/>
  <c r="DQ48" i="53"/>
  <c r="DQ49" i="53"/>
  <c r="DQ50" i="53"/>
  <c r="DQ51" i="53"/>
  <c r="DQ52" i="53"/>
  <c r="DQ53" i="53"/>
  <c r="DQ54" i="53"/>
  <c r="DQ55" i="53"/>
  <c r="DQ56" i="53"/>
  <c r="DQ57" i="53"/>
  <c r="DQ58" i="53"/>
  <c r="DQ59" i="53"/>
  <c r="DQ60" i="53"/>
  <c r="DQ61" i="53"/>
  <c r="DQ62" i="53"/>
  <c r="DQ63" i="53"/>
  <c r="DQ64" i="53"/>
  <c r="DQ68" i="53"/>
  <c r="CU69" i="53"/>
  <c r="DP30" i="53"/>
  <c r="DP31" i="53"/>
  <c r="DP32" i="53"/>
  <c r="DP33" i="53"/>
  <c r="DP34" i="53"/>
  <c r="DP35" i="53"/>
  <c r="DP36" i="53"/>
  <c r="DP37" i="53"/>
  <c r="DP38" i="53"/>
  <c r="DP39" i="53"/>
  <c r="DP40" i="53"/>
  <c r="DP41" i="53"/>
  <c r="DP42" i="53"/>
  <c r="DP43" i="53"/>
  <c r="DP44" i="53"/>
  <c r="DP45" i="53"/>
  <c r="DP46" i="53"/>
  <c r="DP47" i="53"/>
  <c r="DP48" i="53"/>
  <c r="DP49" i="53"/>
  <c r="DP50" i="53"/>
  <c r="DP51" i="53"/>
  <c r="DP52" i="53"/>
  <c r="DP53" i="53"/>
  <c r="DP54" i="53"/>
  <c r="DP55" i="53"/>
  <c r="DP56" i="53"/>
  <c r="DP57" i="53"/>
  <c r="DP58" i="53"/>
  <c r="DP59" i="53"/>
  <c r="DP60" i="53"/>
  <c r="DP61" i="53"/>
  <c r="DP62" i="53"/>
  <c r="DP63" i="53"/>
  <c r="DP64" i="53"/>
  <c r="DP68" i="53"/>
  <c r="CT69" i="53"/>
  <c r="DO30" i="53"/>
  <c r="DO31" i="53"/>
  <c r="DO32" i="53"/>
  <c r="DO33" i="53"/>
  <c r="DO34" i="53"/>
  <c r="DO35" i="53"/>
  <c r="DO36" i="53"/>
  <c r="DO37" i="53"/>
  <c r="DO38" i="53"/>
  <c r="DO39" i="53"/>
  <c r="DO40" i="53"/>
  <c r="DO41" i="53"/>
  <c r="DO42" i="53"/>
  <c r="DO43" i="53"/>
  <c r="DO44" i="53"/>
  <c r="DO45" i="53"/>
  <c r="DO46" i="53"/>
  <c r="DO47" i="53"/>
  <c r="DO48" i="53"/>
  <c r="DO49" i="53"/>
  <c r="DO50" i="53"/>
  <c r="DO51" i="53"/>
  <c r="DO52" i="53"/>
  <c r="DO53" i="53"/>
  <c r="DO54" i="53"/>
  <c r="DO55" i="53"/>
  <c r="DO56" i="53"/>
  <c r="DO57" i="53"/>
  <c r="DO58" i="53"/>
  <c r="DO59" i="53"/>
  <c r="DO60" i="53"/>
  <c r="DO61" i="53"/>
  <c r="DO62" i="53"/>
  <c r="DO63" i="53"/>
  <c r="DO64" i="53"/>
  <c r="DO68" i="53"/>
  <c r="CS69" i="53"/>
  <c r="BZ69" i="53"/>
  <c r="BY69" i="53"/>
  <c r="BX69" i="53"/>
  <c r="BW69" i="53"/>
  <c r="BV69" i="53"/>
  <c r="BU69" i="53"/>
  <c r="BT69" i="53"/>
  <c r="BS69" i="53"/>
  <c r="BR69" i="53"/>
  <c r="BQ69" i="53"/>
  <c r="BP69" i="53"/>
  <c r="BO69" i="53"/>
  <c r="BN69" i="53"/>
  <c r="BM69" i="53"/>
  <c r="EA30" i="53"/>
  <c r="EA31" i="53"/>
  <c r="EA32" i="53"/>
  <c r="EA33" i="53"/>
  <c r="EA34" i="53"/>
  <c r="EA35" i="53"/>
  <c r="EA36" i="53"/>
  <c r="EA37" i="53"/>
  <c r="EA38" i="53"/>
  <c r="EA39" i="53"/>
  <c r="EA40" i="53"/>
  <c r="EA41" i="53"/>
  <c r="EA42" i="53"/>
  <c r="EA43" i="53"/>
  <c r="EA44" i="53"/>
  <c r="EA45" i="53"/>
  <c r="EA46" i="53"/>
  <c r="EA47" i="53"/>
  <c r="EA48" i="53"/>
  <c r="EA49" i="53"/>
  <c r="EA50" i="53"/>
  <c r="EA51" i="53"/>
  <c r="EA52" i="53"/>
  <c r="EA53" i="53"/>
  <c r="EA54" i="53"/>
  <c r="EA55" i="53"/>
  <c r="EA56" i="53"/>
  <c r="EA57" i="53"/>
  <c r="EA58" i="53"/>
  <c r="EA59" i="53"/>
  <c r="EA60" i="53"/>
  <c r="EA61" i="53"/>
  <c r="EA62" i="53"/>
  <c r="EA63" i="53"/>
  <c r="EA64" i="53"/>
  <c r="EA68" i="53"/>
  <c r="DZ30" i="53"/>
  <c r="DZ31" i="53"/>
  <c r="DZ32" i="53"/>
  <c r="DZ33" i="53"/>
  <c r="DZ34" i="53"/>
  <c r="DZ35" i="53"/>
  <c r="DZ36" i="53"/>
  <c r="DZ37" i="53"/>
  <c r="DZ38" i="53"/>
  <c r="DZ39" i="53"/>
  <c r="DZ40" i="53"/>
  <c r="DZ41" i="53"/>
  <c r="DZ42" i="53"/>
  <c r="DZ43" i="53"/>
  <c r="DZ44" i="53"/>
  <c r="DZ45" i="53"/>
  <c r="DZ46" i="53"/>
  <c r="DZ47" i="53"/>
  <c r="DZ48" i="53"/>
  <c r="DZ49" i="53"/>
  <c r="DZ50" i="53"/>
  <c r="DZ51" i="53"/>
  <c r="DZ52" i="53"/>
  <c r="DZ53" i="53"/>
  <c r="DZ54" i="53"/>
  <c r="DZ55" i="53"/>
  <c r="DZ56" i="53"/>
  <c r="DZ57" i="53"/>
  <c r="DZ58" i="53"/>
  <c r="DZ59" i="53"/>
  <c r="DZ60" i="53"/>
  <c r="DZ61" i="53"/>
  <c r="DZ62" i="53"/>
  <c r="DZ63" i="53"/>
  <c r="DZ64" i="53"/>
  <c r="DZ68" i="53"/>
  <c r="DY30" i="53"/>
  <c r="DY31" i="53"/>
  <c r="DY32" i="53"/>
  <c r="DY33" i="53"/>
  <c r="DY34" i="53"/>
  <c r="DY35" i="53"/>
  <c r="DY36" i="53"/>
  <c r="DY37" i="53"/>
  <c r="DY38" i="53"/>
  <c r="DY39" i="53"/>
  <c r="DY40" i="53"/>
  <c r="DY41" i="53"/>
  <c r="DY42" i="53"/>
  <c r="DY43" i="53"/>
  <c r="DY44" i="53"/>
  <c r="DY45" i="53"/>
  <c r="DY46" i="53"/>
  <c r="DY47" i="53"/>
  <c r="DY48" i="53"/>
  <c r="DY49" i="53"/>
  <c r="DY50" i="53"/>
  <c r="DY51" i="53"/>
  <c r="DY52" i="53"/>
  <c r="DY53" i="53"/>
  <c r="DY54" i="53"/>
  <c r="DY55" i="53"/>
  <c r="DY56" i="53"/>
  <c r="DY57" i="53"/>
  <c r="DY58" i="53"/>
  <c r="DY59" i="53"/>
  <c r="DY60" i="53"/>
  <c r="DY61" i="53"/>
  <c r="DY62" i="53"/>
  <c r="DY63" i="53"/>
  <c r="DY64" i="53"/>
  <c r="DY68" i="53"/>
  <c r="DX30" i="53"/>
  <c r="DX31" i="53"/>
  <c r="DX32" i="53"/>
  <c r="DX33" i="53"/>
  <c r="DX34" i="53"/>
  <c r="DX35" i="53"/>
  <c r="DX36" i="53"/>
  <c r="DX37" i="53"/>
  <c r="DX38" i="53"/>
  <c r="DX39" i="53"/>
  <c r="DX40" i="53"/>
  <c r="DX41" i="53"/>
  <c r="DX42" i="53"/>
  <c r="DX43" i="53"/>
  <c r="DX44" i="53"/>
  <c r="DX45" i="53"/>
  <c r="DX46" i="53"/>
  <c r="DX47" i="53"/>
  <c r="DX48" i="53"/>
  <c r="DX49" i="53"/>
  <c r="DX50" i="53"/>
  <c r="DX51" i="53"/>
  <c r="DX52" i="53"/>
  <c r="DX53" i="53"/>
  <c r="DX54" i="53"/>
  <c r="DX55" i="53"/>
  <c r="DX56" i="53"/>
  <c r="DX57" i="53"/>
  <c r="DX58" i="53"/>
  <c r="DX59" i="53"/>
  <c r="DX60" i="53"/>
  <c r="DX61" i="53"/>
  <c r="DX62" i="53"/>
  <c r="DX63" i="53"/>
  <c r="DX64" i="53"/>
  <c r="DX68" i="53"/>
  <c r="DW30" i="53"/>
  <c r="DW31" i="53"/>
  <c r="DW32" i="53"/>
  <c r="DW33" i="53"/>
  <c r="DW34" i="53"/>
  <c r="DW35" i="53"/>
  <c r="DW36" i="53"/>
  <c r="DW37" i="53"/>
  <c r="DW38" i="53"/>
  <c r="DW39" i="53"/>
  <c r="DW40" i="53"/>
  <c r="DW41" i="53"/>
  <c r="DW42" i="53"/>
  <c r="DW43" i="53"/>
  <c r="DW44" i="53"/>
  <c r="DW45" i="53"/>
  <c r="DW46" i="53"/>
  <c r="DW47" i="53"/>
  <c r="DW48" i="53"/>
  <c r="DW49" i="53"/>
  <c r="DW50" i="53"/>
  <c r="DW51" i="53"/>
  <c r="DW52" i="53"/>
  <c r="DW53" i="53"/>
  <c r="DW54" i="53"/>
  <c r="DW55" i="53"/>
  <c r="DW56" i="53"/>
  <c r="DW57" i="53"/>
  <c r="DW58" i="53"/>
  <c r="DW59" i="53"/>
  <c r="DW60" i="53"/>
  <c r="DW61" i="53"/>
  <c r="DW62" i="53"/>
  <c r="DW63" i="53"/>
  <c r="DW64" i="53"/>
  <c r="DW68" i="53"/>
  <c r="DV30" i="53"/>
  <c r="DV31" i="53"/>
  <c r="DV32" i="53"/>
  <c r="DV33" i="53"/>
  <c r="DV34" i="53"/>
  <c r="DV35" i="53"/>
  <c r="DV36" i="53"/>
  <c r="DV37" i="53"/>
  <c r="DV38" i="53"/>
  <c r="DV39" i="53"/>
  <c r="DV40" i="53"/>
  <c r="DV41" i="53"/>
  <c r="DV42" i="53"/>
  <c r="DV43" i="53"/>
  <c r="DV44" i="53"/>
  <c r="DV45" i="53"/>
  <c r="DV46" i="53"/>
  <c r="DV47" i="53"/>
  <c r="DV48" i="53"/>
  <c r="DV49" i="53"/>
  <c r="DV50" i="53"/>
  <c r="DV51" i="53"/>
  <c r="DV52" i="53"/>
  <c r="DV53" i="53"/>
  <c r="DV54" i="53"/>
  <c r="DV55" i="53"/>
  <c r="DV56" i="53"/>
  <c r="DV57" i="53"/>
  <c r="DV58" i="53"/>
  <c r="DV59" i="53"/>
  <c r="DV60" i="53"/>
  <c r="DV61" i="53"/>
  <c r="DV62" i="53"/>
  <c r="DV63" i="53"/>
  <c r="DV64" i="53"/>
  <c r="DV68" i="53"/>
  <c r="AU30" i="53"/>
  <c r="BK30" i="53"/>
  <c r="AU31" i="53"/>
  <c r="BK31" i="53"/>
  <c r="AU32" i="53"/>
  <c r="BK32" i="53"/>
  <c r="BK27" i="53"/>
  <c r="D33" i="53"/>
  <c r="AU33" i="53"/>
  <c r="BK33" i="53" a="1"/>
  <c r="BK33" i="53"/>
  <c r="D34" i="53"/>
  <c r="AU34" i="53"/>
  <c r="BK34" i="53" a="1"/>
  <c r="D35" i="53"/>
  <c r="AU35" i="53"/>
  <c r="BK35" i="53" a="1"/>
  <c r="D36" i="53"/>
  <c r="AU36" i="53"/>
  <c r="BK36" i="53" a="1"/>
  <c r="D37" i="53"/>
  <c r="AU37" i="53"/>
  <c r="BK37" i="53" a="1"/>
  <c r="D38" i="53"/>
  <c r="AU38" i="53"/>
  <c r="BK38" i="53" a="1"/>
  <c r="D39" i="53"/>
  <c r="AU39" i="53"/>
  <c r="BK39" i="53" a="1"/>
  <c r="D40" i="53"/>
  <c r="AU40" i="53"/>
  <c r="BK40" i="53" a="1"/>
  <c r="D41" i="53"/>
  <c r="AU41" i="53"/>
  <c r="BK41" i="53" a="1"/>
  <c r="AU42" i="53"/>
  <c r="BK42" i="53" a="1"/>
  <c r="AU43" i="53"/>
  <c r="BK43" i="53" a="1"/>
  <c r="AU44" i="53"/>
  <c r="BK44" i="53" a="1"/>
  <c r="AU45" i="53"/>
  <c r="BK45" i="53" a="1"/>
  <c r="AU46" i="53"/>
  <c r="BK46" i="53" a="1"/>
  <c r="AU47" i="53"/>
  <c r="BK47" i="53" a="1"/>
  <c r="AU48" i="53"/>
  <c r="BK48" i="53" a="1"/>
  <c r="D49" i="53"/>
  <c r="AU49" i="53"/>
  <c r="BK49" i="53" a="1"/>
  <c r="D50" i="53"/>
  <c r="AU50" i="53"/>
  <c r="BK50" i="53" a="1"/>
  <c r="D51" i="53"/>
  <c r="AU51" i="53"/>
  <c r="BK51" i="53" a="1"/>
  <c r="D52" i="53"/>
  <c r="AU52" i="53"/>
  <c r="BK52" i="53" a="1"/>
  <c r="D53" i="53"/>
  <c r="AU53" i="53"/>
  <c r="BK53" i="53" a="1"/>
  <c r="D54" i="53"/>
  <c r="AU54" i="53"/>
  <c r="BK54" i="53" a="1"/>
  <c r="D55" i="53"/>
  <c r="AU55" i="53"/>
  <c r="BK55" i="53" a="1"/>
  <c r="D56" i="53"/>
  <c r="AU56" i="53"/>
  <c r="BK56" i="53" a="1"/>
  <c r="D57" i="53"/>
  <c r="AU57" i="53"/>
  <c r="BK57" i="53" a="1"/>
  <c r="D58" i="53"/>
  <c r="AU58" i="53"/>
  <c r="BK58" i="53" a="1"/>
  <c r="AU59" i="53"/>
  <c r="BK59" i="53" a="1"/>
  <c r="AU60" i="53"/>
  <c r="BK60" i="53" a="1"/>
  <c r="D61" i="53"/>
  <c r="AU61" i="53"/>
  <c r="BK61" i="53" a="1"/>
  <c r="D62" i="53"/>
  <c r="AU62" i="53"/>
  <c r="BK62" i="53" a="1"/>
  <c r="D63" i="53"/>
  <c r="AU63" i="53"/>
  <c r="BK63" i="53" a="1"/>
  <c r="AU64" i="53"/>
  <c r="BK64" i="53" a="1"/>
  <c r="BK34" i="53"/>
  <c r="BK35" i="53"/>
  <c r="BK36" i="53"/>
  <c r="BK37" i="53"/>
  <c r="BK38" i="53"/>
  <c r="BK39" i="53"/>
  <c r="BK40" i="53"/>
  <c r="BK41" i="53"/>
  <c r="BK42" i="53"/>
  <c r="BK43" i="53"/>
  <c r="BK44" i="53"/>
  <c r="BK45" i="53"/>
  <c r="BK46" i="53"/>
  <c r="BK47" i="53"/>
  <c r="BK48" i="53"/>
  <c r="BK49" i="53"/>
  <c r="BK50" i="53"/>
  <c r="BK51" i="53"/>
  <c r="BK52" i="53"/>
  <c r="BK53" i="53"/>
  <c r="BK54" i="53"/>
  <c r="BK55" i="53"/>
  <c r="BK56" i="53"/>
  <c r="BK57" i="53"/>
  <c r="BK58" i="53"/>
  <c r="BK59" i="53"/>
  <c r="BK60" i="53"/>
  <c r="BK61" i="53"/>
  <c r="BK62" i="53"/>
  <c r="BK63" i="53"/>
  <c r="BK64" i="53"/>
  <c r="D66" i="53"/>
  <c r="F66" i="53"/>
  <c r="E66" i="53"/>
  <c r="AP66" i="53"/>
  <c r="AQ66" i="53"/>
  <c r="AM66" i="53"/>
  <c r="AO66" i="53"/>
  <c r="AR66" i="53"/>
  <c r="AT66" i="53"/>
  <c r="AU66" i="53"/>
  <c r="BK66" i="53" a="1"/>
  <c r="BK66" i="53"/>
  <c r="BK68" i="53"/>
  <c r="BJ30" i="53"/>
  <c r="BJ31" i="53"/>
  <c r="BJ32" i="53"/>
  <c r="BJ27" i="53"/>
  <c r="BJ33" i="53" a="1"/>
  <c r="BJ33" i="53"/>
  <c r="BJ34" i="53" a="1"/>
  <c r="BJ35" i="53" a="1"/>
  <c r="BJ36" i="53" a="1"/>
  <c r="BJ37" i="53" a="1"/>
  <c r="BJ38" i="53" a="1"/>
  <c r="BJ39" i="53" a="1"/>
  <c r="BJ40" i="53" a="1"/>
  <c r="BJ41" i="53" a="1"/>
  <c r="BJ42" i="53" a="1"/>
  <c r="BJ43" i="53" a="1"/>
  <c r="BJ44" i="53" a="1"/>
  <c r="BJ45" i="53" a="1"/>
  <c r="BJ46" i="53" a="1"/>
  <c r="BJ47" i="53" a="1"/>
  <c r="BJ48" i="53" a="1"/>
  <c r="BJ49" i="53" a="1"/>
  <c r="BJ50" i="53" a="1"/>
  <c r="BJ51" i="53" a="1"/>
  <c r="BJ52" i="53" a="1"/>
  <c r="BJ53" i="53" a="1"/>
  <c r="BJ54" i="53" a="1"/>
  <c r="BJ55" i="53" a="1"/>
  <c r="BJ56" i="53" a="1"/>
  <c r="BJ57" i="53" a="1"/>
  <c r="BJ58" i="53" a="1"/>
  <c r="BJ59" i="53" a="1"/>
  <c r="BJ60" i="53" a="1"/>
  <c r="BJ61" i="53" a="1"/>
  <c r="BJ62" i="53" a="1"/>
  <c r="BJ63" i="53" a="1"/>
  <c r="BJ64" i="53" a="1"/>
  <c r="BJ34" i="53"/>
  <c r="BJ35" i="53"/>
  <c r="BJ36" i="53"/>
  <c r="BJ37" i="53"/>
  <c r="BJ38" i="53"/>
  <c r="BJ39" i="53"/>
  <c r="BJ40" i="53"/>
  <c r="BJ41" i="53"/>
  <c r="BJ42" i="53"/>
  <c r="BJ43" i="53"/>
  <c r="BJ44" i="53"/>
  <c r="BJ45" i="53"/>
  <c r="BJ46" i="53"/>
  <c r="BJ47" i="53"/>
  <c r="BJ48" i="53"/>
  <c r="BJ49" i="53"/>
  <c r="BJ50" i="53"/>
  <c r="BJ51" i="53"/>
  <c r="BJ52" i="53"/>
  <c r="BJ53" i="53"/>
  <c r="BJ54" i="53"/>
  <c r="BJ55" i="53"/>
  <c r="BJ56" i="53"/>
  <c r="BJ57" i="53"/>
  <c r="BJ58" i="53"/>
  <c r="BJ59" i="53"/>
  <c r="BJ60" i="53"/>
  <c r="BJ61" i="53"/>
  <c r="BJ62" i="53"/>
  <c r="BJ63" i="53"/>
  <c r="BJ64" i="53"/>
  <c r="BJ66" i="53" a="1"/>
  <c r="BJ66" i="53"/>
  <c r="BJ68" i="53"/>
  <c r="BI30" i="53"/>
  <c r="BI31" i="53"/>
  <c r="BI32" i="53"/>
  <c r="BI27" i="53"/>
  <c r="BI33" i="53" a="1"/>
  <c r="BI33" i="53"/>
  <c r="BI34" i="53" a="1"/>
  <c r="BI35" i="53" a="1"/>
  <c r="BI36" i="53" a="1"/>
  <c r="BI37" i="53" a="1"/>
  <c r="BI38" i="53" a="1"/>
  <c r="BI39" i="53" a="1"/>
  <c r="BI40" i="53" a="1"/>
  <c r="BI41" i="53" a="1"/>
  <c r="BI42" i="53" a="1"/>
  <c r="BI43" i="53" a="1"/>
  <c r="BI44" i="53" a="1"/>
  <c r="BI45" i="53" a="1"/>
  <c r="BI46" i="53" a="1"/>
  <c r="BI47" i="53" a="1"/>
  <c r="BI48" i="53" a="1"/>
  <c r="BI49" i="53" a="1"/>
  <c r="BI50" i="53" a="1"/>
  <c r="BI51" i="53" a="1"/>
  <c r="BI52" i="53" a="1"/>
  <c r="BI53" i="53" a="1"/>
  <c r="BI54" i="53" a="1"/>
  <c r="BI55" i="53" a="1"/>
  <c r="BI56" i="53" a="1"/>
  <c r="BI57" i="53" a="1"/>
  <c r="BI58" i="53" a="1"/>
  <c r="BI59" i="53" a="1"/>
  <c r="BI60" i="53" a="1"/>
  <c r="BI61" i="53" a="1"/>
  <c r="BI62" i="53" a="1"/>
  <c r="BI63" i="53" a="1"/>
  <c r="BI64" i="53" a="1"/>
  <c r="BI34" i="53"/>
  <c r="BI35" i="53"/>
  <c r="BI36" i="53"/>
  <c r="BI37" i="53"/>
  <c r="BI38" i="53"/>
  <c r="BI39" i="53"/>
  <c r="BI40" i="53"/>
  <c r="BI41" i="53"/>
  <c r="BI42" i="53"/>
  <c r="BI43" i="53"/>
  <c r="BI44" i="53"/>
  <c r="BI45" i="53"/>
  <c r="BI46" i="53"/>
  <c r="BI47" i="53"/>
  <c r="BI48" i="53"/>
  <c r="BI49" i="53"/>
  <c r="BI50" i="53"/>
  <c r="BI51" i="53"/>
  <c r="BI52" i="53"/>
  <c r="BI53" i="53"/>
  <c r="BI54" i="53"/>
  <c r="BI55" i="53"/>
  <c r="BI56" i="53"/>
  <c r="BI57" i="53"/>
  <c r="BI58" i="53"/>
  <c r="BI59" i="53"/>
  <c r="BI60" i="53"/>
  <c r="BI61" i="53"/>
  <c r="BI62" i="53"/>
  <c r="BI63" i="53"/>
  <c r="BI64" i="53"/>
  <c r="BI66" i="53" a="1"/>
  <c r="BI66" i="53"/>
  <c r="BI68" i="53"/>
  <c r="BH30" i="53"/>
  <c r="BH31" i="53"/>
  <c r="BH32" i="53"/>
  <c r="BH27" i="53"/>
  <c r="BH33" i="53" a="1"/>
  <c r="BH33" i="53"/>
  <c r="BH34" i="53" a="1"/>
  <c r="BH35" i="53" a="1"/>
  <c r="BH36" i="53" a="1"/>
  <c r="BH37" i="53" a="1"/>
  <c r="BH38" i="53" a="1"/>
  <c r="BH39" i="53" a="1"/>
  <c r="BH40" i="53" a="1"/>
  <c r="BH41" i="53" a="1"/>
  <c r="BH42" i="53" a="1"/>
  <c r="BH43" i="53" a="1"/>
  <c r="BH44" i="53" a="1"/>
  <c r="BH45" i="53" a="1"/>
  <c r="BH46" i="53" a="1"/>
  <c r="BH47" i="53" a="1"/>
  <c r="BH48" i="53" a="1"/>
  <c r="BH49" i="53" a="1"/>
  <c r="BH50" i="53" a="1"/>
  <c r="BH51" i="53" a="1"/>
  <c r="BH52" i="53" a="1"/>
  <c r="BH53" i="53" a="1"/>
  <c r="BH54" i="53" a="1"/>
  <c r="BH55" i="53" a="1"/>
  <c r="BH56" i="53" a="1"/>
  <c r="BH57" i="53" a="1"/>
  <c r="BH58" i="53" a="1"/>
  <c r="BH59" i="53" a="1"/>
  <c r="BH60" i="53" a="1"/>
  <c r="BH61" i="53" a="1"/>
  <c r="BH62" i="53" a="1"/>
  <c r="BH63" i="53" a="1"/>
  <c r="BH64" i="53" a="1"/>
  <c r="BH34" i="53"/>
  <c r="BH35" i="53"/>
  <c r="BH36" i="53"/>
  <c r="BH37" i="53"/>
  <c r="BH38" i="53"/>
  <c r="BH39" i="53"/>
  <c r="BH40" i="53"/>
  <c r="BH41" i="53"/>
  <c r="BH42" i="53"/>
  <c r="BH43" i="53"/>
  <c r="BH44" i="53"/>
  <c r="BH45" i="53"/>
  <c r="BH46" i="53"/>
  <c r="BH47" i="53"/>
  <c r="BH48" i="53"/>
  <c r="BH49" i="53"/>
  <c r="BH50" i="53"/>
  <c r="BH51" i="53"/>
  <c r="BH52" i="53"/>
  <c r="BH53" i="53"/>
  <c r="BH54" i="53"/>
  <c r="BH55" i="53"/>
  <c r="BH56" i="53"/>
  <c r="BH57" i="53"/>
  <c r="BH58" i="53"/>
  <c r="BH59" i="53"/>
  <c r="BH60" i="53"/>
  <c r="BH61" i="53"/>
  <c r="BH62" i="53"/>
  <c r="BH63" i="53"/>
  <c r="BH64" i="53"/>
  <c r="BH66" i="53" a="1"/>
  <c r="BH66" i="53"/>
  <c r="BH68" i="53"/>
  <c r="BG30" i="53"/>
  <c r="BG31" i="53"/>
  <c r="BG32" i="53"/>
  <c r="BG27" i="53"/>
  <c r="BG33" i="53" a="1"/>
  <c r="BG33" i="53"/>
  <c r="BG34" i="53" a="1"/>
  <c r="BG35" i="53" a="1"/>
  <c r="BG36" i="53" a="1"/>
  <c r="BG37" i="53" a="1"/>
  <c r="BG38" i="53" a="1"/>
  <c r="BG39" i="53" a="1"/>
  <c r="BG40" i="53" a="1"/>
  <c r="BG41" i="53" a="1"/>
  <c r="BG42" i="53" a="1"/>
  <c r="BG43" i="53" a="1"/>
  <c r="BG44" i="53" a="1"/>
  <c r="BG45" i="53" a="1"/>
  <c r="BG46" i="53" a="1"/>
  <c r="BG47" i="53" a="1"/>
  <c r="BG48" i="53" a="1"/>
  <c r="BG49" i="53" a="1"/>
  <c r="BG50" i="53" a="1"/>
  <c r="BG51" i="53" a="1"/>
  <c r="BG52" i="53" a="1"/>
  <c r="BG53" i="53" a="1"/>
  <c r="BG54" i="53" a="1"/>
  <c r="BG55" i="53" a="1"/>
  <c r="BG56" i="53" a="1"/>
  <c r="BG57" i="53" a="1"/>
  <c r="BG58" i="53" a="1"/>
  <c r="BG59" i="53" a="1"/>
  <c r="BG60" i="53" a="1"/>
  <c r="BG61" i="53" a="1"/>
  <c r="BG62" i="53" a="1"/>
  <c r="BG63" i="53" a="1"/>
  <c r="BG64" i="53" a="1"/>
  <c r="BG34" i="53"/>
  <c r="BG35" i="53"/>
  <c r="BG36" i="53"/>
  <c r="BG37" i="53"/>
  <c r="BG38" i="53"/>
  <c r="BG39" i="53"/>
  <c r="BG40" i="53"/>
  <c r="BG41" i="53"/>
  <c r="BG42" i="53"/>
  <c r="BG43" i="53"/>
  <c r="BG44" i="53"/>
  <c r="BG45" i="53"/>
  <c r="BG46" i="53"/>
  <c r="BG47" i="53"/>
  <c r="BG48" i="53"/>
  <c r="BG49" i="53"/>
  <c r="BG50" i="53"/>
  <c r="BG51" i="53"/>
  <c r="BG52" i="53"/>
  <c r="BG53" i="53"/>
  <c r="BG54" i="53"/>
  <c r="BG55" i="53"/>
  <c r="BG56" i="53"/>
  <c r="BG57" i="53"/>
  <c r="BG58" i="53"/>
  <c r="BG59" i="53"/>
  <c r="BG60" i="53"/>
  <c r="BG61" i="53"/>
  <c r="BG62" i="53"/>
  <c r="BG63" i="53"/>
  <c r="BG64" i="53"/>
  <c r="BG66" i="53" a="1"/>
  <c r="BG66" i="53"/>
  <c r="BG68" i="53"/>
  <c r="BF30" i="53"/>
  <c r="BF31" i="53"/>
  <c r="BF32" i="53"/>
  <c r="BF27" i="53"/>
  <c r="BF33" i="53" a="1"/>
  <c r="BF33" i="53"/>
  <c r="BF34" i="53" a="1"/>
  <c r="BF35" i="53" a="1"/>
  <c r="BF36" i="53" a="1"/>
  <c r="BF37" i="53" a="1"/>
  <c r="BF38" i="53" a="1"/>
  <c r="BF39" i="53" a="1"/>
  <c r="BF40" i="53" a="1"/>
  <c r="BF41" i="53" a="1"/>
  <c r="BF42" i="53" a="1"/>
  <c r="BF43" i="53" a="1"/>
  <c r="BF44" i="53" a="1"/>
  <c r="BF45" i="53" a="1"/>
  <c r="BF46" i="53" a="1"/>
  <c r="BF47" i="53" a="1"/>
  <c r="BF48" i="53" a="1"/>
  <c r="BF49" i="53" a="1"/>
  <c r="BF50" i="53" a="1"/>
  <c r="BF51" i="53" a="1"/>
  <c r="BF52" i="53" a="1"/>
  <c r="BF53" i="53" a="1"/>
  <c r="BF54" i="53" a="1"/>
  <c r="BF55" i="53" a="1"/>
  <c r="BF56" i="53" a="1"/>
  <c r="BF57" i="53" a="1"/>
  <c r="BF58" i="53" a="1"/>
  <c r="BF59" i="53" a="1"/>
  <c r="BF60" i="53" a="1"/>
  <c r="BF61" i="53" a="1"/>
  <c r="BF62" i="53" a="1"/>
  <c r="BF63" i="53" a="1"/>
  <c r="BF64" i="53" a="1"/>
  <c r="BF34" i="53"/>
  <c r="BF35" i="53"/>
  <c r="BF36" i="53"/>
  <c r="BF37" i="53"/>
  <c r="BF38" i="53"/>
  <c r="BF39" i="53"/>
  <c r="BF40" i="53"/>
  <c r="BF41" i="53"/>
  <c r="BF42" i="53"/>
  <c r="BF43" i="53"/>
  <c r="BF44" i="53"/>
  <c r="BF45" i="53"/>
  <c r="BF46" i="53"/>
  <c r="BF47" i="53"/>
  <c r="BF48" i="53"/>
  <c r="BF49" i="53"/>
  <c r="BF50" i="53"/>
  <c r="BF51" i="53"/>
  <c r="BF52" i="53"/>
  <c r="BF53" i="53"/>
  <c r="BF54" i="53"/>
  <c r="BF55" i="53"/>
  <c r="BF56" i="53"/>
  <c r="BF57" i="53"/>
  <c r="BF58" i="53"/>
  <c r="BF59" i="53"/>
  <c r="BF60" i="53"/>
  <c r="BF61" i="53"/>
  <c r="BF62" i="53"/>
  <c r="BF63" i="53"/>
  <c r="BF64" i="53"/>
  <c r="BF66" i="53" a="1"/>
  <c r="BF66" i="53"/>
  <c r="BF68" i="53"/>
  <c r="BE30" i="53"/>
  <c r="BE31" i="53"/>
  <c r="BE32" i="53"/>
  <c r="BE27" i="53"/>
  <c r="BE33" i="53" a="1"/>
  <c r="BE33" i="53"/>
  <c r="BE34" i="53" a="1"/>
  <c r="BE35" i="53" a="1"/>
  <c r="BE36" i="53" a="1"/>
  <c r="BE37" i="53" a="1"/>
  <c r="BE38" i="53" a="1"/>
  <c r="BE39" i="53" a="1"/>
  <c r="BE40" i="53" a="1"/>
  <c r="BE41" i="53" a="1"/>
  <c r="BE42" i="53" a="1"/>
  <c r="BE43" i="53" a="1"/>
  <c r="BE44" i="53" a="1"/>
  <c r="BE45" i="53" a="1"/>
  <c r="BE46" i="53" a="1"/>
  <c r="BE47" i="53" a="1"/>
  <c r="BE48" i="53" a="1"/>
  <c r="BE49" i="53" a="1"/>
  <c r="BE50" i="53" a="1"/>
  <c r="BE51" i="53" a="1"/>
  <c r="BE52" i="53" a="1"/>
  <c r="BE53" i="53" a="1"/>
  <c r="BE54" i="53" a="1"/>
  <c r="BE55" i="53" a="1"/>
  <c r="BE56" i="53" a="1"/>
  <c r="BE57" i="53" a="1"/>
  <c r="BE58" i="53" a="1"/>
  <c r="BE59" i="53" a="1"/>
  <c r="BE60" i="53" a="1"/>
  <c r="BE61" i="53" a="1"/>
  <c r="BE62" i="53" a="1"/>
  <c r="BE63" i="53" a="1"/>
  <c r="BE64" i="53" a="1"/>
  <c r="BE34" i="53"/>
  <c r="BE35" i="53"/>
  <c r="BE36" i="53"/>
  <c r="BE37" i="53"/>
  <c r="BE38" i="53"/>
  <c r="BE39" i="53"/>
  <c r="BE40" i="53"/>
  <c r="BE41" i="53"/>
  <c r="BE42" i="53"/>
  <c r="BE43" i="53"/>
  <c r="BE44" i="53"/>
  <c r="BE45" i="53"/>
  <c r="BE46" i="53"/>
  <c r="BE47" i="53"/>
  <c r="BE48" i="53"/>
  <c r="BE49" i="53"/>
  <c r="BE50" i="53"/>
  <c r="BE51" i="53"/>
  <c r="BE52" i="53"/>
  <c r="BE53" i="53"/>
  <c r="BE54" i="53"/>
  <c r="BE55" i="53"/>
  <c r="BE56" i="53"/>
  <c r="BE57" i="53"/>
  <c r="BE58" i="53"/>
  <c r="BE59" i="53"/>
  <c r="BE60" i="53"/>
  <c r="BE61" i="53"/>
  <c r="BE62" i="53"/>
  <c r="BE63" i="53"/>
  <c r="BE64" i="53"/>
  <c r="BE66" i="53" a="1"/>
  <c r="BE66" i="53"/>
  <c r="BE68" i="53"/>
  <c r="BD30" i="53"/>
  <c r="BD31" i="53"/>
  <c r="BD32" i="53"/>
  <c r="BD27" i="53"/>
  <c r="BD33" i="53" a="1"/>
  <c r="BD33" i="53"/>
  <c r="BD34" i="53" a="1"/>
  <c r="BD35" i="53" a="1"/>
  <c r="BD36" i="53" a="1"/>
  <c r="BD37" i="53" a="1"/>
  <c r="BD38" i="53" a="1"/>
  <c r="BD39" i="53" a="1"/>
  <c r="BD40" i="53" a="1"/>
  <c r="BD41" i="53" a="1"/>
  <c r="BD42" i="53" a="1"/>
  <c r="BD43" i="53" a="1"/>
  <c r="BD44" i="53" a="1"/>
  <c r="BD45" i="53" a="1"/>
  <c r="BD46" i="53" a="1"/>
  <c r="BD47" i="53" a="1"/>
  <c r="BD48" i="53" a="1"/>
  <c r="BD49" i="53" a="1"/>
  <c r="BD50" i="53" a="1"/>
  <c r="BD51" i="53" a="1"/>
  <c r="BD52" i="53" a="1"/>
  <c r="BD53" i="53" a="1"/>
  <c r="BD54" i="53" a="1"/>
  <c r="BD55" i="53" a="1"/>
  <c r="BD56" i="53" a="1"/>
  <c r="BD57" i="53" a="1"/>
  <c r="BD58" i="53" a="1"/>
  <c r="BD59" i="53" a="1"/>
  <c r="BD60" i="53" a="1"/>
  <c r="BD61" i="53" a="1"/>
  <c r="BD62" i="53" a="1"/>
  <c r="BD63" i="53" a="1"/>
  <c r="BD64" i="53" a="1"/>
  <c r="BD34" i="53"/>
  <c r="BD35" i="53"/>
  <c r="BD36" i="53"/>
  <c r="BD37" i="53"/>
  <c r="BD38" i="53"/>
  <c r="BD39" i="53"/>
  <c r="BD40" i="53"/>
  <c r="BD41" i="53"/>
  <c r="BD42" i="53"/>
  <c r="BD43" i="53"/>
  <c r="BD44" i="53"/>
  <c r="BD45" i="53"/>
  <c r="BD46" i="53"/>
  <c r="BD47" i="53"/>
  <c r="BD48" i="53"/>
  <c r="BD49" i="53"/>
  <c r="BD50" i="53"/>
  <c r="BD51" i="53"/>
  <c r="BD52" i="53"/>
  <c r="BD53" i="53"/>
  <c r="BD54" i="53"/>
  <c r="BD55" i="53"/>
  <c r="BD56" i="53"/>
  <c r="BD57" i="53"/>
  <c r="BD58" i="53"/>
  <c r="BD59" i="53"/>
  <c r="BD60" i="53"/>
  <c r="BD61" i="53"/>
  <c r="BD62" i="53"/>
  <c r="BD63" i="53"/>
  <c r="BD64" i="53"/>
  <c r="BD66" i="53" a="1"/>
  <c r="BD66" i="53"/>
  <c r="BD68" i="53"/>
  <c r="BC30" i="53"/>
  <c r="BC31" i="53"/>
  <c r="BC32" i="53"/>
  <c r="BC27" i="53"/>
  <c r="BC33" i="53" a="1"/>
  <c r="BC33" i="53"/>
  <c r="BC34" i="53" a="1"/>
  <c r="BC35" i="53" a="1"/>
  <c r="BC36" i="53" a="1"/>
  <c r="BC37" i="53" a="1"/>
  <c r="BC38" i="53" a="1"/>
  <c r="BC39" i="53" a="1"/>
  <c r="BC40" i="53" a="1"/>
  <c r="BC41" i="53" a="1"/>
  <c r="BC42" i="53" a="1"/>
  <c r="BC43" i="53" a="1"/>
  <c r="BC44" i="53" a="1"/>
  <c r="BC45" i="53" a="1"/>
  <c r="BC46" i="53" a="1"/>
  <c r="BC47" i="53" a="1"/>
  <c r="BC48" i="53" a="1"/>
  <c r="BC49" i="53" a="1"/>
  <c r="BC50" i="53" a="1"/>
  <c r="BC51" i="53" a="1"/>
  <c r="BC52" i="53" a="1"/>
  <c r="BC53" i="53" a="1"/>
  <c r="BC54" i="53" a="1"/>
  <c r="BC55" i="53" a="1"/>
  <c r="BC56" i="53" a="1"/>
  <c r="BC57" i="53" a="1"/>
  <c r="BC58" i="53" a="1"/>
  <c r="BC59" i="53" a="1"/>
  <c r="BC60" i="53" a="1"/>
  <c r="BC61" i="53" a="1"/>
  <c r="BC62" i="53" a="1"/>
  <c r="BC63" i="53" a="1"/>
  <c r="BC64" i="53" a="1"/>
  <c r="BC34" i="53"/>
  <c r="BC35" i="53"/>
  <c r="BC36" i="53"/>
  <c r="BC37" i="53"/>
  <c r="BC38" i="53"/>
  <c r="BC39" i="53"/>
  <c r="BC40" i="53"/>
  <c r="BC41" i="53"/>
  <c r="BC42" i="53"/>
  <c r="BC43" i="53"/>
  <c r="BC44" i="53"/>
  <c r="BC45" i="53"/>
  <c r="BC46" i="53"/>
  <c r="BC47" i="53"/>
  <c r="BC48" i="53"/>
  <c r="BC49" i="53"/>
  <c r="BC50" i="53"/>
  <c r="BC51" i="53"/>
  <c r="BC52" i="53"/>
  <c r="BC53" i="53"/>
  <c r="BC54" i="53"/>
  <c r="BC55" i="53"/>
  <c r="BC56" i="53"/>
  <c r="BC57" i="53"/>
  <c r="BC58" i="53"/>
  <c r="BC59" i="53"/>
  <c r="BC60" i="53"/>
  <c r="BC61" i="53"/>
  <c r="BC62" i="53"/>
  <c r="BC63" i="53"/>
  <c r="BC64" i="53"/>
  <c r="BC66" i="53" a="1"/>
  <c r="BC66" i="53"/>
  <c r="BC68" i="53"/>
  <c r="BB30" i="53"/>
  <c r="BB31" i="53"/>
  <c r="BB32" i="53"/>
  <c r="BB27" i="53"/>
  <c r="BB33" i="53" a="1"/>
  <c r="BB33" i="53"/>
  <c r="BB34" i="53" a="1"/>
  <c r="BB35" i="53" a="1"/>
  <c r="BB36" i="53" a="1"/>
  <c r="BB37" i="53" a="1"/>
  <c r="BB38" i="53" a="1"/>
  <c r="BB39" i="53" a="1"/>
  <c r="BB40" i="53" a="1"/>
  <c r="BB41" i="53" a="1"/>
  <c r="BB42" i="53" a="1"/>
  <c r="BB43" i="53" a="1"/>
  <c r="BB44" i="53" a="1"/>
  <c r="BB45" i="53" a="1"/>
  <c r="BB46" i="53" a="1"/>
  <c r="BB47" i="53" a="1"/>
  <c r="BB48" i="53" a="1"/>
  <c r="BB49" i="53" a="1"/>
  <c r="BB50" i="53" a="1"/>
  <c r="BB51" i="53" a="1"/>
  <c r="BB52" i="53" a="1"/>
  <c r="BB53" i="53" a="1"/>
  <c r="BB54" i="53" a="1"/>
  <c r="BB55" i="53" a="1"/>
  <c r="BB56" i="53" a="1"/>
  <c r="BB57" i="53" a="1"/>
  <c r="BB58" i="53" a="1"/>
  <c r="BB59" i="53" a="1"/>
  <c r="BB60" i="53" a="1"/>
  <c r="BB61" i="53" a="1"/>
  <c r="BB62" i="53" a="1"/>
  <c r="BB63" i="53" a="1"/>
  <c r="BB64" i="53" a="1"/>
  <c r="BB34" i="53"/>
  <c r="BB35" i="53"/>
  <c r="BB36" i="53"/>
  <c r="BB37" i="53"/>
  <c r="BB38" i="53"/>
  <c r="BB39" i="53"/>
  <c r="BB40" i="53"/>
  <c r="BB41" i="53"/>
  <c r="BB42" i="53"/>
  <c r="BB43" i="53"/>
  <c r="BB44" i="53"/>
  <c r="BB45" i="53"/>
  <c r="BB46" i="53"/>
  <c r="BB47" i="53"/>
  <c r="BB48" i="53"/>
  <c r="BB49" i="53"/>
  <c r="BB50" i="53"/>
  <c r="BB51" i="53"/>
  <c r="BB52" i="53"/>
  <c r="BB53" i="53"/>
  <c r="BB54" i="53"/>
  <c r="BB55" i="53"/>
  <c r="BB56" i="53"/>
  <c r="BB57" i="53"/>
  <c r="BB58" i="53"/>
  <c r="BB59" i="53"/>
  <c r="BB60" i="53"/>
  <c r="BB61" i="53"/>
  <c r="BB62" i="53"/>
  <c r="BB63" i="53"/>
  <c r="BB64" i="53"/>
  <c r="BB66" i="53" a="1"/>
  <c r="BB66" i="53"/>
  <c r="BB68" i="53"/>
  <c r="BA30" i="53"/>
  <c r="BA31" i="53"/>
  <c r="BA32" i="53"/>
  <c r="BA27" i="53"/>
  <c r="BA33" i="53" a="1"/>
  <c r="BA33" i="53"/>
  <c r="BA34" i="53" a="1"/>
  <c r="BA35" i="53" a="1"/>
  <c r="BA36" i="53" a="1"/>
  <c r="BA37" i="53" a="1"/>
  <c r="BA38" i="53" a="1"/>
  <c r="BA39" i="53" a="1"/>
  <c r="BA40" i="53" a="1"/>
  <c r="BA41" i="53" a="1"/>
  <c r="BA42" i="53" a="1"/>
  <c r="BA43" i="53" a="1"/>
  <c r="BA44" i="53" a="1"/>
  <c r="BA45" i="53" a="1"/>
  <c r="BA46" i="53" a="1"/>
  <c r="BA47" i="53" a="1"/>
  <c r="BA48" i="53" a="1"/>
  <c r="BA49" i="53" a="1"/>
  <c r="BA50" i="53" a="1"/>
  <c r="BA51" i="53" a="1"/>
  <c r="BA52" i="53" a="1"/>
  <c r="BA53" i="53" a="1"/>
  <c r="BA54" i="53" a="1"/>
  <c r="BA55" i="53" a="1"/>
  <c r="BA56" i="53" a="1"/>
  <c r="BA57" i="53" a="1"/>
  <c r="BA58" i="53" a="1"/>
  <c r="BA59" i="53" a="1"/>
  <c r="BA60" i="53" a="1"/>
  <c r="BA61" i="53" a="1"/>
  <c r="BA62" i="53" a="1"/>
  <c r="BA63" i="53" a="1"/>
  <c r="BA64" i="53" a="1"/>
  <c r="BA34" i="53"/>
  <c r="BA35" i="53"/>
  <c r="BA36" i="53"/>
  <c r="BA37" i="53"/>
  <c r="BA38" i="53"/>
  <c r="BA39" i="53"/>
  <c r="BA40" i="53"/>
  <c r="BA41" i="53"/>
  <c r="BA42" i="53"/>
  <c r="BA43" i="53"/>
  <c r="BA44" i="53"/>
  <c r="BA45" i="53"/>
  <c r="BA46" i="53"/>
  <c r="BA47" i="53"/>
  <c r="BA48" i="53"/>
  <c r="BA49" i="53"/>
  <c r="BA50" i="53"/>
  <c r="BA51" i="53"/>
  <c r="BA52" i="53"/>
  <c r="BA53" i="53"/>
  <c r="BA54" i="53"/>
  <c r="BA55" i="53"/>
  <c r="BA56" i="53"/>
  <c r="BA57" i="53"/>
  <c r="BA58" i="53"/>
  <c r="BA59" i="53"/>
  <c r="BA60" i="53"/>
  <c r="BA61" i="53"/>
  <c r="BA62" i="53"/>
  <c r="BA63" i="53"/>
  <c r="BA64" i="53"/>
  <c r="BA66" i="53" a="1"/>
  <c r="BA66" i="53"/>
  <c r="BA68" i="53"/>
  <c r="AZ30" i="53"/>
  <c r="AZ31" i="53"/>
  <c r="AZ32" i="53"/>
  <c r="AZ27" i="53"/>
  <c r="AZ33" i="53" a="1"/>
  <c r="AZ33" i="53"/>
  <c r="AZ34" i="53" a="1"/>
  <c r="AZ35" i="53" a="1"/>
  <c r="AZ36" i="53" a="1"/>
  <c r="AZ37" i="53" a="1"/>
  <c r="AZ38" i="53" a="1"/>
  <c r="AZ39" i="53" a="1"/>
  <c r="AZ40" i="53" a="1"/>
  <c r="AZ41" i="53" a="1"/>
  <c r="AZ42" i="53" a="1"/>
  <c r="AZ43" i="53" a="1"/>
  <c r="AZ44" i="53" a="1"/>
  <c r="AZ45" i="53" a="1"/>
  <c r="AZ46" i="53" a="1"/>
  <c r="AZ47" i="53" a="1"/>
  <c r="AZ48" i="53" a="1"/>
  <c r="AZ49" i="53" a="1"/>
  <c r="AZ50" i="53" a="1"/>
  <c r="AZ51" i="53" a="1"/>
  <c r="AZ52" i="53" a="1"/>
  <c r="AZ53" i="53" a="1"/>
  <c r="AZ54" i="53" a="1"/>
  <c r="AZ55" i="53" a="1"/>
  <c r="AZ56" i="53" a="1"/>
  <c r="AZ57" i="53" a="1"/>
  <c r="AZ58" i="53" a="1"/>
  <c r="AZ59" i="53" a="1"/>
  <c r="AZ60" i="53" a="1"/>
  <c r="AZ61" i="53" a="1"/>
  <c r="AZ62" i="53" a="1"/>
  <c r="AZ63" i="53" a="1"/>
  <c r="AZ64" i="53" a="1"/>
  <c r="AZ34" i="53"/>
  <c r="AZ35" i="53"/>
  <c r="AZ36" i="53"/>
  <c r="AZ37" i="53"/>
  <c r="AZ38" i="53"/>
  <c r="AZ39" i="53"/>
  <c r="AZ40" i="53"/>
  <c r="AZ41" i="53"/>
  <c r="AZ42" i="53"/>
  <c r="AZ43" i="53"/>
  <c r="AZ44" i="53"/>
  <c r="AZ45" i="53"/>
  <c r="AZ46" i="53"/>
  <c r="AZ47" i="53"/>
  <c r="AZ48" i="53"/>
  <c r="AZ49" i="53"/>
  <c r="AZ50" i="53"/>
  <c r="AZ51" i="53"/>
  <c r="AZ52" i="53"/>
  <c r="AZ53" i="53"/>
  <c r="AZ54" i="53"/>
  <c r="AZ55" i="53"/>
  <c r="AZ56" i="53"/>
  <c r="AZ57" i="53"/>
  <c r="AZ58" i="53"/>
  <c r="AZ59" i="53"/>
  <c r="AZ60" i="53"/>
  <c r="AZ61" i="53"/>
  <c r="AZ62" i="53"/>
  <c r="AZ63" i="53"/>
  <c r="AZ64" i="53"/>
  <c r="AZ66" i="53" a="1"/>
  <c r="AZ66" i="53"/>
  <c r="AZ68" i="53"/>
  <c r="AY30" i="53"/>
  <c r="AY31" i="53"/>
  <c r="AY32" i="53"/>
  <c r="AY27" i="53"/>
  <c r="AY33" i="53" a="1"/>
  <c r="AY33" i="53"/>
  <c r="AY34" i="53" a="1"/>
  <c r="AY35" i="53" a="1"/>
  <c r="AY36" i="53" a="1"/>
  <c r="AY37" i="53" a="1"/>
  <c r="AY38" i="53" a="1"/>
  <c r="AY39" i="53" a="1"/>
  <c r="AY40" i="53" a="1"/>
  <c r="AY41" i="53" a="1"/>
  <c r="AY42" i="53" a="1"/>
  <c r="AY43" i="53" a="1"/>
  <c r="AY44" i="53" a="1"/>
  <c r="AY45" i="53" a="1"/>
  <c r="AY46" i="53" a="1"/>
  <c r="AY47" i="53" a="1"/>
  <c r="AY48" i="53" a="1"/>
  <c r="AY49" i="53" a="1"/>
  <c r="AY50" i="53" a="1"/>
  <c r="AY51" i="53" a="1"/>
  <c r="AY52" i="53" a="1"/>
  <c r="AY53" i="53" a="1"/>
  <c r="AY54" i="53" a="1"/>
  <c r="AY55" i="53" a="1"/>
  <c r="AY56" i="53" a="1"/>
  <c r="AY57" i="53" a="1"/>
  <c r="AY58" i="53" a="1"/>
  <c r="AY59" i="53" a="1"/>
  <c r="AY60" i="53" a="1"/>
  <c r="AY61" i="53" a="1"/>
  <c r="AY62" i="53" a="1"/>
  <c r="AY63" i="53" a="1"/>
  <c r="AY64" i="53" a="1"/>
  <c r="AY34" i="53"/>
  <c r="AY35" i="53"/>
  <c r="AY36" i="53"/>
  <c r="AY37" i="53"/>
  <c r="AY38" i="53"/>
  <c r="AY39" i="53"/>
  <c r="AY40" i="53"/>
  <c r="AY41" i="53"/>
  <c r="AY42" i="53"/>
  <c r="AY43" i="53"/>
  <c r="AY44" i="53"/>
  <c r="AY45" i="53"/>
  <c r="AY46" i="53"/>
  <c r="AY47" i="53"/>
  <c r="AY48" i="53"/>
  <c r="AY49" i="53"/>
  <c r="AY50" i="53"/>
  <c r="AY51" i="53"/>
  <c r="AY52" i="53"/>
  <c r="AY53" i="53"/>
  <c r="AY54" i="53"/>
  <c r="AY55" i="53"/>
  <c r="AY56" i="53"/>
  <c r="AY57" i="53"/>
  <c r="AY58" i="53"/>
  <c r="AY59" i="53"/>
  <c r="AY60" i="53"/>
  <c r="AY61" i="53"/>
  <c r="AY62" i="53"/>
  <c r="AY63" i="53"/>
  <c r="AY64" i="53"/>
  <c r="AY66" i="53" a="1"/>
  <c r="AY66" i="53"/>
  <c r="AY68" i="53"/>
  <c r="AX30" i="53"/>
  <c r="AX31" i="53"/>
  <c r="AX32" i="53"/>
  <c r="AX27" i="53"/>
  <c r="AX33" i="53" a="1"/>
  <c r="AX33" i="53"/>
  <c r="AX34" i="53" a="1"/>
  <c r="AX35" i="53" a="1"/>
  <c r="AX36" i="53" a="1"/>
  <c r="AX37" i="53" a="1"/>
  <c r="AX38" i="53" a="1"/>
  <c r="AX39" i="53" a="1"/>
  <c r="AX40" i="53" a="1"/>
  <c r="AX41" i="53" a="1"/>
  <c r="AX42" i="53" a="1"/>
  <c r="AX43" i="53" a="1"/>
  <c r="AX44" i="53" a="1"/>
  <c r="AX45" i="53" a="1"/>
  <c r="AX46" i="53" a="1"/>
  <c r="AX47" i="53" a="1"/>
  <c r="AX48" i="53" a="1"/>
  <c r="AX49" i="53" a="1"/>
  <c r="AX50" i="53" a="1"/>
  <c r="AX51" i="53" a="1"/>
  <c r="AX52" i="53" a="1"/>
  <c r="AX53" i="53" a="1"/>
  <c r="AX54" i="53" a="1"/>
  <c r="AX55" i="53" a="1"/>
  <c r="AX56" i="53" a="1"/>
  <c r="AX57" i="53" a="1"/>
  <c r="AX58" i="53" a="1"/>
  <c r="AX59" i="53" a="1"/>
  <c r="AX60" i="53" a="1"/>
  <c r="AX61" i="53" a="1"/>
  <c r="AX62" i="53" a="1"/>
  <c r="AX63" i="53" a="1"/>
  <c r="AX64" i="53" a="1"/>
  <c r="AX34" i="53"/>
  <c r="AX35" i="53"/>
  <c r="AX36" i="53"/>
  <c r="AX37" i="53"/>
  <c r="AX38" i="53"/>
  <c r="AX39" i="53"/>
  <c r="AX40" i="53"/>
  <c r="AX41" i="53"/>
  <c r="AX42" i="53"/>
  <c r="AX43" i="53"/>
  <c r="AX44" i="53"/>
  <c r="AX45" i="53"/>
  <c r="AX46" i="53"/>
  <c r="AX47" i="53"/>
  <c r="AX48" i="53"/>
  <c r="AX49" i="53"/>
  <c r="AX50" i="53"/>
  <c r="AX51" i="53"/>
  <c r="AX52" i="53"/>
  <c r="AX53" i="53"/>
  <c r="AX54" i="53"/>
  <c r="AX55" i="53"/>
  <c r="AX56" i="53"/>
  <c r="AX57" i="53"/>
  <c r="AX58" i="53"/>
  <c r="AX59" i="53"/>
  <c r="AX60" i="53"/>
  <c r="AX61" i="53"/>
  <c r="AX62" i="53"/>
  <c r="AX63" i="53"/>
  <c r="AX64" i="53"/>
  <c r="AX66" i="53" a="1"/>
  <c r="AX66" i="53"/>
  <c r="AX68" i="53"/>
  <c r="AU65" i="53"/>
  <c r="AU68" i="53"/>
  <c r="AT68" i="53"/>
  <c r="H68" i="53"/>
  <c r="AO16" i="53"/>
  <c r="D67" i="53"/>
  <c r="E67" i="53"/>
  <c r="AP67" i="53"/>
  <c r="AQ67" i="53"/>
  <c r="AM67" i="53"/>
  <c r="AO67" i="53"/>
  <c r="AR67" i="53"/>
  <c r="AT67" i="53"/>
  <c r="AU67" i="53"/>
  <c r="BK67" i="53" a="1"/>
  <c r="BK67" i="53"/>
  <c r="BJ67" i="53" a="1"/>
  <c r="BJ67" i="53"/>
  <c r="BI67" i="53" a="1"/>
  <c r="BI67" i="53"/>
  <c r="BH67" i="53" a="1"/>
  <c r="BH67" i="53"/>
  <c r="BG67" i="53" a="1"/>
  <c r="BG67" i="53"/>
  <c r="BF67" i="53" a="1"/>
  <c r="BF67" i="53"/>
  <c r="BE67" i="53" a="1"/>
  <c r="BE67" i="53"/>
  <c r="BD67" i="53" a="1"/>
  <c r="BD67" i="53"/>
  <c r="BC67" i="53" a="1"/>
  <c r="BC67" i="53"/>
  <c r="BB67" i="53" a="1"/>
  <c r="BB67" i="53"/>
  <c r="BA67" i="53" a="1"/>
  <c r="BA67" i="53"/>
  <c r="AZ67" i="53" a="1"/>
  <c r="AZ67" i="53"/>
  <c r="AY67" i="53" a="1"/>
  <c r="AY67" i="53"/>
  <c r="AX67" i="53" a="1"/>
  <c r="AX67" i="53"/>
  <c r="AW67" i="53"/>
  <c r="AS67" i="53"/>
  <c r="X67" i="53"/>
  <c r="Y67" i="53"/>
  <c r="C67" i="53"/>
  <c r="B67" i="53"/>
  <c r="AW66" i="53"/>
  <c r="AV66" i="53"/>
  <c r="AS66" i="53"/>
  <c r="X66" i="53"/>
  <c r="Y66" i="53"/>
  <c r="H66" i="53"/>
  <c r="G66" i="53"/>
  <c r="C66" i="53"/>
  <c r="B66" i="53"/>
  <c r="BK65" i="53" a="1"/>
  <c r="BK65" i="53"/>
  <c r="BJ65" i="53" a="1"/>
  <c r="BJ65" i="53"/>
  <c r="BI65" i="53" a="1"/>
  <c r="BI65" i="53"/>
  <c r="BH65" i="53" a="1"/>
  <c r="BH65" i="53"/>
  <c r="BG65" i="53" a="1"/>
  <c r="BG65" i="53"/>
  <c r="BF65" i="53" a="1"/>
  <c r="BF65" i="53"/>
  <c r="BE65" i="53" a="1"/>
  <c r="BE65" i="53"/>
  <c r="BD65" i="53" a="1"/>
  <c r="BD65" i="53"/>
  <c r="BC65" i="53" a="1"/>
  <c r="BC65" i="53"/>
  <c r="BB65" i="53" a="1"/>
  <c r="BB65" i="53"/>
  <c r="BA65" i="53" a="1"/>
  <c r="BA65" i="53"/>
  <c r="AZ65" i="53" a="1"/>
  <c r="AZ65" i="53"/>
  <c r="AY65" i="53" a="1"/>
  <c r="AY65" i="53"/>
  <c r="AX65" i="53" a="1"/>
  <c r="AX65" i="53"/>
  <c r="AW65" i="53"/>
  <c r="AS65" i="53"/>
  <c r="X65" i="53"/>
  <c r="Y65" i="53"/>
  <c r="I65" i="53"/>
  <c r="H65" i="53"/>
  <c r="C65" i="53"/>
  <c r="B65" i="53"/>
  <c r="AW64" i="53"/>
  <c r="AS64" i="53"/>
  <c r="AG64" i="53"/>
  <c r="I64" i="53"/>
  <c r="H64" i="53"/>
  <c r="C64" i="53"/>
  <c r="B64" i="53"/>
  <c r="AM63" i="53"/>
  <c r="AW63" i="53"/>
  <c r="AS63" i="53"/>
  <c r="AO63" i="53"/>
  <c r="AG63" i="53"/>
  <c r="I63" i="53"/>
  <c r="H63" i="53"/>
  <c r="C63" i="53"/>
  <c r="B63" i="53"/>
  <c r="AM62" i="53"/>
  <c r="AW62" i="53"/>
  <c r="AS62" i="53"/>
  <c r="AO62" i="53"/>
  <c r="AG62" i="53"/>
  <c r="I62" i="53"/>
  <c r="H62" i="53"/>
  <c r="C62" i="53"/>
  <c r="B62" i="53"/>
  <c r="AM61" i="53"/>
  <c r="AW61" i="53"/>
  <c r="AS61" i="53"/>
  <c r="AO61" i="53"/>
  <c r="AG61" i="53"/>
  <c r="I61" i="53"/>
  <c r="H61" i="53"/>
  <c r="C61" i="53"/>
  <c r="B61" i="53"/>
  <c r="AW60" i="53"/>
  <c r="AS60" i="53"/>
  <c r="AG60" i="53"/>
  <c r="I60" i="53"/>
  <c r="H60" i="53"/>
  <c r="C60" i="53"/>
  <c r="B60" i="53"/>
  <c r="AW59" i="53"/>
  <c r="AS59" i="53"/>
  <c r="AG59" i="53"/>
  <c r="I59" i="53"/>
  <c r="H59" i="53"/>
  <c r="C59" i="53"/>
  <c r="B59" i="53"/>
  <c r="AM58" i="53"/>
  <c r="AW58" i="53"/>
  <c r="AS58" i="53"/>
  <c r="AO58" i="53"/>
  <c r="AG58" i="53"/>
  <c r="I58" i="53"/>
  <c r="H58" i="53"/>
  <c r="C58" i="53"/>
  <c r="B58" i="53"/>
  <c r="AM57" i="53"/>
  <c r="AW57" i="53"/>
  <c r="AS57" i="53"/>
  <c r="AO57" i="53"/>
  <c r="AG57" i="53"/>
  <c r="I57" i="53"/>
  <c r="H57" i="53"/>
  <c r="C57" i="53"/>
  <c r="B57" i="53"/>
  <c r="AM56" i="53"/>
  <c r="AW56" i="53"/>
  <c r="AS56" i="53"/>
  <c r="AO56" i="53"/>
  <c r="AG56" i="53"/>
  <c r="I56" i="53"/>
  <c r="H56" i="53"/>
  <c r="C56" i="53"/>
  <c r="B56" i="53"/>
  <c r="AM55" i="53"/>
  <c r="AW55" i="53"/>
  <c r="AS55" i="53"/>
  <c r="AO55" i="53"/>
  <c r="AG55" i="53"/>
  <c r="I55" i="53"/>
  <c r="H55" i="53"/>
  <c r="C55" i="53"/>
  <c r="B55" i="53"/>
  <c r="AM54" i="53"/>
  <c r="AW54" i="53"/>
  <c r="AS54" i="53"/>
  <c r="AO54" i="53"/>
  <c r="AG54" i="53"/>
  <c r="I54" i="53"/>
  <c r="H54" i="53"/>
  <c r="C54" i="53"/>
  <c r="B54" i="53"/>
  <c r="AM53" i="53"/>
  <c r="AW53" i="53"/>
  <c r="AS53" i="53"/>
  <c r="AO53" i="53"/>
  <c r="AG53" i="53"/>
  <c r="I53" i="53"/>
  <c r="H53" i="53"/>
  <c r="C53" i="53"/>
  <c r="B53" i="53"/>
  <c r="AM52" i="53"/>
  <c r="AW52" i="53"/>
  <c r="AS52" i="53"/>
  <c r="AO52" i="53"/>
  <c r="AG52" i="53"/>
  <c r="I52" i="53"/>
  <c r="H52" i="53"/>
  <c r="C52" i="53"/>
  <c r="B52" i="53"/>
  <c r="AM51" i="53"/>
  <c r="AW51" i="53"/>
  <c r="AS51" i="53"/>
  <c r="AO51" i="53"/>
  <c r="AG51" i="53"/>
  <c r="I51" i="53"/>
  <c r="H51" i="53"/>
  <c r="C51" i="53"/>
  <c r="B51" i="53"/>
  <c r="AM50" i="53"/>
  <c r="AW50" i="53"/>
  <c r="AS50" i="53"/>
  <c r="AO50" i="53"/>
  <c r="AG50" i="53"/>
  <c r="I50" i="53"/>
  <c r="H50" i="53"/>
  <c r="C50" i="53"/>
  <c r="B50" i="53"/>
  <c r="AM49" i="53"/>
  <c r="AW49" i="53"/>
  <c r="AS49" i="53"/>
  <c r="AO49" i="53"/>
  <c r="AG49" i="53"/>
  <c r="I49" i="53"/>
  <c r="H49" i="53"/>
  <c r="C49" i="53"/>
  <c r="B49" i="53"/>
  <c r="AW48" i="53"/>
  <c r="AS48" i="53"/>
  <c r="AG48" i="53"/>
  <c r="I48" i="53"/>
  <c r="H48" i="53"/>
  <c r="C48" i="53"/>
  <c r="B48" i="53"/>
  <c r="AW47" i="53"/>
  <c r="AS47" i="53"/>
  <c r="AG47" i="53"/>
  <c r="I47" i="53"/>
  <c r="H47" i="53"/>
  <c r="C47" i="53"/>
  <c r="B47" i="53"/>
  <c r="AW46" i="53"/>
  <c r="AS46" i="53"/>
  <c r="AG46" i="53"/>
  <c r="I46" i="53"/>
  <c r="H46" i="53"/>
  <c r="C46" i="53"/>
  <c r="B46" i="53"/>
  <c r="AW45" i="53"/>
  <c r="AS45" i="53"/>
  <c r="AG45" i="53"/>
  <c r="I45" i="53"/>
  <c r="H45" i="53"/>
  <c r="C45" i="53"/>
  <c r="B45" i="53"/>
  <c r="AW44" i="53"/>
  <c r="AS44" i="53"/>
  <c r="AG44" i="53"/>
  <c r="I44" i="53"/>
  <c r="H44" i="53"/>
  <c r="C44" i="53"/>
  <c r="B44" i="53"/>
  <c r="AW43" i="53"/>
  <c r="AS43" i="53"/>
  <c r="AG43" i="53"/>
  <c r="I43" i="53"/>
  <c r="H43" i="53"/>
  <c r="C43" i="53"/>
  <c r="B43" i="53"/>
  <c r="AW42" i="53"/>
  <c r="AS42" i="53"/>
  <c r="AG42" i="53"/>
  <c r="I42" i="53"/>
  <c r="H42" i="53"/>
  <c r="C42" i="53"/>
  <c r="B42" i="53"/>
  <c r="AM41" i="53"/>
  <c r="AW41" i="53"/>
  <c r="AS41" i="53"/>
  <c r="AO41" i="53"/>
  <c r="AG41" i="53"/>
  <c r="I41" i="53"/>
  <c r="H41" i="53"/>
  <c r="C41" i="53"/>
  <c r="B41" i="53"/>
  <c r="AM40" i="53"/>
  <c r="AW40" i="53"/>
  <c r="AS40" i="53"/>
  <c r="AO40" i="53"/>
  <c r="AG40" i="53"/>
  <c r="I40" i="53"/>
  <c r="H40" i="53"/>
  <c r="C40" i="53"/>
  <c r="B40" i="53"/>
  <c r="AM39" i="53"/>
  <c r="AW39" i="53"/>
  <c r="AS39" i="53"/>
  <c r="AO39" i="53"/>
  <c r="AG39" i="53"/>
  <c r="I39" i="53"/>
  <c r="H39" i="53"/>
  <c r="C39" i="53"/>
  <c r="B39" i="53"/>
  <c r="AM38" i="53"/>
  <c r="AW38" i="53"/>
  <c r="AS38" i="53"/>
  <c r="AO38" i="53"/>
  <c r="AG38" i="53"/>
  <c r="I38" i="53"/>
  <c r="H38" i="53"/>
  <c r="C38" i="53"/>
  <c r="B38" i="53"/>
  <c r="AM37" i="53"/>
  <c r="AW37" i="53"/>
  <c r="AS37" i="53"/>
  <c r="AO37" i="53"/>
  <c r="AG37" i="53"/>
  <c r="I37" i="53"/>
  <c r="H37" i="53"/>
  <c r="C37" i="53"/>
  <c r="B37" i="53"/>
  <c r="AM36" i="53"/>
  <c r="AW36" i="53"/>
  <c r="AS36" i="53"/>
  <c r="AO36" i="53"/>
  <c r="AG36" i="53"/>
  <c r="I36" i="53"/>
  <c r="H36" i="53"/>
  <c r="C36" i="53"/>
  <c r="B36" i="53"/>
  <c r="AM35" i="53"/>
  <c r="AW35" i="53"/>
  <c r="AS35" i="53"/>
  <c r="AO35" i="53"/>
  <c r="AG35" i="53"/>
  <c r="I35" i="53"/>
  <c r="H35" i="53"/>
  <c r="C35" i="53"/>
  <c r="B35" i="53"/>
  <c r="AM34" i="53"/>
  <c r="AW34" i="53"/>
  <c r="AS34" i="53"/>
  <c r="AO34" i="53"/>
  <c r="AG34" i="53"/>
  <c r="I34" i="53"/>
  <c r="H34" i="53"/>
  <c r="C34" i="53"/>
  <c r="B34" i="53"/>
  <c r="AM33" i="53"/>
  <c r="AW33" i="53"/>
  <c r="AS33" i="53"/>
  <c r="AO33" i="53"/>
  <c r="AG33" i="53"/>
  <c r="I33" i="53"/>
  <c r="H33" i="53"/>
  <c r="C33" i="53"/>
  <c r="B33" i="53"/>
  <c r="D32" i="53"/>
  <c r="AM32" i="53"/>
  <c r="AW32" i="53"/>
  <c r="AS32" i="53"/>
  <c r="AO32" i="53"/>
  <c r="AG32" i="53"/>
  <c r="I32" i="53"/>
  <c r="H32" i="53"/>
  <c r="C32" i="53"/>
  <c r="B32" i="53"/>
  <c r="D31" i="53"/>
  <c r="AM31" i="53"/>
  <c r="AW31" i="53"/>
  <c r="AS31" i="53"/>
  <c r="AO31" i="53"/>
  <c r="AG31" i="53"/>
  <c r="I31" i="53"/>
  <c r="H31" i="53"/>
  <c r="C31" i="53"/>
  <c r="B31" i="53"/>
  <c r="D30" i="53"/>
  <c r="AM30" i="53"/>
  <c r="AW30" i="53"/>
  <c r="AS30" i="53"/>
  <c r="AO30" i="53"/>
  <c r="AG30" i="53"/>
  <c r="I30" i="53"/>
  <c r="H30" i="53"/>
  <c r="C30" i="53"/>
  <c r="B30" i="53"/>
  <c r="EB28" i="53"/>
  <c r="DY28" i="53"/>
  <c r="DX28" i="53"/>
  <c r="DW28" i="53"/>
  <c r="DV28" i="53"/>
  <c r="DU28" i="53"/>
  <c r="DT28" i="53"/>
  <c r="DS28" i="53"/>
  <c r="DR28" i="53"/>
  <c r="DQ28" i="53"/>
  <c r="DP28" i="53"/>
  <c r="DO28" i="53"/>
  <c r="DN28" i="53"/>
  <c r="DK28" i="53"/>
  <c r="DJ28" i="53"/>
  <c r="DI28" i="53"/>
  <c r="DH28" i="53"/>
  <c r="DG28" i="53"/>
  <c r="DF28" i="53"/>
  <c r="DE28" i="53"/>
  <c r="DD28" i="53"/>
  <c r="DC28" i="53"/>
  <c r="DB28" i="53"/>
  <c r="DA28" i="53"/>
  <c r="CZ28" i="53"/>
  <c r="CW28" i="53"/>
  <c r="CV28" i="53"/>
  <c r="CU28" i="53"/>
  <c r="CT28" i="53"/>
  <c r="CS28" i="53"/>
  <c r="CR28" i="53"/>
  <c r="CQ28" i="53"/>
  <c r="CP28" i="53"/>
  <c r="CO28" i="53"/>
  <c r="CN28" i="53"/>
  <c r="CM28" i="53"/>
  <c r="CL28" i="53"/>
  <c r="CK28" i="53"/>
  <c r="CJ28" i="53"/>
  <c r="CI28" i="53"/>
  <c r="CH28" i="53"/>
  <c r="CG28" i="53"/>
  <c r="CF28" i="53"/>
  <c r="CE28" i="53"/>
  <c r="CD28" i="53"/>
  <c r="CC28" i="53"/>
  <c r="CB28" i="53"/>
  <c r="CA28" i="53"/>
  <c r="BZ28" i="53"/>
  <c r="BY28" i="53"/>
  <c r="BX28" i="53"/>
  <c r="BW28" i="53"/>
  <c r="BV28" i="53"/>
  <c r="BU28" i="53"/>
  <c r="BT28" i="53"/>
  <c r="BS28" i="53"/>
  <c r="BR28" i="53"/>
  <c r="BQ28" i="53"/>
  <c r="BP28" i="53"/>
  <c r="BO28" i="53"/>
  <c r="BN28" i="53"/>
  <c r="BM28" i="53"/>
  <c r="BK28" i="53"/>
  <c r="BJ28" i="53"/>
  <c r="BI28" i="53"/>
  <c r="BH28" i="53"/>
  <c r="BG28" i="53"/>
  <c r="BF28" i="53"/>
  <c r="BE28" i="53"/>
  <c r="BD28" i="53"/>
  <c r="BC28" i="53"/>
  <c r="BB28" i="53"/>
  <c r="BA28" i="53"/>
  <c r="AZ28" i="53"/>
  <c r="AY28" i="53"/>
  <c r="AX28" i="53"/>
  <c r="Z2" i="53"/>
  <c r="Y4" i="53"/>
  <c r="C28" i="53"/>
  <c r="EB27" i="53"/>
  <c r="DY27" i="53"/>
  <c r="DX27" i="53"/>
  <c r="DW27" i="53"/>
  <c r="DV27" i="53"/>
  <c r="DU27" i="53"/>
  <c r="DT27" i="53"/>
  <c r="DS27" i="53"/>
  <c r="DR27" i="53"/>
  <c r="DQ27" i="53"/>
  <c r="DP27" i="53"/>
  <c r="DO27" i="53"/>
  <c r="C23" i="53"/>
  <c r="C22" i="53"/>
  <c r="C21" i="53"/>
  <c r="C20" i="53"/>
  <c r="AQ18" i="53"/>
  <c r="D18" i="53"/>
  <c r="AM18" i="53"/>
  <c r="X18" i="53"/>
  <c r="Y18" i="53"/>
  <c r="W13" i="53"/>
  <c r="X13" i="53"/>
  <c r="B18" i="53"/>
  <c r="AY12" i="53"/>
  <c r="AX12" i="53"/>
  <c r="AX11" i="53"/>
  <c r="AX13" i="53"/>
  <c r="AX14" i="53"/>
  <c r="AX16" i="53"/>
  <c r="AY16" i="53"/>
  <c r="AN16" i="53"/>
  <c r="AM16" i="53"/>
  <c r="X16" i="53"/>
  <c r="B16" i="53"/>
  <c r="AX15" i="53"/>
  <c r="AY15" i="53"/>
  <c r="AY14" i="53"/>
  <c r="AW13" i="53"/>
  <c r="AZ12" i="53"/>
  <c r="AW12" i="53"/>
  <c r="W12" i="53"/>
  <c r="AY11" i="53"/>
  <c r="AW11" i="53"/>
  <c r="X11" i="53"/>
  <c r="W11" i="53"/>
  <c r="Y9" i="53"/>
  <c r="G11" i="53"/>
  <c r="AX10" i="53"/>
  <c r="AY10" i="53"/>
  <c r="AY9" i="53"/>
  <c r="AX9" i="53"/>
  <c r="C9" i="53"/>
  <c r="BK5" i="53"/>
  <c r="BY7" i="53"/>
  <c r="BY8" i="53"/>
  <c r="BJ5" i="53"/>
  <c r="BX7" i="53"/>
  <c r="BX8" i="53"/>
  <c r="BI5" i="53"/>
  <c r="BW7" i="53"/>
  <c r="BW8" i="53"/>
  <c r="BH5" i="53"/>
  <c r="BV7" i="53"/>
  <c r="BV8" i="53"/>
  <c r="BG5" i="53"/>
  <c r="BU7" i="53"/>
  <c r="BU8" i="53"/>
  <c r="BF5" i="53"/>
  <c r="BT7" i="53"/>
  <c r="BT8" i="53"/>
  <c r="BE5" i="53"/>
  <c r="BS7" i="53"/>
  <c r="BS8" i="53"/>
  <c r="BD5" i="53"/>
  <c r="BR7" i="53"/>
  <c r="BR8" i="53"/>
  <c r="BC5" i="53"/>
  <c r="BQ7" i="53"/>
  <c r="BQ8" i="53"/>
  <c r="BB5" i="53"/>
  <c r="BP7" i="53"/>
  <c r="BP8" i="53"/>
  <c r="BA5" i="53"/>
  <c r="BO7" i="53"/>
  <c r="BO8" i="53"/>
  <c r="AZ5" i="53"/>
  <c r="BN7" i="53"/>
  <c r="BN8" i="53"/>
  <c r="AY5" i="53"/>
  <c r="BM7" i="53"/>
  <c r="BM8" i="53"/>
  <c r="AX5" i="53"/>
  <c r="BL7" i="53"/>
  <c r="BL8" i="53"/>
  <c r="BK4" i="53"/>
  <c r="BK6" i="53"/>
  <c r="BK7" i="53"/>
  <c r="BK8" i="53"/>
  <c r="BJ4" i="53"/>
  <c r="BJ6" i="53"/>
  <c r="BJ7" i="53"/>
  <c r="BJ8" i="53"/>
  <c r="BI4" i="53"/>
  <c r="BI6" i="53"/>
  <c r="BI7" i="53"/>
  <c r="BI8" i="53"/>
  <c r="BH4" i="53"/>
  <c r="BH6" i="53"/>
  <c r="BH7" i="53"/>
  <c r="BH8" i="53"/>
  <c r="BG4" i="53"/>
  <c r="BG6" i="53"/>
  <c r="BG7" i="53"/>
  <c r="BG8" i="53"/>
  <c r="BF4" i="53"/>
  <c r="BF6" i="53"/>
  <c r="BF7" i="53"/>
  <c r="BF8" i="53"/>
  <c r="BE4" i="53"/>
  <c r="BE6" i="53"/>
  <c r="BE7" i="53"/>
  <c r="BE8" i="53"/>
  <c r="BD4" i="53"/>
  <c r="BD6" i="53"/>
  <c r="BD7" i="53"/>
  <c r="BD8" i="53"/>
  <c r="BC4" i="53"/>
  <c r="BC6" i="53"/>
  <c r="BC7" i="53"/>
  <c r="BC8" i="53"/>
  <c r="BB4" i="53"/>
  <c r="BB6" i="53"/>
  <c r="BB7" i="53"/>
  <c r="BB8" i="53"/>
  <c r="BA4" i="53"/>
  <c r="BA6" i="53"/>
  <c r="BA7" i="53"/>
  <c r="BA8" i="53"/>
  <c r="AZ4" i="53"/>
  <c r="AZ6" i="53"/>
  <c r="AZ7" i="53"/>
  <c r="AZ8" i="53"/>
  <c r="AY4" i="53"/>
  <c r="AY6" i="53"/>
  <c r="AY7" i="53"/>
  <c r="AY8" i="53"/>
  <c r="AX4" i="53"/>
  <c r="AX6" i="53"/>
  <c r="AX7" i="53"/>
  <c r="AX8" i="53"/>
  <c r="BY6" i="53"/>
  <c r="BX6" i="53"/>
  <c r="BW6" i="53"/>
  <c r="BV6" i="53"/>
  <c r="BU6" i="53"/>
  <c r="BT6" i="53"/>
  <c r="BS6" i="53"/>
  <c r="BR6" i="53"/>
  <c r="BQ6" i="53"/>
  <c r="BP6" i="53"/>
  <c r="BO6" i="53"/>
  <c r="BN6" i="53"/>
  <c r="BM6" i="53"/>
  <c r="BL6" i="53"/>
  <c r="C6" i="53"/>
  <c r="BY5" i="53"/>
  <c r="BX5" i="53"/>
  <c r="BW5" i="53"/>
  <c r="BV5" i="53"/>
  <c r="BU5" i="53"/>
  <c r="BT5" i="53"/>
  <c r="BS5" i="53"/>
  <c r="BR5" i="53"/>
  <c r="BQ5" i="53"/>
  <c r="BP5" i="53"/>
  <c r="BO5" i="53"/>
  <c r="BN5" i="53"/>
  <c r="BM5" i="53"/>
  <c r="BL5" i="53"/>
  <c r="BY4" i="53"/>
  <c r="BX4" i="53"/>
  <c r="BW4" i="53"/>
  <c r="BV4" i="53"/>
  <c r="BU4" i="53"/>
  <c r="BT4" i="53"/>
  <c r="BS4" i="53"/>
  <c r="BR4" i="53"/>
  <c r="BQ4" i="53"/>
  <c r="BP4" i="53"/>
  <c r="BO4" i="53"/>
  <c r="BN4" i="53"/>
  <c r="BM4" i="53"/>
  <c r="BL4" i="53"/>
  <c r="BY3" i="53"/>
  <c r="BX3" i="53"/>
  <c r="BV3" i="53"/>
  <c r="BU3" i="53"/>
  <c r="BT3" i="53"/>
  <c r="BS3" i="53"/>
  <c r="BR3" i="53"/>
  <c r="BQ3" i="53"/>
  <c r="BP3" i="53"/>
  <c r="BO3" i="53"/>
  <c r="BN3" i="53"/>
  <c r="BM3" i="53"/>
  <c r="BL3" i="53"/>
  <c r="BK3" i="53"/>
  <c r="BJ3" i="53"/>
  <c r="BI3" i="53"/>
  <c r="BH3" i="53"/>
  <c r="BG3" i="53"/>
  <c r="BF3" i="53"/>
  <c r="BE3" i="53"/>
  <c r="BD3" i="53"/>
  <c r="BC3" i="53"/>
  <c r="BB3" i="53"/>
  <c r="BA3" i="53"/>
  <c r="AZ3" i="53"/>
  <c r="AY3" i="53"/>
  <c r="AX3" i="53"/>
  <c r="Y3" i="53"/>
  <c r="C2" i="53"/>
  <c r="E16" i="52"/>
  <c r="AO15" i="52"/>
  <c r="BZ94" i="52"/>
  <c r="E97" i="52"/>
  <c r="AD18" i="52"/>
  <c r="E18" i="52"/>
  <c r="AN18" i="52"/>
  <c r="AE18" i="52"/>
  <c r="F18" i="52"/>
  <c r="AO18" i="52"/>
  <c r="AS18" i="52"/>
  <c r="AP18" i="52"/>
  <c r="AR18" i="52"/>
  <c r="AU18" i="52"/>
  <c r="AT18" i="52"/>
  <c r="G97" i="52"/>
  <c r="AP97" i="52"/>
  <c r="H97" i="52"/>
  <c r="AQ97" i="52"/>
  <c r="AT29" i="52"/>
  <c r="AR97" i="52"/>
  <c r="AT97" i="52"/>
  <c r="X97" i="52"/>
  <c r="Y97" i="52"/>
  <c r="AA97" i="52"/>
  <c r="AE97" i="52"/>
  <c r="AG27" i="52"/>
  <c r="AF97" i="52"/>
  <c r="AH97" i="52"/>
  <c r="BZ97" i="52" a="1"/>
  <c r="BZ97" i="52"/>
  <c r="E98" i="52"/>
  <c r="G98" i="52"/>
  <c r="AP98" i="52"/>
  <c r="H98" i="52"/>
  <c r="AQ98" i="52"/>
  <c r="AR98" i="52"/>
  <c r="AT98" i="52"/>
  <c r="X98" i="52"/>
  <c r="Y98" i="52"/>
  <c r="AA98" i="52"/>
  <c r="AE98" i="52"/>
  <c r="AF98" i="52"/>
  <c r="AH98" i="52"/>
  <c r="BZ98" i="52" a="1"/>
  <c r="BZ98" i="52"/>
  <c r="E99" i="52"/>
  <c r="G99" i="52"/>
  <c r="AP99" i="52"/>
  <c r="H99" i="52"/>
  <c r="AQ99" i="52"/>
  <c r="AR99" i="52"/>
  <c r="AT99" i="52"/>
  <c r="X99" i="52"/>
  <c r="Y99" i="52"/>
  <c r="AA99" i="52"/>
  <c r="AE99" i="52"/>
  <c r="AF99" i="52"/>
  <c r="AH99" i="52"/>
  <c r="BZ99" i="52" a="1"/>
  <c r="E100" i="52"/>
  <c r="G100" i="52"/>
  <c r="AP100" i="52"/>
  <c r="H100" i="52"/>
  <c r="AQ100" i="52"/>
  <c r="AR100" i="52"/>
  <c r="AT100" i="52"/>
  <c r="X100" i="52"/>
  <c r="Y100" i="52"/>
  <c r="AA100" i="52"/>
  <c r="AE100" i="52"/>
  <c r="AF100" i="52"/>
  <c r="AH100" i="52"/>
  <c r="BZ100" i="52" a="1"/>
  <c r="E101" i="52"/>
  <c r="G101" i="52"/>
  <c r="AP101" i="52"/>
  <c r="H101" i="52"/>
  <c r="AQ101" i="52"/>
  <c r="AR101" i="52"/>
  <c r="AT101" i="52"/>
  <c r="X101" i="52"/>
  <c r="Y101" i="52"/>
  <c r="AA101" i="52"/>
  <c r="AE101" i="52"/>
  <c r="AF101" i="52"/>
  <c r="AH101" i="52"/>
  <c r="BZ101" i="52" a="1"/>
  <c r="E102" i="52"/>
  <c r="G102" i="52"/>
  <c r="AP102" i="52"/>
  <c r="H102" i="52"/>
  <c r="AQ102" i="52"/>
  <c r="AR102" i="52"/>
  <c r="AT102" i="52"/>
  <c r="X102" i="52"/>
  <c r="Y102" i="52"/>
  <c r="AA102" i="52"/>
  <c r="AE102" i="52"/>
  <c r="AF102" i="52"/>
  <c r="AH102" i="52"/>
  <c r="BZ102" i="52" a="1"/>
  <c r="BZ99" i="52"/>
  <c r="BZ100" i="52"/>
  <c r="BZ101" i="52"/>
  <c r="BZ102" i="52"/>
  <c r="BZ103" i="52"/>
  <c r="CN94" i="52"/>
  <c r="AB97" i="52"/>
  <c r="AI97" i="52"/>
  <c r="CN97" i="52" a="1"/>
  <c r="CN97" i="52"/>
  <c r="AB98" i="52"/>
  <c r="AI98" i="52"/>
  <c r="CN98" i="52" a="1"/>
  <c r="CN98" i="52"/>
  <c r="AB99" i="52"/>
  <c r="AI99" i="52"/>
  <c r="CN99" i="52" a="1"/>
  <c r="AB100" i="52"/>
  <c r="AI100" i="52"/>
  <c r="CN100" i="52" a="1"/>
  <c r="AB101" i="52"/>
  <c r="AI101" i="52"/>
  <c r="CN101" i="52" a="1"/>
  <c r="AB102" i="52"/>
  <c r="AI102" i="52"/>
  <c r="CN102" i="52" a="1"/>
  <c r="CN99" i="52"/>
  <c r="CN100" i="52"/>
  <c r="CN101" i="52"/>
  <c r="CN102" i="52"/>
  <c r="CN103" i="52"/>
  <c r="DB94" i="52"/>
  <c r="DB97" i="52" a="1"/>
  <c r="DB97" i="52"/>
  <c r="DB98" i="52" a="1"/>
  <c r="DB98" i="52"/>
  <c r="DB99" i="52" a="1"/>
  <c r="DB100" i="52" a="1"/>
  <c r="DB101" i="52" a="1"/>
  <c r="DB102" i="52" a="1"/>
  <c r="DB99" i="52"/>
  <c r="DB100" i="52"/>
  <c r="DB101" i="52"/>
  <c r="DB102" i="52"/>
  <c r="DB103" i="52"/>
  <c r="DP94" i="52"/>
  <c r="DP97" i="52" a="1"/>
  <c r="DP97" i="52"/>
  <c r="DP98" i="52" a="1"/>
  <c r="DP98" i="52"/>
  <c r="DP99" i="52" a="1"/>
  <c r="DP100" i="52" a="1"/>
  <c r="DP101" i="52" a="1"/>
  <c r="DP102" i="52" a="1"/>
  <c r="DP99" i="52"/>
  <c r="DP100" i="52"/>
  <c r="DP101" i="52"/>
  <c r="DP102" i="52"/>
  <c r="DP103" i="52"/>
  <c r="BZ108" i="52"/>
  <c r="BY94" i="52"/>
  <c r="BY97" i="52" a="1"/>
  <c r="BY97" i="52"/>
  <c r="BY98" i="52" a="1"/>
  <c r="BY98" i="52"/>
  <c r="BY99" i="52" a="1"/>
  <c r="BY100" i="52" a="1"/>
  <c r="BY101" i="52" a="1"/>
  <c r="BY102" i="52" a="1"/>
  <c r="BY99" i="52"/>
  <c r="BY100" i="52"/>
  <c r="BY101" i="52"/>
  <c r="BY102" i="52"/>
  <c r="BY103" i="52"/>
  <c r="CM94" i="52"/>
  <c r="CM97" i="52" a="1"/>
  <c r="CM97" i="52"/>
  <c r="CM98" i="52" a="1"/>
  <c r="CM98" i="52"/>
  <c r="CM99" i="52" a="1"/>
  <c r="CM100" i="52" a="1"/>
  <c r="CM101" i="52" a="1"/>
  <c r="CM102" i="52" a="1"/>
  <c r="CM99" i="52"/>
  <c r="CM100" i="52"/>
  <c r="CM101" i="52"/>
  <c r="CM102" i="52"/>
  <c r="CM103" i="52"/>
  <c r="DA94" i="52"/>
  <c r="DA97" i="52" a="1"/>
  <c r="DA97" i="52"/>
  <c r="DA98" i="52" a="1"/>
  <c r="DA98" i="52"/>
  <c r="DA99" i="52" a="1"/>
  <c r="DA100" i="52" a="1"/>
  <c r="DA101" i="52" a="1"/>
  <c r="DA102" i="52" a="1"/>
  <c r="DA99" i="52"/>
  <c r="DA100" i="52"/>
  <c r="DA101" i="52"/>
  <c r="DA102" i="52"/>
  <c r="DA103" i="52"/>
  <c r="DO94" i="52"/>
  <c r="DO97" i="52" a="1"/>
  <c r="DO97" i="52"/>
  <c r="DO98" i="52" a="1"/>
  <c r="DO98" i="52"/>
  <c r="DO99" i="52" a="1"/>
  <c r="DO100" i="52" a="1"/>
  <c r="DO101" i="52" a="1"/>
  <c r="DO102" i="52" a="1"/>
  <c r="DO99" i="52"/>
  <c r="DO100" i="52"/>
  <c r="DO101" i="52"/>
  <c r="DO102" i="52"/>
  <c r="DO103" i="52"/>
  <c r="BY108" i="52"/>
  <c r="BX94" i="52"/>
  <c r="BX97" i="52" a="1"/>
  <c r="BX97" i="52"/>
  <c r="BX98" i="52" a="1"/>
  <c r="BX98" i="52"/>
  <c r="BX99" i="52" a="1"/>
  <c r="BX100" i="52" a="1"/>
  <c r="BX101" i="52" a="1"/>
  <c r="BX102" i="52" a="1"/>
  <c r="BX99" i="52"/>
  <c r="BX100" i="52"/>
  <c r="BX101" i="52"/>
  <c r="BX102" i="52"/>
  <c r="BX103" i="52"/>
  <c r="CL94" i="52"/>
  <c r="CL97" i="52" a="1"/>
  <c r="CL97" i="52"/>
  <c r="CL98" i="52" a="1"/>
  <c r="CL98" i="52"/>
  <c r="CL99" i="52" a="1"/>
  <c r="CL100" i="52" a="1"/>
  <c r="CL101" i="52" a="1"/>
  <c r="CL102" i="52" a="1"/>
  <c r="CL99" i="52"/>
  <c r="CL100" i="52"/>
  <c r="CL101" i="52"/>
  <c r="CL102" i="52"/>
  <c r="CL103" i="52"/>
  <c r="CZ94" i="52"/>
  <c r="CZ97" i="52" a="1"/>
  <c r="CZ97" i="52"/>
  <c r="CZ98" i="52" a="1"/>
  <c r="CZ98" i="52"/>
  <c r="CZ99" i="52" a="1"/>
  <c r="CZ100" i="52" a="1"/>
  <c r="CZ101" i="52" a="1"/>
  <c r="CZ102" i="52" a="1"/>
  <c r="CZ99" i="52"/>
  <c r="CZ100" i="52"/>
  <c r="CZ101" i="52"/>
  <c r="CZ102" i="52"/>
  <c r="CZ103" i="52"/>
  <c r="DN94" i="52"/>
  <c r="DN97" i="52" a="1"/>
  <c r="DN97" i="52"/>
  <c r="DN98" i="52" a="1"/>
  <c r="DN98" i="52"/>
  <c r="DN99" i="52" a="1"/>
  <c r="DN100" i="52" a="1"/>
  <c r="DN101" i="52" a="1"/>
  <c r="DN102" i="52" a="1"/>
  <c r="DN99" i="52"/>
  <c r="DN100" i="52"/>
  <c r="DN101" i="52"/>
  <c r="DN102" i="52"/>
  <c r="DN103" i="52"/>
  <c r="BX108" i="52"/>
  <c r="BW94" i="52"/>
  <c r="BW97" i="52" a="1"/>
  <c r="BW97" i="52"/>
  <c r="BW98" i="52" a="1"/>
  <c r="BW98" i="52"/>
  <c r="BW99" i="52" a="1"/>
  <c r="BW100" i="52" a="1"/>
  <c r="BW101" i="52" a="1"/>
  <c r="BW102" i="52" a="1"/>
  <c r="BW99" i="52"/>
  <c r="BW100" i="52"/>
  <c r="BW101" i="52"/>
  <c r="BW102" i="52"/>
  <c r="BW103" i="52"/>
  <c r="CK94" i="52"/>
  <c r="CK97" i="52" a="1"/>
  <c r="CK97" i="52"/>
  <c r="CK98" i="52" a="1"/>
  <c r="CK98" i="52"/>
  <c r="CK99" i="52" a="1"/>
  <c r="CK100" i="52" a="1"/>
  <c r="CK101" i="52" a="1"/>
  <c r="CK102" i="52" a="1"/>
  <c r="CK99" i="52"/>
  <c r="CK100" i="52"/>
  <c r="CK101" i="52"/>
  <c r="CK102" i="52"/>
  <c r="CK103" i="52"/>
  <c r="CY94" i="52"/>
  <c r="CY97" i="52" a="1"/>
  <c r="CY97" i="52"/>
  <c r="CY98" i="52" a="1"/>
  <c r="CY98" i="52"/>
  <c r="CY99" i="52" a="1"/>
  <c r="CY100" i="52" a="1"/>
  <c r="CY101" i="52" a="1"/>
  <c r="CY102" i="52" a="1"/>
  <c r="CY99" i="52"/>
  <c r="CY100" i="52"/>
  <c r="CY101" i="52"/>
  <c r="CY102" i="52"/>
  <c r="CY103" i="52"/>
  <c r="DM94" i="52"/>
  <c r="DM97" i="52" a="1"/>
  <c r="DM97" i="52"/>
  <c r="DM98" i="52" a="1"/>
  <c r="DM98" i="52"/>
  <c r="DM99" i="52" a="1"/>
  <c r="DM100" i="52" a="1"/>
  <c r="DM101" i="52" a="1"/>
  <c r="DM102" i="52" a="1"/>
  <c r="DM99" i="52"/>
  <c r="DM100" i="52"/>
  <c r="DM101" i="52"/>
  <c r="DM102" i="52"/>
  <c r="DM103" i="52"/>
  <c r="BW108" i="52"/>
  <c r="BV94" i="52"/>
  <c r="BV97" i="52" a="1"/>
  <c r="BV97" i="52"/>
  <c r="BV98" i="52" a="1"/>
  <c r="BV98" i="52"/>
  <c r="BV99" i="52" a="1"/>
  <c r="BV100" i="52" a="1"/>
  <c r="BV101" i="52" a="1"/>
  <c r="BV102" i="52" a="1"/>
  <c r="BV99" i="52"/>
  <c r="BV100" i="52"/>
  <c r="BV101" i="52"/>
  <c r="BV102" i="52"/>
  <c r="BV103" i="52"/>
  <c r="CJ94" i="52"/>
  <c r="CJ97" i="52" a="1"/>
  <c r="CJ97" i="52"/>
  <c r="CJ98" i="52" a="1"/>
  <c r="CJ98" i="52"/>
  <c r="CJ99" i="52" a="1"/>
  <c r="CJ100" i="52" a="1"/>
  <c r="CJ101" i="52" a="1"/>
  <c r="CJ102" i="52" a="1"/>
  <c r="CJ99" i="52"/>
  <c r="CJ100" i="52"/>
  <c r="CJ101" i="52"/>
  <c r="CJ102" i="52"/>
  <c r="CJ103" i="52"/>
  <c r="CX94" i="52"/>
  <c r="CX97" i="52" a="1"/>
  <c r="CX97" i="52"/>
  <c r="CX98" i="52" a="1"/>
  <c r="CX98" i="52"/>
  <c r="CX99" i="52" a="1"/>
  <c r="CX100" i="52" a="1"/>
  <c r="CX101" i="52" a="1"/>
  <c r="CX102" i="52" a="1"/>
  <c r="CX99" i="52"/>
  <c r="CX100" i="52"/>
  <c r="CX101" i="52"/>
  <c r="CX102" i="52"/>
  <c r="CX103" i="52"/>
  <c r="DL94" i="52"/>
  <c r="DL97" i="52" a="1"/>
  <c r="DL97" i="52"/>
  <c r="DL98" i="52" a="1"/>
  <c r="DL98" i="52"/>
  <c r="DL99" i="52" a="1"/>
  <c r="DL100" i="52" a="1"/>
  <c r="DL101" i="52" a="1"/>
  <c r="DL102" i="52" a="1"/>
  <c r="DL99" i="52"/>
  <c r="DL100" i="52"/>
  <c r="DL101" i="52"/>
  <c r="DL102" i="52"/>
  <c r="DL103" i="52"/>
  <c r="BV108" i="52"/>
  <c r="BU94" i="52"/>
  <c r="BU97" i="52" a="1"/>
  <c r="BU97" i="52"/>
  <c r="BU98" i="52" a="1"/>
  <c r="BU98" i="52"/>
  <c r="BU99" i="52" a="1"/>
  <c r="BU100" i="52" a="1"/>
  <c r="BU101" i="52" a="1"/>
  <c r="BU102" i="52" a="1"/>
  <c r="BU99" i="52"/>
  <c r="BU100" i="52"/>
  <c r="BU101" i="52"/>
  <c r="BU102" i="52"/>
  <c r="BU103" i="52"/>
  <c r="CI94" i="52"/>
  <c r="CI97" i="52" a="1"/>
  <c r="CI97" i="52"/>
  <c r="CI98" i="52" a="1"/>
  <c r="CI98" i="52"/>
  <c r="CI99" i="52" a="1"/>
  <c r="CI100" i="52" a="1"/>
  <c r="CI101" i="52" a="1"/>
  <c r="CI102" i="52" a="1"/>
  <c r="CI99" i="52"/>
  <c r="CI100" i="52"/>
  <c r="CI101" i="52"/>
  <c r="CI102" i="52"/>
  <c r="CI103" i="52"/>
  <c r="CW94" i="52"/>
  <c r="CW97" i="52" a="1"/>
  <c r="CW97" i="52"/>
  <c r="CW98" i="52" a="1"/>
  <c r="CW98" i="52"/>
  <c r="CW99" i="52" a="1"/>
  <c r="CW100" i="52" a="1"/>
  <c r="CW101" i="52" a="1"/>
  <c r="CW102" i="52" a="1"/>
  <c r="CW99" i="52"/>
  <c r="CW100" i="52"/>
  <c r="CW101" i="52"/>
  <c r="CW102" i="52"/>
  <c r="CW103" i="52"/>
  <c r="DK94" i="52"/>
  <c r="DK97" i="52" a="1"/>
  <c r="DK97" i="52"/>
  <c r="DK98" i="52" a="1"/>
  <c r="DK98" i="52"/>
  <c r="DK99" i="52" a="1"/>
  <c r="DK100" i="52" a="1"/>
  <c r="DK101" i="52" a="1"/>
  <c r="DK102" i="52" a="1"/>
  <c r="DK99" i="52"/>
  <c r="DK100" i="52"/>
  <c r="DK101" i="52"/>
  <c r="DK102" i="52"/>
  <c r="DK103" i="52"/>
  <c r="BU108" i="52"/>
  <c r="BT94" i="52"/>
  <c r="BT97" i="52" a="1"/>
  <c r="BT97" i="52"/>
  <c r="BT98" i="52" a="1"/>
  <c r="BT98" i="52"/>
  <c r="BT99" i="52" a="1"/>
  <c r="BT100" i="52" a="1"/>
  <c r="BT101" i="52" a="1"/>
  <c r="BT102" i="52" a="1"/>
  <c r="BT99" i="52"/>
  <c r="BT100" i="52"/>
  <c r="BT101" i="52"/>
  <c r="BT102" i="52"/>
  <c r="BT103" i="52"/>
  <c r="CH94" i="52"/>
  <c r="CH97" i="52" a="1"/>
  <c r="CH97" i="52"/>
  <c r="CH98" i="52" a="1"/>
  <c r="CH98" i="52"/>
  <c r="CH99" i="52" a="1"/>
  <c r="CH100" i="52" a="1"/>
  <c r="CH101" i="52" a="1"/>
  <c r="CH102" i="52" a="1"/>
  <c r="CH99" i="52"/>
  <c r="CH100" i="52"/>
  <c r="CH101" i="52"/>
  <c r="CH102" i="52"/>
  <c r="CH103" i="52"/>
  <c r="CV94" i="52"/>
  <c r="CV97" i="52" a="1"/>
  <c r="CV97" i="52"/>
  <c r="CV98" i="52" a="1"/>
  <c r="CV98" i="52"/>
  <c r="CV99" i="52" a="1"/>
  <c r="CV100" i="52" a="1"/>
  <c r="CV101" i="52" a="1"/>
  <c r="CV102" i="52" a="1"/>
  <c r="CV99" i="52"/>
  <c r="CV100" i="52"/>
  <c r="CV101" i="52"/>
  <c r="CV102" i="52"/>
  <c r="CV103" i="52"/>
  <c r="DJ94" i="52"/>
  <c r="DJ97" i="52" a="1"/>
  <c r="DJ97" i="52"/>
  <c r="DJ98" i="52" a="1"/>
  <c r="DJ98" i="52"/>
  <c r="DJ99" i="52" a="1"/>
  <c r="DJ100" i="52" a="1"/>
  <c r="DJ101" i="52" a="1"/>
  <c r="DJ102" i="52" a="1"/>
  <c r="DJ99" i="52"/>
  <c r="DJ100" i="52"/>
  <c r="DJ101" i="52"/>
  <c r="DJ102" i="52"/>
  <c r="DJ103" i="52"/>
  <c r="BT108" i="52"/>
  <c r="BS94" i="52"/>
  <c r="BS97" i="52" a="1"/>
  <c r="BS97" i="52"/>
  <c r="BS98" i="52" a="1"/>
  <c r="BS98" i="52"/>
  <c r="BS99" i="52" a="1"/>
  <c r="BS100" i="52" a="1"/>
  <c r="BS101" i="52" a="1"/>
  <c r="BS102" i="52" a="1"/>
  <c r="BS99" i="52"/>
  <c r="BS100" i="52"/>
  <c r="BS101" i="52"/>
  <c r="BS102" i="52"/>
  <c r="BS103" i="52"/>
  <c r="CG94" i="52"/>
  <c r="CG97" i="52" a="1"/>
  <c r="CG97" i="52"/>
  <c r="CG98" i="52" a="1"/>
  <c r="CG98" i="52"/>
  <c r="CG99" i="52" a="1"/>
  <c r="CG100" i="52" a="1"/>
  <c r="CG101" i="52" a="1"/>
  <c r="CG102" i="52" a="1"/>
  <c r="CG99" i="52"/>
  <c r="CG100" i="52"/>
  <c r="CG101" i="52"/>
  <c r="CG102" i="52"/>
  <c r="CG103" i="52"/>
  <c r="CU94" i="52"/>
  <c r="CU97" i="52" a="1"/>
  <c r="CU97" i="52"/>
  <c r="CU98" i="52" a="1"/>
  <c r="CU98" i="52"/>
  <c r="CU99" i="52" a="1"/>
  <c r="CU100" i="52" a="1"/>
  <c r="CU101" i="52" a="1"/>
  <c r="CU102" i="52" a="1"/>
  <c r="CU99" i="52"/>
  <c r="CU100" i="52"/>
  <c r="CU101" i="52"/>
  <c r="CU102" i="52"/>
  <c r="CU103" i="52"/>
  <c r="DI94" i="52"/>
  <c r="DI97" i="52" a="1"/>
  <c r="DI97" i="52"/>
  <c r="DI98" i="52" a="1"/>
  <c r="DI98" i="52"/>
  <c r="DI99" i="52" a="1"/>
  <c r="DI100" i="52" a="1"/>
  <c r="DI101" i="52" a="1"/>
  <c r="DI102" i="52" a="1"/>
  <c r="DI99" i="52"/>
  <c r="DI100" i="52"/>
  <c r="DI101" i="52"/>
  <c r="DI102" i="52"/>
  <c r="DI103" i="52"/>
  <c r="BS108" i="52"/>
  <c r="BR94" i="52"/>
  <c r="BR97" i="52" a="1"/>
  <c r="BR97" i="52"/>
  <c r="BR98" i="52" a="1"/>
  <c r="BR98" i="52"/>
  <c r="BR99" i="52" a="1"/>
  <c r="BR100" i="52" a="1"/>
  <c r="BR101" i="52" a="1"/>
  <c r="BR102" i="52" a="1"/>
  <c r="BR99" i="52"/>
  <c r="BR100" i="52"/>
  <c r="BR101" i="52"/>
  <c r="BR102" i="52"/>
  <c r="BR103" i="52"/>
  <c r="CF94" i="52"/>
  <c r="CF97" i="52" a="1"/>
  <c r="CF97" i="52"/>
  <c r="CF98" i="52" a="1"/>
  <c r="CF98" i="52"/>
  <c r="CF99" i="52" a="1"/>
  <c r="CF100" i="52" a="1"/>
  <c r="CF101" i="52" a="1"/>
  <c r="CF102" i="52" a="1"/>
  <c r="CF99" i="52"/>
  <c r="CF100" i="52"/>
  <c r="CF101" i="52"/>
  <c r="CF102" i="52"/>
  <c r="CF103" i="52"/>
  <c r="CT94" i="52"/>
  <c r="CT97" i="52" a="1"/>
  <c r="CT97" i="52"/>
  <c r="CT98" i="52" a="1"/>
  <c r="CT98" i="52"/>
  <c r="CT99" i="52" a="1"/>
  <c r="CT100" i="52" a="1"/>
  <c r="CT101" i="52" a="1"/>
  <c r="CT102" i="52" a="1"/>
  <c r="CT99" i="52"/>
  <c r="CT100" i="52"/>
  <c r="CT101" i="52"/>
  <c r="CT102" i="52"/>
  <c r="CT103" i="52"/>
  <c r="DH94" i="52"/>
  <c r="DH97" i="52" a="1"/>
  <c r="DH97" i="52"/>
  <c r="DH98" i="52" a="1"/>
  <c r="DH98" i="52"/>
  <c r="DH99" i="52" a="1"/>
  <c r="DH100" i="52" a="1"/>
  <c r="DH101" i="52" a="1"/>
  <c r="DH102" i="52" a="1"/>
  <c r="DH99" i="52"/>
  <c r="DH100" i="52"/>
  <c r="DH101" i="52"/>
  <c r="DH102" i="52"/>
  <c r="DH103" i="52"/>
  <c r="BR108" i="52"/>
  <c r="BQ94" i="52"/>
  <c r="BQ97" i="52" a="1"/>
  <c r="BQ97" i="52"/>
  <c r="BQ98" i="52" a="1"/>
  <c r="BQ98" i="52"/>
  <c r="BQ99" i="52" a="1"/>
  <c r="BQ100" i="52" a="1"/>
  <c r="BQ101" i="52" a="1"/>
  <c r="BQ102" i="52" a="1"/>
  <c r="BQ99" i="52"/>
  <c r="BQ100" i="52"/>
  <c r="BQ101" i="52"/>
  <c r="BQ102" i="52"/>
  <c r="BQ103" i="52"/>
  <c r="CE94" i="52"/>
  <c r="CE97" i="52" a="1"/>
  <c r="CE97" i="52"/>
  <c r="CE98" i="52" a="1"/>
  <c r="CE98" i="52"/>
  <c r="CE99" i="52" a="1"/>
  <c r="CE100" i="52" a="1"/>
  <c r="CE101" i="52" a="1"/>
  <c r="CE102" i="52" a="1"/>
  <c r="CE99" i="52"/>
  <c r="CE100" i="52"/>
  <c r="CE101" i="52"/>
  <c r="CE102" i="52"/>
  <c r="CE103" i="52"/>
  <c r="CS94" i="52"/>
  <c r="CS97" i="52" a="1"/>
  <c r="CS97" i="52"/>
  <c r="CS98" i="52" a="1"/>
  <c r="CS98" i="52"/>
  <c r="CS99" i="52" a="1"/>
  <c r="CS100" i="52" a="1"/>
  <c r="CS101" i="52" a="1"/>
  <c r="CS102" i="52" a="1"/>
  <c r="CS99" i="52"/>
  <c r="CS100" i="52"/>
  <c r="CS101" i="52"/>
  <c r="CS102" i="52"/>
  <c r="CS103" i="52"/>
  <c r="DG94" i="52"/>
  <c r="DG97" i="52" a="1"/>
  <c r="DG97" i="52"/>
  <c r="DG98" i="52" a="1"/>
  <c r="DG98" i="52"/>
  <c r="DG99" i="52" a="1"/>
  <c r="DG100" i="52" a="1"/>
  <c r="DG101" i="52" a="1"/>
  <c r="DG102" i="52" a="1"/>
  <c r="DG99" i="52"/>
  <c r="DG100" i="52"/>
  <c r="DG101" i="52"/>
  <c r="DG102" i="52"/>
  <c r="DG103" i="52"/>
  <c r="BQ108" i="52"/>
  <c r="BP94" i="52"/>
  <c r="BP97" i="52" a="1"/>
  <c r="BP97" i="52"/>
  <c r="BP98" i="52" a="1"/>
  <c r="BP98" i="52"/>
  <c r="BP99" i="52" a="1"/>
  <c r="BP100" i="52" a="1"/>
  <c r="BP101" i="52" a="1"/>
  <c r="BP102" i="52" a="1"/>
  <c r="BP99" i="52"/>
  <c r="BP100" i="52"/>
  <c r="BP101" i="52"/>
  <c r="BP102" i="52"/>
  <c r="BP103" i="52"/>
  <c r="CD94" i="52"/>
  <c r="CD97" i="52" a="1"/>
  <c r="CD97" i="52"/>
  <c r="CD98" i="52" a="1"/>
  <c r="CD98" i="52"/>
  <c r="CD99" i="52" a="1"/>
  <c r="CD100" i="52" a="1"/>
  <c r="CD101" i="52" a="1"/>
  <c r="CD102" i="52" a="1"/>
  <c r="CD99" i="52"/>
  <c r="CD100" i="52"/>
  <c r="CD101" i="52"/>
  <c r="CD102" i="52"/>
  <c r="CD103" i="52"/>
  <c r="CR94" i="52"/>
  <c r="CR97" i="52" a="1"/>
  <c r="CR97" i="52"/>
  <c r="CR98" i="52" a="1"/>
  <c r="CR98" i="52"/>
  <c r="CR99" i="52" a="1"/>
  <c r="CR100" i="52" a="1"/>
  <c r="CR101" i="52" a="1"/>
  <c r="CR102" i="52" a="1"/>
  <c r="CR99" i="52"/>
  <c r="CR100" i="52"/>
  <c r="CR101" i="52"/>
  <c r="CR102" i="52"/>
  <c r="CR103" i="52"/>
  <c r="DF94" i="52"/>
  <c r="DF97" i="52" a="1"/>
  <c r="DF97" i="52"/>
  <c r="DF98" i="52" a="1"/>
  <c r="DF98" i="52"/>
  <c r="DF99" i="52" a="1"/>
  <c r="DF100" i="52" a="1"/>
  <c r="DF101" i="52" a="1"/>
  <c r="DF102" i="52" a="1"/>
  <c r="DF99" i="52"/>
  <c r="DF100" i="52"/>
  <c r="DF101" i="52"/>
  <c r="DF102" i="52"/>
  <c r="DF103" i="52"/>
  <c r="BP108" i="52"/>
  <c r="BO94" i="52"/>
  <c r="BO97" i="52" a="1"/>
  <c r="BO97" i="52"/>
  <c r="BO98" i="52" a="1"/>
  <c r="BO98" i="52"/>
  <c r="BO99" i="52" a="1"/>
  <c r="BO100" i="52" a="1"/>
  <c r="BO101" i="52" a="1"/>
  <c r="BO102" i="52" a="1"/>
  <c r="BO99" i="52"/>
  <c r="BO100" i="52"/>
  <c r="BO101" i="52"/>
  <c r="BO102" i="52"/>
  <c r="BO103" i="52"/>
  <c r="CC94" i="52"/>
  <c r="CC97" i="52" a="1"/>
  <c r="CC97" i="52"/>
  <c r="CC98" i="52" a="1"/>
  <c r="CC98" i="52"/>
  <c r="CC99" i="52" a="1"/>
  <c r="CC100" i="52" a="1"/>
  <c r="CC101" i="52" a="1"/>
  <c r="CC102" i="52" a="1"/>
  <c r="CC99" i="52"/>
  <c r="CC100" i="52"/>
  <c r="CC101" i="52"/>
  <c r="CC102" i="52"/>
  <c r="CC103" i="52"/>
  <c r="CQ94" i="52"/>
  <c r="CQ97" i="52" a="1"/>
  <c r="CQ97" i="52"/>
  <c r="CQ98" i="52" a="1"/>
  <c r="CQ98" i="52"/>
  <c r="CQ99" i="52" a="1"/>
  <c r="CQ100" i="52" a="1"/>
  <c r="CQ101" i="52" a="1"/>
  <c r="CQ102" i="52" a="1"/>
  <c r="CQ99" i="52"/>
  <c r="CQ100" i="52"/>
  <c r="CQ101" i="52"/>
  <c r="CQ102" i="52"/>
  <c r="CQ103" i="52"/>
  <c r="DE94" i="52"/>
  <c r="DE97" i="52" a="1"/>
  <c r="DE97" i="52"/>
  <c r="DE98" i="52" a="1"/>
  <c r="DE98" i="52"/>
  <c r="DE99" i="52" a="1"/>
  <c r="DE100" i="52" a="1"/>
  <c r="DE101" i="52" a="1"/>
  <c r="DE102" i="52" a="1"/>
  <c r="DE99" i="52"/>
  <c r="DE100" i="52"/>
  <c r="DE101" i="52"/>
  <c r="DE102" i="52"/>
  <c r="DE103" i="52"/>
  <c r="BO108" i="52"/>
  <c r="BN94" i="52"/>
  <c r="BN97" i="52" a="1"/>
  <c r="BN97" i="52"/>
  <c r="BN98" i="52" a="1"/>
  <c r="BN98" i="52"/>
  <c r="BN99" i="52" a="1"/>
  <c r="BN100" i="52" a="1"/>
  <c r="BN101" i="52" a="1"/>
  <c r="BN102" i="52" a="1"/>
  <c r="BN99" i="52"/>
  <c r="BN100" i="52"/>
  <c r="BN101" i="52"/>
  <c r="BN102" i="52"/>
  <c r="BN103" i="52"/>
  <c r="CB94" i="52"/>
  <c r="CB97" i="52" a="1"/>
  <c r="CB97" i="52"/>
  <c r="CB98" i="52" a="1"/>
  <c r="CB98" i="52"/>
  <c r="CB99" i="52" a="1"/>
  <c r="CB100" i="52" a="1"/>
  <c r="CB101" i="52" a="1"/>
  <c r="CB102" i="52" a="1"/>
  <c r="CB99" i="52"/>
  <c r="CB100" i="52"/>
  <c r="CB101" i="52"/>
  <c r="CB102" i="52"/>
  <c r="CB103" i="52"/>
  <c r="CP94" i="52"/>
  <c r="CP97" i="52" a="1"/>
  <c r="CP97" i="52"/>
  <c r="CP98" i="52" a="1"/>
  <c r="CP98" i="52"/>
  <c r="CP99" i="52" a="1"/>
  <c r="CP100" i="52" a="1"/>
  <c r="CP101" i="52" a="1"/>
  <c r="CP102" i="52" a="1"/>
  <c r="CP99" i="52"/>
  <c r="CP100" i="52"/>
  <c r="CP101" i="52"/>
  <c r="CP102" i="52"/>
  <c r="CP103" i="52"/>
  <c r="DD94" i="52"/>
  <c r="DD97" i="52" a="1"/>
  <c r="DD97" i="52"/>
  <c r="DD98" i="52" a="1"/>
  <c r="DD98" i="52"/>
  <c r="DD99" i="52" a="1"/>
  <c r="DD100" i="52" a="1"/>
  <c r="DD101" i="52" a="1"/>
  <c r="DD102" i="52" a="1"/>
  <c r="DD99" i="52"/>
  <c r="DD100" i="52"/>
  <c r="DD101" i="52"/>
  <c r="DD102" i="52"/>
  <c r="DD103" i="52"/>
  <c r="BN108" i="52"/>
  <c r="BM94" i="52"/>
  <c r="BM97" i="52" a="1"/>
  <c r="BM97" i="52"/>
  <c r="BM98" i="52" a="1"/>
  <c r="BM98" i="52"/>
  <c r="BM99" i="52" a="1"/>
  <c r="BM100" i="52" a="1"/>
  <c r="BM101" i="52" a="1"/>
  <c r="BM102" i="52" a="1"/>
  <c r="BM99" i="52"/>
  <c r="BM100" i="52"/>
  <c r="BM101" i="52"/>
  <c r="BM102" i="52"/>
  <c r="BM103" i="52"/>
  <c r="CA94" i="52"/>
  <c r="CA97" i="52" a="1"/>
  <c r="CA97" i="52"/>
  <c r="CA98" i="52" a="1"/>
  <c r="CA98" i="52"/>
  <c r="CA99" i="52" a="1"/>
  <c r="CA100" i="52" a="1"/>
  <c r="CA101" i="52" a="1"/>
  <c r="CA102" i="52" a="1"/>
  <c r="CA99" i="52"/>
  <c r="CA100" i="52"/>
  <c r="CA101" i="52"/>
  <c r="CA102" i="52"/>
  <c r="CA103" i="52"/>
  <c r="CO94" i="52"/>
  <c r="CO97" i="52" a="1"/>
  <c r="CO97" i="52"/>
  <c r="CO98" i="52" a="1"/>
  <c r="CO98" i="52"/>
  <c r="CO99" i="52" a="1"/>
  <c r="CO100" i="52" a="1"/>
  <c r="CO101" i="52" a="1"/>
  <c r="CO102" i="52" a="1"/>
  <c r="CO99" i="52"/>
  <c r="CO100" i="52"/>
  <c r="CO101" i="52"/>
  <c r="CO102" i="52"/>
  <c r="CO103" i="52"/>
  <c r="DC94" i="52"/>
  <c r="DC97" i="52" a="1"/>
  <c r="DC97" i="52"/>
  <c r="DC98" i="52" a="1"/>
  <c r="DC98" i="52"/>
  <c r="DC99" i="52" a="1"/>
  <c r="DC100" i="52" a="1"/>
  <c r="DC101" i="52" a="1"/>
  <c r="DC102" i="52" a="1"/>
  <c r="DC99" i="52"/>
  <c r="DC100" i="52"/>
  <c r="DC101" i="52"/>
  <c r="DC102" i="52"/>
  <c r="DC103" i="52"/>
  <c r="BM108" i="52"/>
  <c r="BZ107" i="52"/>
  <c r="BY107" i="52"/>
  <c r="BX107" i="52"/>
  <c r="BW107" i="52"/>
  <c r="BV107" i="52"/>
  <c r="BU107" i="52"/>
  <c r="BT107" i="52"/>
  <c r="BS107" i="52"/>
  <c r="BR107" i="52"/>
  <c r="BQ107" i="52"/>
  <c r="BP107" i="52"/>
  <c r="BO107" i="52"/>
  <c r="BN107" i="52"/>
  <c r="BM107" i="52"/>
  <c r="BZ106" i="52"/>
  <c r="BY106" i="52"/>
  <c r="BX106" i="52"/>
  <c r="BW106" i="52"/>
  <c r="BV106" i="52"/>
  <c r="BU106" i="52"/>
  <c r="BT106" i="52"/>
  <c r="BS106" i="52"/>
  <c r="BR106" i="52"/>
  <c r="BQ106" i="52"/>
  <c r="BP106" i="52"/>
  <c r="BO106" i="52"/>
  <c r="BN106" i="52"/>
  <c r="BM106" i="52"/>
  <c r="AT105" i="52"/>
  <c r="AS105" i="52"/>
  <c r="ED97" i="52"/>
  <c r="ED98" i="52"/>
  <c r="ED99" i="52"/>
  <c r="ED100" i="52"/>
  <c r="ED101" i="52"/>
  <c r="ED102" i="52"/>
  <c r="ED103" i="52"/>
  <c r="DF104" i="52"/>
  <c r="DX97" i="52"/>
  <c r="DX98" i="52"/>
  <c r="DX99" i="52"/>
  <c r="DX100" i="52"/>
  <c r="DX101" i="52"/>
  <c r="DX102" i="52"/>
  <c r="DX103" i="52"/>
  <c r="DA104" i="52"/>
  <c r="DW97" i="52"/>
  <c r="DW98" i="52"/>
  <c r="DW99" i="52"/>
  <c r="DW100" i="52"/>
  <c r="DW101" i="52"/>
  <c r="DW102" i="52"/>
  <c r="DW103" i="52"/>
  <c r="CZ104" i="52"/>
  <c r="DV97" i="52"/>
  <c r="DV98" i="52"/>
  <c r="DV99" i="52"/>
  <c r="DV100" i="52"/>
  <c r="DV101" i="52"/>
  <c r="DV102" i="52"/>
  <c r="DV103" i="52"/>
  <c r="CY104" i="52"/>
  <c r="DQ97" i="52"/>
  <c r="DQ98" i="52"/>
  <c r="DQ99" i="52"/>
  <c r="DQ100" i="52"/>
  <c r="DQ101" i="52"/>
  <c r="DQ102" i="52"/>
  <c r="DQ103" i="52"/>
  <c r="CX104" i="52"/>
  <c r="AT104" i="52"/>
  <c r="AS104" i="52"/>
  <c r="EA97" i="52"/>
  <c r="EA98" i="52"/>
  <c r="EA99" i="52"/>
  <c r="EA100" i="52"/>
  <c r="EA101" i="52"/>
  <c r="EA102" i="52"/>
  <c r="EA103" i="52"/>
  <c r="DZ97" i="52"/>
  <c r="DZ98" i="52"/>
  <c r="DZ99" i="52"/>
  <c r="DZ100" i="52"/>
  <c r="DZ101" i="52"/>
  <c r="DZ102" i="52"/>
  <c r="DZ103" i="52"/>
  <c r="DY97" i="52"/>
  <c r="DY98" i="52"/>
  <c r="DY99" i="52"/>
  <c r="DY100" i="52"/>
  <c r="DY101" i="52"/>
  <c r="DY102" i="52"/>
  <c r="DY103" i="52"/>
  <c r="DU97" i="52"/>
  <c r="DU98" i="52"/>
  <c r="DU99" i="52"/>
  <c r="DU100" i="52"/>
  <c r="DU101" i="52"/>
  <c r="DU102" i="52"/>
  <c r="DU103" i="52"/>
  <c r="DT97" i="52"/>
  <c r="DT98" i="52"/>
  <c r="DT99" i="52"/>
  <c r="DT100" i="52"/>
  <c r="DT101" i="52"/>
  <c r="DT102" i="52"/>
  <c r="DT103" i="52"/>
  <c r="DS97" i="52"/>
  <c r="DS98" i="52"/>
  <c r="DS99" i="52"/>
  <c r="DS100" i="52"/>
  <c r="DS101" i="52"/>
  <c r="DS102" i="52"/>
  <c r="DS103" i="52"/>
  <c r="DR97" i="52"/>
  <c r="DR98" i="52"/>
  <c r="DR99" i="52"/>
  <c r="DR100" i="52"/>
  <c r="DR101" i="52"/>
  <c r="DR102" i="52"/>
  <c r="DR103" i="52"/>
  <c r="BK94" i="52"/>
  <c r="AU29" i="52"/>
  <c r="AU97" i="52"/>
  <c r="BK97" i="52" a="1"/>
  <c r="BK97" i="52"/>
  <c r="AU98" i="52"/>
  <c r="BK98" i="52" a="1"/>
  <c r="BK98" i="52"/>
  <c r="AU99" i="52"/>
  <c r="BK99" i="52" a="1"/>
  <c r="AU100" i="52"/>
  <c r="BK100" i="52" a="1"/>
  <c r="AU101" i="52"/>
  <c r="BK101" i="52" a="1"/>
  <c r="AU102" i="52"/>
  <c r="BK102" i="52" a="1"/>
  <c r="BK99" i="52"/>
  <c r="BK100" i="52"/>
  <c r="BK101" i="52"/>
  <c r="BK102" i="52"/>
  <c r="BK103" i="52"/>
  <c r="BJ94" i="52"/>
  <c r="BJ97" i="52" a="1"/>
  <c r="BJ97" i="52"/>
  <c r="BJ98" i="52" a="1"/>
  <c r="BJ98" i="52"/>
  <c r="BJ99" i="52" a="1"/>
  <c r="BJ100" i="52" a="1"/>
  <c r="BJ101" i="52" a="1"/>
  <c r="BJ102" i="52" a="1"/>
  <c r="BJ99" i="52"/>
  <c r="BJ100" i="52"/>
  <c r="BJ101" i="52"/>
  <c r="BJ102" i="52"/>
  <c r="BJ103" i="52"/>
  <c r="BI94" i="52"/>
  <c r="BI97" i="52" a="1"/>
  <c r="BI97" i="52"/>
  <c r="BI98" i="52" a="1"/>
  <c r="BI98" i="52"/>
  <c r="BI99" i="52" a="1"/>
  <c r="BI100" i="52" a="1"/>
  <c r="BI101" i="52" a="1"/>
  <c r="BI102" i="52" a="1"/>
  <c r="BI99" i="52"/>
  <c r="BI100" i="52"/>
  <c r="BI101" i="52"/>
  <c r="BI102" i="52"/>
  <c r="BI103" i="52"/>
  <c r="BH94" i="52"/>
  <c r="BH97" i="52" a="1"/>
  <c r="BH97" i="52"/>
  <c r="BH98" i="52" a="1"/>
  <c r="BH98" i="52"/>
  <c r="BH99" i="52" a="1"/>
  <c r="BH100" i="52" a="1"/>
  <c r="BH101" i="52" a="1"/>
  <c r="BH102" i="52" a="1"/>
  <c r="BH99" i="52"/>
  <c r="BH100" i="52"/>
  <c r="BH101" i="52"/>
  <c r="BH102" i="52"/>
  <c r="BH103" i="52"/>
  <c r="BG94" i="52"/>
  <c r="BG97" i="52" a="1"/>
  <c r="BG97" i="52"/>
  <c r="BG98" i="52" a="1"/>
  <c r="BG98" i="52"/>
  <c r="BG99" i="52" a="1"/>
  <c r="BG100" i="52" a="1"/>
  <c r="BG101" i="52" a="1"/>
  <c r="BG102" i="52" a="1"/>
  <c r="BG99" i="52"/>
  <c r="BG100" i="52"/>
  <c r="BG101" i="52"/>
  <c r="BG102" i="52"/>
  <c r="BG103" i="52"/>
  <c r="BF94" i="52"/>
  <c r="BF97" i="52" a="1"/>
  <c r="BF97" i="52"/>
  <c r="BF98" i="52" a="1"/>
  <c r="BF98" i="52"/>
  <c r="BF99" i="52" a="1"/>
  <c r="BF100" i="52" a="1"/>
  <c r="BF101" i="52" a="1"/>
  <c r="BF102" i="52" a="1"/>
  <c r="BF99" i="52"/>
  <c r="BF100" i="52"/>
  <c r="BF101" i="52"/>
  <c r="BF102" i="52"/>
  <c r="BF103" i="52"/>
  <c r="BE94" i="52"/>
  <c r="BE97" i="52" a="1"/>
  <c r="BE97" i="52"/>
  <c r="BE98" i="52" a="1"/>
  <c r="BE98" i="52"/>
  <c r="BE99" i="52" a="1"/>
  <c r="BE100" i="52" a="1"/>
  <c r="BE101" i="52" a="1"/>
  <c r="BE102" i="52" a="1"/>
  <c r="BE99" i="52"/>
  <c r="BE100" i="52"/>
  <c r="BE101" i="52"/>
  <c r="BE102" i="52"/>
  <c r="BE103" i="52"/>
  <c r="BD94" i="52"/>
  <c r="BD97" i="52" a="1"/>
  <c r="BD97" i="52"/>
  <c r="BD98" i="52" a="1"/>
  <c r="BD98" i="52"/>
  <c r="BD99" i="52" a="1"/>
  <c r="BD100" i="52" a="1"/>
  <c r="BD101" i="52" a="1"/>
  <c r="BD102" i="52" a="1"/>
  <c r="BD99" i="52"/>
  <c r="BD100" i="52"/>
  <c r="BD101" i="52"/>
  <c r="BD102" i="52"/>
  <c r="BD103" i="52"/>
  <c r="BC94" i="52"/>
  <c r="BC97" i="52" a="1"/>
  <c r="BC97" i="52"/>
  <c r="BC98" i="52" a="1"/>
  <c r="BC98" i="52"/>
  <c r="BC99" i="52" a="1"/>
  <c r="BC100" i="52" a="1"/>
  <c r="BC101" i="52" a="1"/>
  <c r="BC102" i="52" a="1"/>
  <c r="BC99" i="52"/>
  <c r="BC100" i="52"/>
  <c r="BC101" i="52"/>
  <c r="BC102" i="52"/>
  <c r="BC103" i="52"/>
  <c r="BB94" i="52"/>
  <c r="BB97" i="52" a="1"/>
  <c r="BB97" i="52"/>
  <c r="BB98" i="52" a="1"/>
  <c r="BB98" i="52"/>
  <c r="BB99" i="52" a="1"/>
  <c r="BB100" i="52" a="1"/>
  <c r="BB101" i="52" a="1"/>
  <c r="BB102" i="52" a="1"/>
  <c r="BB99" i="52"/>
  <c r="BB100" i="52"/>
  <c r="BB101" i="52"/>
  <c r="BB102" i="52"/>
  <c r="BB103" i="52"/>
  <c r="BA94" i="52"/>
  <c r="BA97" i="52" a="1"/>
  <c r="BA97" i="52"/>
  <c r="BA98" i="52" a="1"/>
  <c r="BA98" i="52"/>
  <c r="BA99" i="52" a="1"/>
  <c r="BA100" i="52" a="1"/>
  <c r="BA101" i="52" a="1"/>
  <c r="BA102" i="52" a="1"/>
  <c r="BA99" i="52"/>
  <c r="BA100" i="52"/>
  <c r="BA101" i="52"/>
  <c r="BA102" i="52"/>
  <c r="BA103" i="52"/>
  <c r="AZ94" i="52"/>
  <c r="AZ97" i="52" a="1"/>
  <c r="AZ97" i="52"/>
  <c r="AZ98" i="52" a="1"/>
  <c r="AZ98" i="52"/>
  <c r="AZ99" i="52" a="1"/>
  <c r="AZ100" i="52" a="1"/>
  <c r="AZ101" i="52" a="1"/>
  <c r="AZ102" i="52" a="1"/>
  <c r="AZ99" i="52"/>
  <c r="AZ100" i="52"/>
  <c r="AZ101" i="52"/>
  <c r="AZ102" i="52"/>
  <c r="AZ103" i="52"/>
  <c r="AY94" i="52"/>
  <c r="AY97" i="52" a="1"/>
  <c r="AY97" i="52"/>
  <c r="AY98" i="52" a="1"/>
  <c r="AY98" i="52"/>
  <c r="AY99" i="52" a="1"/>
  <c r="AY100" i="52" a="1"/>
  <c r="AY101" i="52" a="1"/>
  <c r="AY102" i="52" a="1"/>
  <c r="AY99" i="52"/>
  <c r="AY100" i="52"/>
  <c r="AY101" i="52"/>
  <c r="AY102" i="52"/>
  <c r="AY103" i="52"/>
  <c r="AX94" i="52"/>
  <c r="AX97" i="52" a="1"/>
  <c r="AX97" i="52"/>
  <c r="AX98" i="52" a="1"/>
  <c r="AX98" i="52"/>
  <c r="AX99" i="52" a="1"/>
  <c r="AX100" i="52" a="1"/>
  <c r="AX101" i="52" a="1"/>
  <c r="AX102" i="52" a="1"/>
  <c r="AX99" i="52"/>
  <c r="AX100" i="52"/>
  <c r="AX101" i="52"/>
  <c r="AX102" i="52"/>
  <c r="AX103" i="52"/>
  <c r="AT96" i="52"/>
  <c r="AV96" i="52"/>
  <c r="AV97" i="52"/>
  <c r="AV98" i="52"/>
  <c r="AV99" i="52"/>
  <c r="AV100" i="52"/>
  <c r="AV101" i="52"/>
  <c r="AV102" i="52"/>
  <c r="AV103" i="52"/>
  <c r="AU103" i="52"/>
  <c r="AT103" i="52"/>
  <c r="G103" i="52"/>
  <c r="AM102" i="52"/>
  <c r="AW102" i="52"/>
  <c r="AS102" i="52"/>
  <c r="AO102" i="52"/>
  <c r="AD102" i="52"/>
  <c r="AK102" i="52"/>
  <c r="AC102" i="52"/>
  <c r="AJ102" i="52"/>
  <c r="AG102" i="52"/>
  <c r="AP30" i="52"/>
  <c r="F30" i="52"/>
  <c r="AQ30" i="52"/>
  <c r="AR30" i="52"/>
  <c r="AT30" i="52"/>
  <c r="AV29" i="52"/>
  <c r="AV30" i="52"/>
  <c r="G30" i="52"/>
  <c r="AP31" i="52"/>
  <c r="F31" i="52"/>
  <c r="AQ31" i="52"/>
  <c r="AR31" i="52"/>
  <c r="AT31" i="52"/>
  <c r="AV31" i="52"/>
  <c r="G31" i="52"/>
  <c r="AP32" i="52"/>
  <c r="F32" i="52"/>
  <c r="AQ32" i="52"/>
  <c r="AR32" i="52"/>
  <c r="AT32" i="52"/>
  <c r="AV32" i="52"/>
  <c r="G32" i="52"/>
  <c r="AP33" i="52"/>
  <c r="F33" i="52"/>
  <c r="AQ33" i="52"/>
  <c r="AR33" i="52"/>
  <c r="AT33" i="52"/>
  <c r="AV33" i="52"/>
  <c r="G33" i="52"/>
  <c r="AP34" i="52"/>
  <c r="F34" i="52"/>
  <c r="AQ34" i="52"/>
  <c r="AR34" i="52"/>
  <c r="AT34" i="52"/>
  <c r="AV34" i="52"/>
  <c r="G34" i="52"/>
  <c r="AP35" i="52"/>
  <c r="F35" i="52"/>
  <c r="AQ35" i="52"/>
  <c r="AR35" i="52"/>
  <c r="AT35" i="52"/>
  <c r="AV35" i="52"/>
  <c r="G35" i="52"/>
  <c r="AP36" i="52"/>
  <c r="F36" i="52"/>
  <c r="AQ36" i="52"/>
  <c r="AR36" i="52"/>
  <c r="AT36" i="52"/>
  <c r="AV36" i="52"/>
  <c r="G36" i="52"/>
  <c r="AP37" i="52"/>
  <c r="F37" i="52"/>
  <c r="AQ37" i="52"/>
  <c r="AR37" i="52"/>
  <c r="AT37" i="52"/>
  <c r="AV37" i="52"/>
  <c r="G37" i="52"/>
  <c r="AP38" i="52"/>
  <c r="F38" i="52"/>
  <c r="AQ38" i="52"/>
  <c r="AR38" i="52"/>
  <c r="AT38" i="52"/>
  <c r="AV38" i="52"/>
  <c r="G38" i="52"/>
  <c r="AP39" i="52"/>
  <c r="F39" i="52"/>
  <c r="AQ39" i="52"/>
  <c r="AR39" i="52"/>
  <c r="AT39" i="52"/>
  <c r="AV39" i="52"/>
  <c r="G39" i="52"/>
  <c r="AP40" i="52"/>
  <c r="F40" i="52"/>
  <c r="AQ40" i="52"/>
  <c r="AR40" i="52"/>
  <c r="AT40" i="52"/>
  <c r="AV40" i="52"/>
  <c r="G40" i="52"/>
  <c r="AP41" i="52"/>
  <c r="F41" i="52"/>
  <c r="AQ41" i="52"/>
  <c r="AR41" i="52"/>
  <c r="AT41" i="52"/>
  <c r="AV41" i="52"/>
  <c r="G41" i="52"/>
  <c r="AP42" i="52"/>
  <c r="F42" i="52"/>
  <c r="AQ42" i="52"/>
  <c r="D42" i="52"/>
  <c r="AM42" i="52"/>
  <c r="AO42" i="52"/>
  <c r="AR42" i="52"/>
  <c r="AT42" i="52"/>
  <c r="AV42" i="52"/>
  <c r="G42" i="52"/>
  <c r="AP43" i="52"/>
  <c r="F43" i="52"/>
  <c r="AQ43" i="52"/>
  <c r="D43" i="52"/>
  <c r="AM43" i="52"/>
  <c r="AO43" i="52"/>
  <c r="AR43" i="52"/>
  <c r="AT43" i="52"/>
  <c r="AV43" i="52"/>
  <c r="G43" i="52"/>
  <c r="AP44" i="52"/>
  <c r="F44" i="52"/>
  <c r="AQ44" i="52"/>
  <c r="D44" i="52"/>
  <c r="AM44" i="52"/>
  <c r="AO44" i="52"/>
  <c r="AR44" i="52"/>
  <c r="AT44" i="52"/>
  <c r="AV44" i="52"/>
  <c r="G44" i="52"/>
  <c r="AP45" i="52"/>
  <c r="F45" i="52"/>
  <c r="AQ45" i="52"/>
  <c r="D45" i="52"/>
  <c r="AM45" i="52"/>
  <c r="AO45" i="52"/>
  <c r="AR45" i="52"/>
  <c r="AT45" i="52"/>
  <c r="AV45" i="52"/>
  <c r="G45" i="52"/>
  <c r="AP46" i="52"/>
  <c r="F46" i="52"/>
  <c r="AQ46" i="52"/>
  <c r="D46" i="52"/>
  <c r="AM46" i="52"/>
  <c r="AO46" i="52"/>
  <c r="AR46" i="52"/>
  <c r="AT46" i="52"/>
  <c r="AV46" i="52"/>
  <c r="G46" i="52"/>
  <c r="AP47" i="52"/>
  <c r="F47" i="52"/>
  <c r="AQ47" i="52"/>
  <c r="D47" i="52"/>
  <c r="AM47" i="52"/>
  <c r="AO47" i="52"/>
  <c r="AR47" i="52"/>
  <c r="AT47" i="52"/>
  <c r="AV47" i="52"/>
  <c r="G47" i="52"/>
  <c r="AP48" i="52"/>
  <c r="F48" i="52"/>
  <c r="AQ48" i="52"/>
  <c r="D48" i="52"/>
  <c r="AM48" i="52"/>
  <c r="AO48" i="52"/>
  <c r="AR48" i="52"/>
  <c r="AT48" i="52"/>
  <c r="AV48" i="52"/>
  <c r="G48" i="52"/>
  <c r="AP49" i="52"/>
  <c r="F49" i="52"/>
  <c r="AQ49" i="52"/>
  <c r="AR49" i="52"/>
  <c r="AT49" i="52"/>
  <c r="AV49" i="52"/>
  <c r="G49" i="52"/>
  <c r="AP50" i="52"/>
  <c r="F50" i="52"/>
  <c r="AQ50" i="52"/>
  <c r="AR50" i="52"/>
  <c r="AT50" i="52"/>
  <c r="AV50" i="52"/>
  <c r="G50" i="52"/>
  <c r="AP51" i="52"/>
  <c r="F51" i="52"/>
  <c r="AQ51" i="52"/>
  <c r="AR51" i="52"/>
  <c r="AT51" i="52"/>
  <c r="AV51" i="52"/>
  <c r="G51" i="52"/>
  <c r="AP52" i="52"/>
  <c r="F52" i="52"/>
  <c r="AQ52" i="52"/>
  <c r="AR52" i="52"/>
  <c r="AT52" i="52"/>
  <c r="AV52" i="52"/>
  <c r="G52" i="52"/>
  <c r="AP53" i="52"/>
  <c r="F53" i="52"/>
  <c r="AQ53" i="52"/>
  <c r="AR53" i="52"/>
  <c r="AT53" i="52"/>
  <c r="AV53" i="52"/>
  <c r="G53" i="52"/>
  <c r="AP54" i="52"/>
  <c r="F54" i="52"/>
  <c r="AQ54" i="52"/>
  <c r="AR54" i="52"/>
  <c r="AT54" i="52"/>
  <c r="AV54" i="52"/>
  <c r="G54" i="52"/>
  <c r="AP55" i="52"/>
  <c r="F55" i="52"/>
  <c r="AQ55" i="52"/>
  <c r="AR55" i="52"/>
  <c r="AT55" i="52"/>
  <c r="AV55" i="52"/>
  <c r="G55" i="52"/>
  <c r="AP56" i="52"/>
  <c r="F56" i="52"/>
  <c r="AQ56" i="52"/>
  <c r="AR56" i="52"/>
  <c r="AT56" i="52"/>
  <c r="AV56" i="52"/>
  <c r="G56" i="52"/>
  <c r="AP57" i="52"/>
  <c r="F57" i="52"/>
  <c r="AQ57" i="52"/>
  <c r="AR57" i="52"/>
  <c r="AT57" i="52"/>
  <c r="AV57" i="52"/>
  <c r="G57" i="52"/>
  <c r="AP58" i="52"/>
  <c r="F58" i="52"/>
  <c r="AQ58" i="52"/>
  <c r="AR58" i="52"/>
  <c r="AT58" i="52"/>
  <c r="AV58" i="52"/>
  <c r="G58" i="52"/>
  <c r="AP59" i="52"/>
  <c r="AQ59" i="52"/>
  <c r="D59" i="52"/>
  <c r="AM59" i="52"/>
  <c r="AO59" i="52"/>
  <c r="AR59" i="52"/>
  <c r="AT59" i="52"/>
  <c r="AV59" i="52"/>
  <c r="G59" i="52"/>
  <c r="AP60" i="52"/>
  <c r="AQ60" i="52"/>
  <c r="D60" i="52"/>
  <c r="AM60" i="52"/>
  <c r="AO60" i="52"/>
  <c r="AR60" i="52"/>
  <c r="AT60" i="52"/>
  <c r="AV60" i="52"/>
  <c r="G60" i="52"/>
  <c r="AP61" i="52"/>
  <c r="F61" i="52"/>
  <c r="AQ61" i="52"/>
  <c r="AR61" i="52"/>
  <c r="AT61" i="52"/>
  <c r="AV61" i="52"/>
  <c r="G61" i="52"/>
  <c r="AP62" i="52"/>
  <c r="F62" i="52"/>
  <c r="AQ62" i="52"/>
  <c r="AR62" i="52"/>
  <c r="AT62" i="52"/>
  <c r="AV62" i="52"/>
  <c r="G62" i="52"/>
  <c r="AP63" i="52"/>
  <c r="F63" i="52"/>
  <c r="AQ63" i="52"/>
  <c r="AR63" i="52"/>
  <c r="AT63" i="52"/>
  <c r="AV63" i="52"/>
  <c r="G63" i="52"/>
  <c r="AP64" i="52"/>
  <c r="F64" i="52"/>
  <c r="AQ64" i="52"/>
  <c r="D64" i="52"/>
  <c r="AM64" i="52"/>
  <c r="AO64" i="52"/>
  <c r="AR64" i="52"/>
  <c r="AT64" i="52"/>
  <c r="AV64" i="52"/>
  <c r="G64" i="52"/>
  <c r="AP65" i="52"/>
  <c r="F65" i="52"/>
  <c r="AQ65" i="52"/>
  <c r="D65" i="52"/>
  <c r="AM65" i="52"/>
  <c r="AO65" i="52"/>
  <c r="AR65" i="52"/>
  <c r="AT65" i="52"/>
  <c r="AV65" i="52"/>
  <c r="G65" i="52"/>
  <c r="G68" i="52"/>
  <c r="I102" i="52"/>
  <c r="F102" i="52"/>
  <c r="C102" i="52"/>
  <c r="B102" i="52"/>
  <c r="AM101" i="52"/>
  <c r="AW101" i="52"/>
  <c r="AS101" i="52"/>
  <c r="AO101" i="52"/>
  <c r="AD101" i="52"/>
  <c r="AK101" i="52"/>
  <c r="AC101" i="52"/>
  <c r="AJ101" i="52"/>
  <c r="AG101" i="52"/>
  <c r="I101" i="52"/>
  <c r="F101" i="52"/>
  <c r="C101" i="52"/>
  <c r="B101" i="52"/>
  <c r="AM100" i="52"/>
  <c r="AW100" i="52"/>
  <c r="AS100" i="52"/>
  <c r="AO100" i="52"/>
  <c r="AD100" i="52"/>
  <c r="AK100" i="52"/>
  <c r="AC100" i="52"/>
  <c r="AJ100" i="52"/>
  <c r="AG100" i="52"/>
  <c r="I100" i="52"/>
  <c r="F100" i="52"/>
  <c r="C100" i="52"/>
  <c r="B100" i="52"/>
  <c r="AM99" i="52"/>
  <c r="AW99" i="52"/>
  <c r="AS99" i="52"/>
  <c r="AO99" i="52"/>
  <c r="AD99" i="52"/>
  <c r="AK99" i="52"/>
  <c r="AC99" i="52"/>
  <c r="AJ99" i="52"/>
  <c r="AG99" i="52"/>
  <c r="I99" i="52"/>
  <c r="F99" i="52"/>
  <c r="C99" i="52"/>
  <c r="B99" i="52"/>
  <c r="AM98" i="52"/>
  <c r="AW98" i="52"/>
  <c r="AS98" i="52"/>
  <c r="AO98" i="52"/>
  <c r="AD98" i="52"/>
  <c r="AK98" i="52"/>
  <c r="AC98" i="52"/>
  <c r="AJ98" i="52"/>
  <c r="AG98" i="52"/>
  <c r="I98" i="52"/>
  <c r="F98" i="52"/>
  <c r="C98" i="52"/>
  <c r="B98" i="52"/>
  <c r="AM97" i="52"/>
  <c r="AW97" i="52"/>
  <c r="AS97" i="52"/>
  <c r="AO97" i="52"/>
  <c r="AD97" i="52"/>
  <c r="AK97" i="52"/>
  <c r="AC97" i="52"/>
  <c r="AJ97" i="52"/>
  <c r="AG97" i="52"/>
  <c r="I97" i="52"/>
  <c r="F97" i="52"/>
  <c r="C97" i="52"/>
  <c r="B97" i="52"/>
  <c r="AU96" i="52"/>
  <c r="G96" i="52"/>
  <c r="ED95" i="52"/>
  <c r="EC95" i="52"/>
  <c r="EB95" i="52"/>
  <c r="EA95" i="52"/>
  <c r="DZ95" i="52"/>
  <c r="DY95" i="52"/>
  <c r="DX95" i="52"/>
  <c r="DW95" i="52"/>
  <c r="DV95" i="52"/>
  <c r="DU95" i="52"/>
  <c r="DT95" i="52"/>
  <c r="DS95" i="52"/>
  <c r="DR95" i="52"/>
  <c r="DQ95" i="52"/>
  <c r="DP95" i="52"/>
  <c r="DO95" i="52"/>
  <c r="DN95" i="52"/>
  <c r="DM95" i="52"/>
  <c r="DL95" i="52"/>
  <c r="DK95" i="52"/>
  <c r="DJ95" i="52"/>
  <c r="DI95" i="52"/>
  <c r="DH95" i="52"/>
  <c r="DG95" i="52"/>
  <c r="DF95" i="52"/>
  <c r="DE95" i="52"/>
  <c r="DD95" i="52"/>
  <c r="DC95" i="52"/>
  <c r="DB95" i="52"/>
  <c r="DA95" i="52"/>
  <c r="CZ95" i="52"/>
  <c r="CY95" i="52"/>
  <c r="CX95" i="52"/>
  <c r="CW95" i="52"/>
  <c r="CV95" i="52"/>
  <c r="CU95" i="52"/>
  <c r="CT95" i="52"/>
  <c r="CS95" i="52"/>
  <c r="CR95" i="52"/>
  <c r="CQ95" i="52"/>
  <c r="CP95" i="52"/>
  <c r="CO95" i="52"/>
  <c r="CN95" i="52"/>
  <c r="CM95" i="52"/>
  <c r="CL95" i="52"/>
  <c r="CK95" i="52"/>
  <c r="CJ95" i="52"/>
  <c r="CI95" i="52"/>
  <c r="CH95" i="52"/>
  <c r="CG95" i="52"/>
  <c r="CF95" i="52"/>
  <c r="CE95" i="52"/>
  <c r="CD95" i="52"/>
  <c r="CC95" i="52"/>
  <c r="CB95" i="52"/>
  <c r="CA95" i="52"/>
  <c r="BZ95" i="52"/>
  <c r="BY95" i="52"/>
  <c r="BX95" i="52"/>
  <c r="BW95" i="52"/>
  <c r="BV95" i="52"/>
  <c r="BU95" i="52"/>
  <c r="BT95" i="52"/>
  <c r="BS95" i="52"/>
  <c r="BR95" i="52"/>
  <c r="BQ95" i="52"/>
  <c r="BP95" i="52"/>
  <c r="BO95" i="52"/>
  <c r="BN95" i="52"/>
  <c r="BM95" i="52"/>
  <c r="BK95" i="52"/>
  <c r="BJ95" i="52"/>
  <c r="BI95" i="52"/>
  <c r="BH95" i="52"/>
  <c r="BG95" i="52"/>
  <c r="BF95" i="52"/>
  <c r="BE95" i="52"/>
  <c r="BD95" i="52"/>
  <c r="BC95" i="52"/>
  <c r="BB95" i="52"/>
  <c r="BA95" i="52"/>
  <c r="AZ95" i="52"/>
  <c r="AY95" i="52"/>
  <c r="AX95" i="52"/>
  <c r="ED94" i="52"/>
  <c r="EC94" i="52"/>
  <c r="EB94" i="52"/>
  <c r="EA94" i="52"/>
  <c r="DZ94" i="52"/>
  <c r="DY94" i="52"/>
  <c r="DX94" i="52"/>
  <c r="DW94" i="52"/>
  <c r="DV94" i="52"/>
  <c r="DU94" i="52"/>
  <c r="DT94" i="52"/>
  <c r="DS94" i="52"/>
  <c r="DR94" i="52"/>
  <c r="DQ94" i="52"/>
  <c r="AG94" i="52"/>
  <c r="E76" i="52"/>
  <c r="G76" i="52"/>
  <c r="AN76" i="52"/>
  <c r="F76" i="52"/>
  <c r="H76" i="52"/>
  <c r="AO76" i="52"/>
  <c r="AS76" i="52"/>
  <c r="AP76" i="52"/>
  <c r="AR76" i="52"/>
  <c r="AT76" i="52"/>
  <c r="BH74" i="52"/>
  <c r="BH76" i="52" a="1"/>
  <c r="BH76" i="52"/>
  <c r="E77" i="52"/>
  <c r="G77" i="52"/>
  <c r="AN77" i="52"/>
  <c r="F77" i="52"/>
  <c r="H77" i="52"/>
  <c r="AO77" i="52"/>
  <c r="AS77" i="52"/>
  <c r="AP77" i="52"/>
  <c r="AR77" i="52"/>
  <c r="AT77" i="52"/>
  <c r="BH77" i="52" a="1"/>
  <c r="BH77" i="52"/>
  <c r="E78" i="52"/>
  <c r="G78" i="52"/>
  <c r="AN78" i="52"/>
  <c r="F78" i="52"/>
  <c r="H78" i="52"/>
  <c r="AO78" i="52"/>
  <c r="AS78" i="52"/>
  <c r="AP78" i="52"/>
  <c r="AR78" i="52"/>
  <c r="AT78" i="52"/>
  <c r="BH78" i="52" a="1"/>
  <c r="E79" i="52"/>
  <c r="G79" i="52"/>
  <c r="AN79" i="52"/>
  <c r="F79" i="52"/>
  <c r="H79" i="52"/>
  <c r="AO79" i="52"/>
  <c r="AS79" i="52"/>
  <c r="AP79" i="52"/>
  <c r="AR79" i="52"/>
  <c r="AT79" i="52"/>
  <c r="BH79" i="52" a="1"/>
  <c r="E80" i="52"/>
  <c r="G80" i="52"/>
  <c r="AN80" i="52"/>
  <c r="F80" i="52"/>
  <c r="H80" i="52"/>
  <c r="AO80" i="52"/>
  <c r="AS80" i="52"/>
  <c r="AP80" i="52"/>
  <c r="AR80" i="52"/>
  <c r="AT80" i="52"/>
  <c r="BH80" i="52" a="1"/>
  <c r="E81" i="52"/>
  <c r="G81" i="52"/>
  <c r="AN81" i="52"/>
  <c r="F81" i="52"/>
  <c r="H81" i="52"/>
  <c r="AO81" i="52"/>
  <c r="AS81" i="52"/>
  <c r="AP81" i="52"/>
  <c r="AR81" i="52"/>
  <c r="AT81" i="52"/>
  <c r="BH81" i="52" a="1"/>
  <c r="E82" i="52"/>
  <c r="G82" i="52"/>
  <c r="AN82" i="52"/>
  <c r="F82" i="52"/>
  <c r="H82" i="52"/>
  <c r="AO82" i="52"/>
  <c r="AS82" i="52"/>
  <c r="AP82" i="52"/>
  <c r="AR82" i="52"/>
  <c r="AT82" i="52"/>
  <c r="BH82" i="52" a="1"/>
  <c r="E83" i="52"/>
  <c r="G83" i="52"/>
  <c r="AN83" i="52"/>
  <c r="F83" i="52"/>
  <c r="H83" i="52"/>
  <c r="AO83" i="52"/>
  <c r="AS83" i="52"/>
  <c r="AP83" i="52"/>
  <c r="AR83" i="52"/>
  <c r="AT83" i="52"/>
  <c r="BH83" i="52" a="1"/>
  <c r="E84" i="52"/>
  <c r="G84" i="52"/>
  <c r="AN84" i="52"/>
  <c r="F84" i="52"/>
  <c r="H84" i="52"/>
  <c r="AO84" i="52"/>
  <c r="AS84" i="52"/>
  <c r="AP84" i="52"/>
  <c r="AR84" i="52"/>
  <c r="AT84" i="52"/>
  <c r="BH84" i="52" a="1"/>
  <c r="E85" i="52"/>
  <c r="G85" i="52"/>
  <c r="AN85" i="52"/>
  <c r="F85" i="52"/>
  <c r="H85" i="52"/>
  <c r="AO85" i="52"/>
  <c r="AS85" i="52"/>
  <c r="AP85" i="52"/>
  <c r="AR85" i="52"/>
  <c r="AT85" i="52"/>
  <c r="BH85" i="52" a="1"/>
  <c r="E86" i="52"/>
  <c r="G86" i="52"/>
  <c r="AN86" i="52"/>
  <c r="F86" i="52"/>
  <c r="H86" i="52"/>
  <c r="AO86" i="52"/>
  <c r="AS86" i="52"/>
  <c r="AP86" i="52"/>
  <c r="AR86" i="52"/>
  <c r="AT86" i="52"/>
  <c r="BH86" i="52" a="1"/>
  <c r="BH78" i="52"/>
  <c r="BH79" i="52"/>
  <c r="BH80" i="52"/>
  <c r="BH81" i="52"/>
  <c r="BH82" i="52"/>
  <c r="BH83" i="52"/>
  <c r="BH84" i="52"/>
  <c r="BH85" i="52"/>
  <c r="BH86" i="52"/>
  <c r="BH87" i="52"/>
  <c r="CJ75" i="52"/>
  <c r="BH75" i="52"/>
  <c r="CJ87" i="52"/>
  <c r="BG74" i="52"/>
  <c r="BG76" i="52" a="1"/>
  <c r="BG76" i="52"/>
  <c r="BG77" i="52" a="1"/>
  <c r="BG77" i="52"/>
  <c r="BG78" i="52" a="1"/>
  <c r="BG79" i="52" a="1"/>
  <c r="BG80" i="52" a="1"/>
  <c r="BG81" i="52" a="1"/>
  <c r="BG82" i="52" a="1"/>
  <c r="BG83" i="52" a="1"/>
  <c r="BG84" i="52" a="1"/>
  <c r="BG85" i="52" a="1"/>
  <c r="BG86" i="52" a="1"/>
  <c r="BG78" i="52"/>
  <c r="BG79" i="52"/>
  <c r="BG80" i="52"/>
  <c r="BG81" i="52"/>
  <c r="BG82" i="52"/>
  <c r="BG83" i="52"/>
  <c r="BG84" i="52"/>
  <c r="BG85" i="52"/>
  <c r="BG86" i="52"/>
  <c r="BG87" i="52"/>
  <c r="CI75" i="52"/>
  <c r="BG75" i="52"/>
  <c r="CI87" i="52"/>
  <c r="BF74" i="52"/>
  <c r="BF76" i="52" a="1"/>
  <c r="BF76" i="52"/>
  <c r="BF77" i="52" a="1"/>
  <c r="BF77" i="52"/>
  <c r="BF78" i="52" a="1"/>
  <c r="BF79" i="52" a="1"/>
  <c r="BF80" i="52" a="1"/>
  <c r="BF81" i="52" a="1"/>
  <c r="BF82" i="52" a="1"/>
  <c r="BF83" i="52" a="1"/>
  <c r="BF84" i="52" a="1"/>
  <c r="BF85" i="52" a="1"/>
  <c r="BF86" i="52" a="1"/>
  <c r="BF78" i="52"/>
  <c r="BF79" i="52"/>
  <c r="BF80" i="52"/>
  <c r="BF81" i="52"/>
  <c r="BF82" i="52"/>
  <c r="BF83" i="52"/>
  <c r="BF84" i="52"/>
  <c r="BF85" i="52"/>
  <c r="BF86" i="52"/>
  <c r="BF87" i="52"/>
  <c r="CH75" i="52"/>
  <c r="BF75" i="52"/>
  <c r="CH87" i="52"/>
  <c r="BE74" i="52"/>
  <c r="BE76" i="52" a="1"/>
  <c r="BE76" i="52"/>
  <c r="BE77" i="52" a="1"/>
  <c r="BE77" i="52"/>
  <c r="BE78" i="52" a="1"/>
  <c r="BE79" i="52" a="1"/>
  <c r="BE80" i="52" a="1"/>
  <c r="BE81" i="52" a="1"/>
  <c r="BE82" i="52" a="1"/>
  <c r="BE83" i="52" a="1"/>
  <c r="BE84" i="52" a="1"/>
  <c r="BE85" i="52" a="1"/>
  <c r="BE86" i="52" a="1"/>
  <c r="BE78" i="52"/>
  <c r="BE79" i="52"/>
  <c r="BE80" i="52"/>
  <c r="BE81" i="52"/>
  <c r="BE82" i="52"/>
  <c r="BE83" i="52"/>
  <c r="BE84" i="52"/>
  <c r="BE85" i="52"/>
  <c r="BE86" i="52"/>
  <c r="BE87" i="52"/>
  <c r="CG75" i="52"/>
  <c r="BE75" i="52"/>
  <c r="CG87" i="52"/>
  <c r="BD74" i="52"/>
  <c r="BD76" i="52" a="1"/>
  <c r="BD76" i="52"/>
  <c r="BD77" i="52" a="1"/>
  <c r="BD77" i="52"/>
  <c r="BD78" i="52" a="1"/>
  <c r="BD79" i="52" a="1"/>
  <c r="BD80" i="52" a="1"/>
  <c r="BD81" i="52" a="1"/>
  <c r="BD82" i="52" a="1"/>
  <c r="BD83" i="52" a="1"/>
  <c r="BD84" i="52" a="1"/>
  <c r="BD85" i="52" a="1"/>
  <c r="BD86" i="52" a="1"/>
  <c r="BD78" i="52"/>
  <c r="BD79" i="52"/>
  <c r="BD80" i="52"/>
  <c r="BD81" i="52"/>
  <c r="BD82" i="52"/>
  <c r="BD83" i="52"/>
  <c r="BD84" i="52"/>
  <c r="BD85" i="52"/>
  <c r="BD86" i="52"/>
  <c r="BD87" i="52"/>
  <c r="CF75" i="52"/>
  <c r="BD75" i="52"/>
  <c r="CF87" i="52"/>
  <c r="BC74" i="52"/>
  <c r="BC76" i="52" a="1"/>
  <c r="BC76" i="52"/>
  <c r="BC77" i="52" a="1"/>
  <c r="BC77" i="52"/>
  <c r="BC78" i="52" a="1"/>
  <c r="BC79" i="52" a="1"/>
  <c r="BC80" i="52" a="1"/>
  <c r="BC81" i="52" a="1"/>
  <c r="BC82" i="52" a="1"/>
  <c r="BC83" i="52" a="1"/>
  <c r="BC84" i="52" a="1"/>
  <c r="BC85" i="52" a="1"/>
  <c r="BC86" i="52" a="1"/>
  <c r="BC78" i="52"/>
  <c r="BC79" i="52"/>
  <c r="BC80" i="52"/>
  <c r="BC81" i="52"/>
  <c r="BC82" i="52"/>
  <c r="BC83" i="52"/>
  <c r="BC84" i="52"/>
  <c r="BC85" i="52"/>
  <c r="BC86" i="52"/>
  <c r="BC87" i="52"/>
  <c r="CE75" i="52"/>
  <c r="BC75" i="52"/>
  <c r="CE87" i="52"/>
  <c r="BB74" i="52"/>
  <c r="BB76" i="52" a="1"/>
  <c r="BB76" i="52"/>
  <c r="BB77" i="52" a="1"/>
  <c r="BB77" i="52"/>
  <c r="BB78" i="52" a="1"/>
  <c r="BB79" i="52" a="1"/>
  <c r="BB80" i="52" a="1"/>
  <c r="BB81" i="52" a="1"/>
  <c r="BB82" i="52" a="1"/>
  <c r="BB83" i="52" a="1"/>
  <c r="BB84" i="52" a="1"/>
  <c r="BB85" i="52" a="1"/>
  <c r="BB86" i="52" a="1"/>
  <c r="BB78" i="52"/>
  <c r="BB79" i="52"/>
  <c r="BB80" i="52"/>
  <c r="BB81" i="52"/>
  <c r="BB82" i="52"/>
  <c r="BB83" i="52"/>
  <c r="BB84" i="52"/>
  <c r="BB85" i="52"/>
  <c r="BB86" i="52"/>
  <c r="BB87" i="52"/>
  <c r="CD75" i="52"/>
  <c r="BB75" i="52"/>
  <c r="CD87" i="52"/>
  <c r="BA74" i="52"/>
  <c r="BA76" i="52" a="1"/>
  <c r="BA76" i="52"/>
  <c r="BA77" i="52" a="1"/>
  <c r="BA77" i="52"/>
  <c r="BA78" i="52" a="1"/>
  <c r="BA79" i="52" a="1"/>
  <c r="BA80" i="52" a="1"/>
  <c r="BA81" i="52" a="1"/>
  <c r="BA82" i="52" a="1"/>
  <c r="BA83" i="52" a="1"/>
  <c r="BA84" i="52" a="1"/>
  <c r="BA85" i="52" a="1"/>
  <c r="BA86" i="52" a="1"/>
  <c r="BA78" i="52"/>
  <c r="BA79" i="52"/>
  <c r="BA80" i="52"/>
  <c r="BA81" i="52"/>
  <c r="BA82" i="52"/>
  <c r="BA83" i="52"/>
  <c r="BA84" i="52"/>
  <c r="BA85" i="52"/>
  <c r="BA86" i="52"/>
  <c r="BA87" i="52"/>
  <c r="CC75" i="52"/>
  <c r="BA75" i="52"/>
  <c r="CC87" i="52"/>
  <c r="AZ74" i="52"/>
  <c r="AZ76" i="52" a="1"/>
  <c r="AZ76" i="52"/>
  <c r="AZ77" i="52" a="1"/>
  <c r="AZ77" i="52"/>
  <c r="AZ78" i="52" a="1"/>
  <c r="AZ79" i="52" a="1"/>
  <c r="AZ80" i="52" a="1"/>
  <c r="AZ81" i="52" a="1"/>
  <c r="AZ82" i="52" a="1"/>
  <c r="AZ83" i="52" a="1"/>
  <c r="AZ84" i="52" a="1"/>
  <c r="AZ85" i="52" a="1"/>
  <c r="AZ86" i="52" a="1"/>
  <c r="AZ78" i="52"/>
  <c r="AZ79" i="52"/>
  <c r="AZ80" i="52"/>
  <c r="AZ81" i="52"/>
  <c r="AZ82" i="52"/>
  <c r="AZ83" i="52"/>
  <c r="AZ84" i="52"/>
  <c r="AZ85" i="52"/>
  <c r="AZ86" i="52"/>
  <c r="AZ87" i="52"/>
  <c r="CB75" i="52"/>
  <c r="AZ75" i="52"/>
  <c r="CB87" i="52"/>
  <c r="AY74" i="52"/>
  <c r="AY76" i="52" a="1"/>
  <c r="AY76" i="52"/>
  <c r="AY77" i="52" a="1"/>
  <c r="AY77" i="52"/>
  <c r="AY78" i="52" a="1"/>
  <c r="AY79" i="52" a="1"/>
  <c r="AY80" i="52" a="1"/>
  <c r="AY81" i="52" a="1"/>
  <c r="AY82" i="52" a="1"/>
  <c r="AY83" i="52" a="1"/>
  <c r="AY84" i="52" a="1"/>
  <c r="AY85" i="52" a="1"/>
  <c r="AY86" i="52" a="1"/>
  <c r="AY78" i="52"/>
  <c r="AY79" i="52"/>
  <c r="AY80" i="52"/>
  <c r="AY81" i="52"/>
  <c r="AY82" i="52"/>
  <c r="AY83" i="52"/>
  <c r="AY84" i="52"/>
  <c r="AY85" i="52"/>
  <c r="AY86" i="52"/>
  <c r="AY87" i="52"/>
  <c r="CA75" i="52"/>
  <c r="AY75" i="52"/>
  <c r="CA87" i="52"/>
  <c r="AX74" i="52"/>
  <c r="AX76" i="52" a="1"/>
  <c r="AX76" i="52"/>
  <c r="AX77" i="52" a="1"/>
  <c r="AX77" i="52"/>
  <c r="AX78" i="52" a="1"/>
  <c r="AX79" i="52" a="1"/>
  <c r="AX80" i="52" a="1"/>
  <c r="AX81" i="52" a="1"/>
  <c r="AX82" i="52" a="1"/>
  <c r="AX83" i="52" a="1"/>
  <c r="AX84" i="52" a="1"/>
  <c r="AX85" i="52" a="1"/>
  <c r="AX86" i="52" a="1"/>
  <c r="AX78" i="52"/>
  <c r="AX79" i="52"/>
  <c r="AX80" i="52"/>
  <c r="AX81" i="52"/>
  <c r="AX82" i="52"/>
  <c r="AX83" i="52"/>
  <c r="AX84" i="52"/>
  <c r="AX85" i="52"/>
  <c r="AX86" i="52"/>
  <c r="AX87" i="52"/>
  <c r="BZ75" i="52"/>
  <c r="AX75" i="52"/>
  <c r="BZ87" i="52"/>
  <c r="AW74" i="52"/>
  <c r="AW76" i="52" a="1"/>
  <c r="AW76" i="52"/>
  <c r="AW77" i="52" a="1"/>
  <c r="AW77" i="52"/>
  <c r="AW78" i="52" a="1"/>
  <c r="AW79" i="52" a="1"/>
  <c r="AW80" i="52" a="1"/>
  <c r="AW81" i="52" a="1"/>
  <c r="AW82" i="52" a="1"/>
  <c r="AW83" i="52" a="1"/>
  <c r="AW84" i="52" a="1"/>
  <c r="AW85" i="52" a="1"/>
  <c r="AW86" i="52" a="1"/>
  <c r="AW78" i="52"/>
  <c r="AW79" i="52"/>
  <c r="AW80" i="52"/>
  <c r="AW81" i="52"/>
  <c r="AW82" i="52"/>
  <c r="AW83" i="52"/>
  <c r="AW84" i="52"/>
  <c r="AW85" i="52"/>
  <c r="AW86" i="52"/>
  <c r="AW87" i="52"/>
  <c r="BY75" i="52"/>
  <c r="AW75" i="52"/>
  <c r="BY87" i="52"/>
  <c r="AV74" i="52"/>
  <c r="AV76" i="52" a="1"/>
  <c r="AV76" i="52"/>
  <c r="AV77" i="52" a="1"/>
  <c r="AV77" i="52"/>
  <c r="AV78" i="52" a="1"/>
  <c r="AV79" i="52" a="1"/>
  <c r="AV80" i="52" a="1"/>
  <c r="AV81" i="52" a="1"/>
  <c r="AV82" i="52" a="1"/>
  <c r="AV83" i="52" a="1"/>
  <c r="AV84" i="52" a="1"/>
  <c r="AV85" i="52" a="1"/>
  <c r="AV86" i="52" a="1"/>
  <c r="AV78" i="52"/>
  <c r="AV79" i="52"/>
  <c r="AV80" i="52"/>
  <c r="AV81" i="52"/>
  <c r="AV82" i="52"/>
  <c r="AV83" i="52"/>
  <c r="AV84" i="52"/>
  <c r="AV85" i="52"/>
  <c r="AV86" i="52"/>
  <c r="AV87" i="52"/>
  <c r="BX75" i="52"/>
  <c r="AV75" i="52"/>
  <c r="BX87" i="52"/>
  <c r="AU74" i="52"/>
  <c r="AU76" i="52" a="1"/>
  <c r="AU76" i="52"/>
  <c r="AU77" i="52" a="1"/>
  <c r="AU77" i="52"/>
  <c r="AU78" i="52" a="1"/>
  <c r="AU79" i="52" a="1"/>
  <c r="AU80" i="52" a="1"/>
  <c r="AU81" i="52" a="1"/>
  <c r="AU82" i="52" a="1"/>
  <c r="AU83" i="52" a="1"/>
  <c r="AU84" i="52" a="1"/>
  <c r="AU85" i="52" a="1"/>
  <c r="AU86" i="52" a="1"/>
  <c r="AU78" i="52"/>
  <c r="AU79" i="52"/>
  <c r="AU80" i="52"/>
  <c r="AU81" i="52"/>
  <c r="AU82" i="52"/>
  <c r="AU83" i="52"/>
  <c r="AU84" i="52"/>
  <c r="AU85" i="52"/>
  <c r="AU86" i="52"/>
  <c r="AU87" i="52"/>
  <c r="BW75" i="52"/>
  <c r="AU75" i="52"/>
  <c r="BW87" i="52"/>
  <c r="BV75" i="52"/>
  <c r="BV87" i="52"/>
  <c r="BU75" i="52"/>
  <c r="BU87" i="52"/>
  <c r="BT75" i="52"/>
  <c r="BT87" i="52"/>
  <c r="BS75" i="52"/>
  <c r="BS87" i="52"/>
  <c r="BR75" i="52"/>
  <c r="BR87" i="52"/>
  <c r="BQ75" i="52"/>
  <c r="BQ87" i="52"/>
  <c r="BP75" i="52"/>
  <c r="BP87" i="52"/>
  <c r="BO75" i="52"/>
  <c r="BO87" i="52"/>
  <c r="BN75" i="52"/>
  <c r="BN87" i="52"/>
  <c r="BM75" i="52"/>
  <c r="BM87" i="52"/>
  <c r="BL75" i="52"/>
  <c r="BL87" i="52"/>
  <c r="BK75" i="52"/>
  <c r="BK87" i="52"/>
  <c r="BJ75" i="52"/>
  <c r="BJ87" i="52"/>
  <c r="BI75" i="52"/>
  <c r="BI87" i="52"/>
  <c r="J87" i="52"/>
  <c r="I87" i="52"/>
  <c r="CJ86" i="52"/>
  <c r="CI86" i="52"/>
  <c r="CH86" i="52"/>
  <c r="CG86" i="52"/>
  <c r="CF86" i="52"/>
  <c r="CE86" i="52"/>
  <c r="CD86" i="52"/>
  <c r="CC86" i="52"/>
  <c r="CB86" i="52"/>
  <c r="CA86" i="52"/>
  <c r="BZ86" i="52"/>
  <c r="BY86" i="52"/>
  <c r="BX86" i="52"/>
  <c r="BW86" i="52"/>
  <c r="BV86" i="52"/>
  <c r="BU86" i="52"/>
  <c r="BT86" i="52"/>
  <c r="BS86" i="52"/>
  <c r="BR86" i="52"/>
  <c r="BQ86" i="52"/>
  <c r="BP86" i="52"/>
  <c r="BO86" i="52"/>
  <c r="BN86" i="52"/>
  <c r="BM86" i="52"/>
  <c r="BL86" i="52"/>
  <c r="BK86" i="52"/>
  <c r="BJ86" i="52"/>
  <c r="BI86" i="52"/>
  <c r="AQ86" i="52"/>
  <c r="AM86" i="52"/>
  <c r="X86" i="52"/>
  <c r="Y86" i="52"/>
  <c r="J86" i="52"/>
  <c r="I86" i="52"/>
  <c r="B86" i="52"/>
  <c r="CJ85" i="52"/>
  <c r="CI85" i="52"/>
  <c r="CH85" i="52"/>
  <c r="CG85" i="52"/>
  <c r="CF85" i="52"/>
  <c r="CE85" i="52"/>
  <c r="CD85" i="52"/>
  <c r="CC85" i="52"/>
  <c r="CB85" i="52"/>
  <c r="CA85" i="52"/>
  <c r="BZ85" i="52"/>
  <c r="BY85" i="52"/>
  <c r="BX85" i="52"/>
  <c r="BW85" i="52"/>
  <c r="BV85" i="52"/>
  <c r="BU85" i="52"/>
  <c r="BT85" i="52"/>
  <c r="BS85" i="52"/>
  <c r="BR85" i="52"/>
  <c r="BQ85" i="52"/>
  <c r="BP85" i="52"/>
  <c r="BO85" i="52"/>
  <c r="BN85" i="52"/>
  <c r="BM85" i="52"/>
  <c r="BL85" i="52"/>
  <c r="BK85" i="52"/>
  <c r="BJ85" i="52"/>
  <c r="BI85" i="52"/>
  <c r="AQ85" i="52"/>
  <c r="AM85" i="52"/>
  <c r="X85" i="52"/>
  <c r="Y85" i="52"/>
  <c r="J85" i="52"/>
  <c r="I85" i="52"/>
  <c r="B85" i="52"/>
  <c r="CJ84" i="52"/>
  <c r="CI84" i="52"/>
  <c r="CH84" i="52"/>
  <c r="CG84" i="52"/>
  <c r="CF84" i="52"/>
  <c r="CE84" i="52"/>
  <c r="CD84" i="52"/>
  <c r="CC84" i="52"/>
  <c r="CB84" i="52"/>
  <c r="CA84" i="52"/>
  <c r="BZ84" i="52"/>
  <c r="BY84" i="52"/>
  <c r="BX84" i="52"/>
  <c r="BW84" i="52"/>
  <c r="BV84" i="52"/>
  <c r="BU84" i="52"/>
  <c r="BT84" i="52"/>
  <c r="BS84" i="52"/>
  <c r="BR84" i="52"/>
  <c r="BQ84" i="52"/>
  <c r="BP84" i="52"/>
  <c r="BO84" i="52"/>
  <c r="BN84" i="52"/>
  <c r="BM84" i="52"/>
  <c r="BL84" i="52"/>
  <c r="BK84" i="52"/>
  <c r="BJ84" i="52"/>
  <c r="BI84" i="52"/>
  <c r="AQ84" i="52"/>
  <c r="AM84" i="52"/>
  <c r="X84" i="52"/>
  <c r="Y84" i="52"/>
  <c r="J84" i="52"/>
  <c r="I84" i="52"/>
  <c r="B84" i="52"/>
  <c r="CJ83" i="52"/>
  <c r="CI83" i="52"/>
  <c r="CH83" i="52"/>
  <c r="CG83" i="52"/>
  <c r="CF83" i="52"/>
  <c r="CE83" i="52"/>
  <c r="CD83" i="52"/>
  <c r="CC83" i="52"/>
  <c r="CB83" i="52"/>
  <c r="CA83" i="52"/>
  <c r="BZ83" i="52"/>
  <c r="BY83" i="52"/>
  <c r="BX83" i="52"/>
  <c r="BW83" i="52"/>
  <c r="BV83" i="52"/>
  <c r="BU83" i="52"/>
  <c r="BT83" i="52"/>
  <c r="BS83" i="52"/>
  <c r="BR83" i="52"/>
  <c r="BQ83" i="52"/>
  <c r="BP83" i="52"/>
  <c r="BO83" i="52"/>
  <c r="BN83" i="52"/>
  <c r="BM83" i="52"/>
  <c r="BL83" i="52"/>
  <c r="BK83" i="52"/>
  <c r="BJ83" i="52"/>
  <c r="BI83" i="52"/>
  <c r="AQ83" i="52"/>
  <c r="AM83" i="52"/>
  <c r="X83" i="52"/>
  <c r="Y83" i="52"/>
  <c r="J83" i="52"/>
  <c r="I83" i="52"/>
  <c r="B83" i="52"/>
  <c r="CJ82" i="52"/>
  <c r="CI82" i="52"/>
  <c r="CH82" i="52"/>
  <c r="CG82" i="52"/>
  <c r="CF82" i="52"/>
  <c r="CE82" i="52"/>
  <c r="CD82" i="52"/>
  <c r="CC82" i="52"/>
  <c r="CB82" i="52"/>
  <c r="CA82" i="52"/>
  <c r="BZ82" i="52"/>
  <c r="BY82" i="52"/>
  <c r="BX82" i="52"/>
  <c r="BW82" i="52"/>
  <c r="BV82" i="52"/>
  <c r="BU82" i="52"/>
  <c r="BT82" i="52"/>
  <c r="BS82" i="52"/>
  <c r="BR82" i="52"/>
  <c r="BQ82" i="52"/>
  <c r="BP82" i="52"/>
  <c r="BO82" i="52"/>
  <c r="BN82" i="52"/>
  <c r="BM82" i="52"/>
  <c r="BL82" i="52"/>
  <c r="BK82" i="52"/>
  <c r="BJ82" i="52"/>
  <c r="BI82" i="52"/>
  <c r="AQ82" i="52"/>
  <c r="AM82" i="52"/>
  <c r="X82" i="52"/>
  <c r="Y82" i="52"/>
  <c r="J82" i="52"/>
  <c r="I82" i="52"/>
  <c r="B82" i="52"/>
  <c r="CJ81" i="52"/>
  <c r="CI81" i="52"/>
  <c r="CH81" i="52"/>
  <c r="CG81" i="52"/>
  <c r="CF81" i="52"/>
  <c r="CE81" i="52"/>
  <c r="CD81" i="52"/>
  <c r="CC81" i="52"/>
  <c r="CB81" i="52"/>
  <c r="CA81" i="52"/>
  <c r="BZ81" i="52"/>
  <c r="BY81" i="52"/>
  <c r="BX81" i="52"/>
  <c r="BW81" i="52"/>
  <c r="BV81" i="52"/>
  <c r="BU81" i="52"/>
  <c r="BT81" i="52"/>
  <c r="BS81" i="52"/>
  <c r="BR81" i="52"/>
  <c r="BQ81" i="52"/>
  <c r="BP81" i="52"/>
  <c r="BO81" i="52"/>
  <c r="BN81" i="52"/>
  <c r="BM81" i="52"/>
  <c r="BL81" i="52"/>
  <c r="BK81" i="52"/>
  <c r="BJ81" i="52"/>
  <c r="BI81" i="52"/>
  <c r="AQ81" i="52"/>
  <c r="AM81" i="52"/>
  <c r="X81" i="52"/>
  <c r="Y81" i="52"/>
  <c r="J81" i="52"/>
  <c r="I81" i="52"/>
  <c r="B81" i="52"/>
  <c r="CJ80" i="52"/>
  <c r="CI80" i="52"/>
  <c r="CH80" i="52"/>
  <c r="CG80" i="52"/>
  <c r="CF80" i="52"/>
  <c r="CE80" i="52"/>
  <c r="CD80" i="52"/>
  <c r="CC80" i="52"/>
  <c r="CB80" i="52"/>
  <c r="CA80" i="52"/>
  <c r="BZ80" i="52"/>
  <c r="BY80" i="52"/>
  <c r="BX80" i="52"/>
  <c r="BW80" i="52"/>
  <c r="BV80" i="52"/>
  <c r="BU80" i="52"/>
  <c r="BT80" i="52"/>
  <c r="BS80" i="52"/>
  <c r="BR80" i="52"/>
  <c r="BQ80" i="52"/>
  <c r="BP80" i="52"/>
  <c r="BO80" i="52"/>
  <c r="BN80" i="52"/>
  <c r="BM80" i="52"/>
  <c r="BL80" i="52"/>
  <c r="BK80" i="52"/>
  <c r="BJ80" i="52"/>
  <c r="BI80" i="52"/>
  <c r="AQ80" i="52"/>
  <c r="AM80" i="52"/>
  <c r="X80" i="52"/>
  <c r="Y80" i="52"/>
  <c r="J80" i="52"/>
  <c r="I80" i="52"/>
  <c r="B80" i="52"/>
  <c r="CJ79" i="52"/>
  <c r="CI79" i="52"/>
  <c r="CH79" i="52"/>
  <c r="CG79" i="52"/>
  <c r="CF79" i="52"/>
  <c r="CE79" i="52"/>
  <c r="CD79" i="52"/>
  <c r="CC79" i="52"/>
  <c r="CB79" i="52"/>
  <c r="CA79" i="52"/>
  <c r="BZ79" i="52"/>
  <c r="BY79" i="52"/>
  <c r="BX79" i="52"/>
  <c r="BW79" i="52"/>
  <c r="BV79" i="52"/>
  <c r="BU79" i="52"/>
  <c r="BT79" i="52"/>
  <c r="BS79" i="52"/>
  <c r="BR79" i="52"/>
  <c r="BQ79" i="52"/>
  <c r="BP79" i="52"/>
  <c r="BO79" i="52"/>
  <c r="BN79" i="52"/>
  <c r="BM79" i="52"/>
  <c r="BL79" i="52"/>
  <c r="BK79" i="52"/>
  <c r="BJ79" i="52"/>
  <c r="BI79" i="52"/>
  <c r="AQ79" i="52"/>
  <c r="AM79" i="52"/>
  <c r="X79" i="52"/>
  <c r="Y79" i="52"/>
  <c r="J79" i="52"/>
  <c r="I79" i="52"/>
  <c r="B79" i="52"/>
  <c r="CJ78" i="52"/>
  <c r="CI78" i="52"/>
  <c r="CH78" i="52"/>
  <c r="CG78" i="52"/>
  <c r="CF78" i="52"/>
  <c r="CE78" i="52"/>
  <c r="CD78" i="52"/>
  <c r="CC78" i="52"/>
  <c r="CB78" i="52"/>
  <c r="CA78" i="52"/>
  <c r="BZ78" i="52"/>
  <c r="BY78" i="52"/>
  <c r="BX78" i="52"/>
  <c r="BW78" i="52"/>
  <c r="BV78" i="52"/>
  <c r="BU78" i="52"/>
  <c r="BT78" i="52"/>
  <c r="BS78" i="52"/>
  <c r="BR78" i="52"/>
  <c r="BQ78" i="52"/>
  <c r="BP78" i="52"/>
  <c r="BO78" i="52"/>
  <c r="BN78" i="52"/>
  <c r="BM78" i="52"/>
  <c r="BL78" i="52"/>
  <c r="BK78" i="52"/>
  <c r="BJ78" i="52"/>
  <c r="BI78" i="52"/>
  <c r="AQ78" i="52"/>
  <c r="AM78" i="52"/>
  <c r="X78" i="52"/>
  <c r="Y78" i="52"/>
  <c r="J78" i="52"/>
  <c r="I78" i="52"/>
  <c r="B78" i="52"/>
  <c r="CJ77" i="52"/>
  <c r="CI77" i="52"/>
  <c r="CH77" i="52"/>
  <c r="CG77" i="52"/>
  <c r="CF77" i="52"/>
  <c r="CE77" i="52"/>
  <c r="CD77" i="52"/>
  <c r="CC77" i="52"/>
  <c r="CB77" i="52"/>
  <c r="CA77" i="52"/>
  <c r="BZ77" i="52"/>
  <c r="BY77" i="52"/>
  <c r="BX77" i="52"/>
  <c r="BW77" i="52"/>
  <c r="BV77" i="52"/>
  <c r="BU77" i="52"/>
  <c r="BT77" i="52"/>
  <c r="BS77" i="52"/>
  <c r="BR77" i="52"/>
  <c r="BQ77" i="52"/>
  <c r="BP77" i="52"/>
  <c r="BO77" i="52"/>
  <c r="BN77" i="52"/>
  <c r="BM77" i="52"/>
  <c r="BL77" i="52"/>
  <c r="BK77" i="52"/>
  <c r="BJ77" i="52"/>
  <c r="BI77" i="52"/>
  <c r="AQ77" i="52"/>
  <c r="AM77" i="52"/>
  <c r="X77" i="52"/>
  <c r="Y77" i="52"/>
  <c r="J77" i="52"/>
  <c r="I77" i="52"/>
  <c r="B77" i="52"/>
  <c r="CJ76" i="52"/>
  <c r="CI76" i="52"/>
  <c r="CH76" i="52"/>
  <c r="CG76" i="52"/>
  <c r="CF76" i="52"/>
  <c r="CE76" i="52"/>
  <c r="CD76" i="52"/>
  <c r="CC76" i="52"/>
  <c r="CB76" i="52"/>
  <c r="CA76" i="52"/>
  <c r="BZ76" i="52"/>
  <c r="BY76" i="52"/>
  <c r="BX76" i="52"/>
  <c r="BW76" i="52"/>
  <c r="BV76" i="52"/>
  <c r="BU76" i="52"/>
  <c r="BT76" i="52"/>
  <c r="BS76" i="52"/>
  <c r="BR76" i="52"/>
  <c r="BQ76" i="52"/>
  <c r="BP76" i="52"/>
  <c r="BO76" i="52"/>
  <c r="BN76" i="52"/>
  <c r="BM76" i="52"/>
  <c r="BL76" i="52"/>
  <c r="BK76" i="52"/>
  <c r="BJ76" i="52"/>
  <c r="BI76" i="52"/>
  <c r="AQ76" i="52"/>
  <c r="AM76" i="52"/>
  <c r="X76" i="52"/>
  <c r="Y76" i="52"/>
  <c r="J76" i="52"/>
  <c r="I76" i="52"/>
  <c r="B76" i="52"/>
  <c r="J75" i="52"/>
  <c r="I75" i="52"/>
  <c r="G75" i="52"/>
  <c r="CJ74" i="52"/>
  <c r="CI74" i="52"/>
  <c r="CH74" i="52"/>
  <c r="CG74" i="52"/>
  <c r="CF74" i="52"/>
  <c r="CE74" i="52"/>
  <c r="CD74" i="52"/>
  <c r="CC74" i="52"/>
  <c r="CB74" i="52"/>
  <c r="CA74" i="52"/>
  <c r="BZ74" i="52"/>
  <c r="BY74" i="52"/>
  <c r="BX74" i="52"/>
  <c r="BW74" i="52"/>
  <c r="BV74" i="52"/>
  <c r="BU74" i="52"/>
  <c r="BT74" i="52"/>
  <c r="BS74" i="52"/>
  <c r="BR74" i="52"/>
  <c r="BQ74" i="52"/>
  <c r="BP74" i="52"/>
  <c r="BO74" i="52"/>
  <c r="BN74" i="52"/>
  <c r="BM74" i="52"/>
  <c r="BL74" i="52"/>
  <c r="BK74" i="52"/>
  <c r="BJ74" i="52"/>
  <c r="BI74" i="52"/>
  <c r="BZ27" i="52"/>
  <c r="X30" i="52"/>
  <c r="Y30" i="52"/>
  <c r="AA30" i="52"/>
  <c r="AE30" i="52"/>
  <c r="AF30" i="52"/>
  <c r="AH30" i="52"/>
  <c r="BZ30" i="52" a="1"/>
  <c r="BZ30" i="52"/>
  <c r="X31" i="52"/>
  <c r="Y31" i="52"/>
  <c r="AA31" i="52"/>
  <c r="AE31" i="52"/>
  <c r="AF31" i="52"/>
  <c r="AH31" i="52"/>
  <c r="BZ31" i="52" a="1"/>
  <c r="BZ31" i="52"/>
  <c r="X32" i="52"/>
  <c r="Y32" i="52"/>
  <c r="AA32" i="52"/>
  <c r="AE32" i="52"/>
  <c r="AF32" i="52"/>
  <c r="AH32" i="52"/>
  <c r="BZ32" i="52" a="1"/>
  <c r="X33" i="52"/>
  <c r="Y33" i="52"/>
  <c r="AA33" i="52"/>
  <c r="AE33" i="52"/>
  <c r="AF33" i="52"/>
  <c r="AH33" i="52"/>
  <c r="BZ33" i="52" a="1"/>
  <c r="X34" i="52"/>
  <c r="Y34" i="52"/>
  <c r="AA34" i="52"/>
  <c r="AE34" i="52"/>
  <c r="AF34" i="52"/>
  <c r="AH34" i="52"/>
  <c r="BZ34" i="52" a="1"/>
  <c r="X35" i="52"/>
  <c r="Y35" i="52"/>
  <c r="AA35" i="52"/>
  <c r="AE35" i="52"/>
  <c r="AF35" i="52"/>
  <c r="AH35" i="52"/>
  <c r="BZ35" i="52" a="1"/>
  <c r="X36" i="52"/>
  <c r="Y36" i="52"/>
  <c r="AA36" i="52"/>
  <c r="AE36" i="52"/>
  <c r="AF36" i="52"/>
  <c r="AH36" i="52"/>
  <c r="BZ36" i="52" a="1"/>
  <c r="X37" i="52"/>
  <c r="Y37" i="52"/>
  <c r="AA37" i="52"/>
  <c r="AE37" i="52"/>
  <c r="AF37" i="52"/>
  <c r="AH37" i="52"/>
  <c r="BZ37" i="52" a="1"/>
  <c r="X38" i="52"/>
  <c r="Y38" i="52"/>
  <c r="AA38" i="52"/>
  <c r="AE38" i="52"/>
  <c r="AF38" i="52"/>
  <c r="AH38" i="52"/>
  <c r="BZ38" i="52" a="1"/>
  <c r="X39" i="52"/>
  <c r="Y39" i="52"/>
  <c r="AA39" i="52"/>
  <c r="AE39" i="52"/>
  <c r="AF39" i="52"/>
  <c r="AH39" i="52"/>
  <c r="BZ39" i="52" a="1"/>
  <c r="X40" i="52"/>
  <c r="Y40" i="52"/>
  <c r="AA40" i="52"/>
  <c r="AE40" i="52"/>
  <c r="AF40" i="52"/>
  <c r="AH40" i="52"/>
  <c r="BZ40" i="52" a="1"/>
  <c r="X41" i="52"/>
  <c r="Y41" i="52"/>
  <c r="AA41" i="52"/>
  <c r="AE41" i="52"/>
  <c r="AF41" i="52"/>
  <c r="AH41" i="52"/>
  <c r="BZ41" i="52" a="1"/>
  <c r="X42" i="52"/>
  <c r="Y42" i="52"/>
  <c r="AA42" i="52"/>
  <c r="AE42" i="52"/>
  <c r="AF42" i="52"/>
  <c r="AH42" i="52"/>
  <c r="BZ42" i="52" a="1"/>
  <c r="X43" i="52"/>
  <c r="Y43" i="52"/>
  <c r="AA43" i="52"/>
  <c r="AE43" i="52"/>
  <c r="AF43" i="52"/>
  <c r="AH43" i="52"/>
  <c r="BZ43" i="52" a="1"/>
  <c r="X44" i="52"/>
  <c r="Y44" i="52"/>
  <c r="AA44" i="52"/>
  <c r="AE44" i="52"/>
  <c r="AF44" i="52"/>
  <c r="AH44" i="52"/>
  <c r="BZ44" i="52" a="1"/>
  <c r="X45" i="52"/>
  <c r="Y45" i="52"/>
  <c r="AA45" i="52"/>
  <c r="AE45" i="52"/>
  <c r="AF45" i="52"/>
  <c r="AH45" i="52"/>
  <c r="BZ45" i="52" a="1"/>
  <c r="X46" i="52"/>
  <c r="Y46" i="52"/>
  <c r="AA46" i="52"/>
  <c r="AE46" i="52"/>
  <c r="AF46" i="52"/>
  <c r="AH46" i="52"/>
  <c r="BZ46" i="52" a="1"/>
  <c r="X47" i="52"/>
  <c r="Y47" i="52"/>
  <c r="AA47" i="52"/>
  <c r="AE47" i="52"/>
  <c r="AF47" i="52"/>
  <c r="AH47" i="52"/>
  <c r="BZ47" i="52" a="1"/>
  <c r="X48" i="52"/>
  <c r="Y48" i="52"/>
  <c r="AA48" i="52"/>
  <c r="AE48" i="52"/>
  <c r="AF48" i="52"/>
  <c r="AH48" i="52"/>
  <c r="BZ48" i="52" a="1"/>
  <c r="X49" i="52"/>
  <c r="Y49" i="52"/>
  <c r="AA49" i="52"/>
  <c r="AE49" i="52"/>
  <c r="AF49" i="52"/>
  <c r="AH49" i="52"/>
  <c r="BZ49" i="52" a="1"/>
  <c r="X50" i="52"/>
  <c r="Y50" i="52"/>
  <c r="AA50" i="52"/>
  <c r="AE50" i="52"/>
  <c r="AF50" i="52"/>
  <c r="AH50" i="52"/>
  <c r="BZ50" i="52" a="1"/>
  <c r="X51" i="52"/>
  <c r="Y51" i="52"/>
  <c r="AA51" i="52"/>
  <c r="AE51" i="52"/>
  <c r="AF51" i="52"/>
  <c r="AH51" i="52"/>
  <c r="BZ51" i="52" a="1"/>
  <c r="X52" i="52"/>
  <c r="Y52" i="52"/>
  <c r="AA52" i="52"/>
  <c r="AE52" i="52"/>
  <c r="AF52" i="52"/>
  <c r="AH52" i="52"/>
  <c r="BZ52" i="52" a="1"/>
  <c r="X53" i="52"/>
  <c r="Y53" i="52"/>
  <c r="AA53" i="52"/>
  <c r="AE53" i="52"/>
  <c r="AF53" i="52"/>
  <c r="AH53" i="52"/>
  <c r="BZ53" i="52" a="1"/>
  <c r="X54" i="52"/>
  <c r="Y54" i="52"/>
  <c r="AA54" i="52"/>
  <c r="AE54" i="52"/>
  <c r="AF54" i="52"/>
  <c r="AH54" i="52"/>
  <c r="BZ54" i="52" a="1"/>
  <c r="X55" i="52"/>
  <c r="Y55" i="52"/>
  <c r="AA55" i="52"/>
  <c r="AE55" i="52"/>
  <c r="AF55" i="52"/>
  <c r="AH55" i="52"/>
  <c r="BZ55" i="52" a="1"/>
  <c r="X56" i="52"/>
  <c r="Y56" i="52"/>
  <c r="AA56" i="52"/>
  <c r="AE56" i="52"/>
  <c r="AF56" i="52"/>
  <c r="AH56" i="52"/>
  <c r="BZ56" i="52" a="1"/>
  <c r="X57" i="52"/>
  <c r="Y57" i="52"/>
  <c r="AA57" i="52"/>
  <c r="AE57" i="52"/>
  <c r="AF57" i="52"/>
  <c r="AH57" i="52"/>
  <c r="BZ57" i="52" a="1"/>
  <c r="X58" i="52"/>
  <c r="Y58" i="52"/>
  <c r="AA58" i="52"/>
  <c r="AE58" i="52"/>
  <c r="AF58" i="52"/>
  <c r="AH58" i="52"/>
  <c r="BZ58" i="52" a="1"/>
  <c r="X59" i="52"/>
  <c r="Y59" i="52"/>
  <c r="AA59" i="52"/>
  <c r="AE59" i="52"/>
  <c r="AF59" i="52"/>
  <c r="AH59" i="52"/>
  <c r="BZ59" i="52" a="1"/>
  <c r="X60" i="52"/>
  <c r="Y60" i="52"/>
  <c r="AA60" i="52"/>
  <c r="AE60" i="52"/>
  <c r="AF60" i="52"/>
  <c r="AH60" i="52"/>
  <c r="BZ60" i="52" a="1"/>
  <c r="X61" i="52"/>
  <c r="Y61" i="52"/>
  <c r="AA61" i="52"/>
  <c r="AE61" i="52"/>
  <c r="AF61" i="52"/>
  <c r="AH61" i="52"/>
  <c r="BZ61" i="52" a="1"/>
  <c r="X62" i="52"/>
  <c r="Y62" i="52"/>
  <c r="AA62" i="52"/>
  <c r="AE62" i="52"/>
  <c r="AF62" i="52"/>
  <c r="AH62" i="52"/>
  <c r="BZ62" i="52" a="1"/>
  <c r="X63" i="52"/>
  <c r="Y63" i="52"/>
  <c r="AA63" i="52"/>
  <c r="AE63" i="52"/>
  <c r="AF63" i="52"/>
  <c r="AH63" i="52"/>
  <c r="BZ63" i="52" a="1"/>
  <c r="X64" i="52"/>
  <c r="Y64" i="52"/>
  <c r="AA64" i="52"/>
  <c r="AE64" i="52"/>
  <c r="AF64" i="52"/>
  <c r="AH64" i="52"/>
  <c r="BZ64" i="52" a="1"/>
  <c r="BZ32" i="52"/>
  <c r="BZ33" i="52"/>
  <c r="BZ34" i="52"/>
  <c r="BZ35" i="52"/>
  <c r="BZ36" i="52"/>
  <c r="BZ37" i="52"/>
  <c r="BZ38" i="52"/>
  <c r="BZ39" i="52"/>
  <c r="BZ40" i="52"/>
  <c r="BZ41" i="52"/>
  <c r="BZ42" i="52"/>
  <c r="BZ43" i="52"/>
  <c r="BZ44" i="52"/>
  <c r="BZ45" i="52"/>
  <c r="BZ46" i="52"/>
  <c r="BZ47" i="52"/>
  <c r="BZ48" i="52"/>
  <c r="BZ49" i="52"/>
  <c r="BZ50" i="52"/>
  <c r="BZ51" i="52"/>
  <c r="BZ52" i="52"/>
  <c r="BZ53" i="52"/>
  <c r="BZ54" i="52"/>
  <c r="BZ55" i="52"/>
  <c r="BZ56" i="52"/>
  <c r="BZ57" i="52"/>
  <c r="BZ58" i="52"/>
  <c r="BZ59" i="52"/>
  <c r="BZ60" i="52"/>
  <c r="BZ61" i="52"/>
  <c r="BZ62" i="52"/>
  <c r="BZ63" i="52"/>
  <c r="BZ64" i="52"/>
  <c r="BZ68" i="52"/>
  <c r="CL27" i="52"/>
  <c r="AB30" i="52"/>
  <c r="AI30" i="52"/>
  <c r="CL30" i="52" a="1"/>
  <c r="CL30" i="52"/>
  <c r="AB31" i="52"/>
  <c r="AI31" i="52"/>
  <c r="CL31" i="52" a="1"/>
  <c r="CL31" i="52"/>
  <c r="AB32" i="52"/>
  <c r="AI32" i="52"/>
  <c r="CL32" i="52" a="1"/>
  <c r="AB33" i="52"/>
  <c r="AI33" i="52"/>
  <c r="CL33" i="52" a="1"/>
  <c r="AB34" i="52"/>
  <c r="AI34" i="52"/>
  <c r="CL34" i="52" a="1"/>
  <c r="AB35" i="52"/>
  <c r="AI35" i="52"/>
  <c r="CL35" i="52" a="1"/>
  <c r="AB36" i="52"/>
  <c r="AI36" i="52"/>
  <c r="CL36" i="52" a="1"/>
  <c r="AB37" i="52"/>
  <c r="AI37" i="52"/>
  <c r="CL37" i="52" a="1"/>
  <c r="AB38" i="52"/>
  <c r="AI38" i="52"/>
  <c r="CL38" i="52" a="1"/>
  <c r="AB39" i="52"/>
  <c r="AI39" i="52"/>
  <c r="CL39" i="52" a="1"/>
  <c r="AB40" i="52"/>
  <c r="AI40" i="52"/>
  <c r="CL40" i="52" a="1"/>
  <c r="AB41" i="52"/>
  <c r="AI41" i="52"/>
  <c r="CL41" i="52" a="1"/>
  <c r="AB42" i="52"/>
  <c r="AI42" i="52"/>
  <c r="CL42" i="52" a="1"/>
  <c r="AB43" i="52"/>
  <c r="AI43" i="52"/>
  <c r="CL43" i="52" a="1"/>
  <c r="AB44" i="52"/>
  <c r="AI44" i="52"/>
  <c r="CL44" i="52" a="1"/>
  <c r="AB45" i="52"/>
  <c r="AI45" i="52"/>
  <c r="CL45" i="52" a="1"/>
  <c r="AB46" i="52"/>
  <c r="AI46" i="52"/>
  <c r="CL46" i="52" a="1"/>
  <c r="AB47" i="52"/>
  <c r="AI47" i="52"/>
  <c r="CL47" i="52" a="1"/>
  <c r="AB48" i="52"/>
  <c r="AI48" i="52"/>
  <c r="CL48" i="52" a="1"/>
  <c r="AB49" i="52"/>
  <c r="AI49" i="52"/>
  <c r="CL49" i="52" a="1"/>
  <c r="AB50" i="52"/>
  <c r="AI50" i="52"/>
  <c r="CL50" i="52" a="1"/>
  <c r="AB51" i="52"/>
  <c r="AI51" i="52"/>
  <c r="CL51" i="52" a="1"/>
  <c r="AB52" i="52"/>
  <c r="AI52" i="52"/>
  <c r="CL52" i="52" a="1"/>
  <c r="AB53" i="52"/>
  <c r="AI53" i="52"/>
  <c r="CL53" i="52" a="1"/>
  <c r="AB54" i="52"/>
  <c r="AI54" i="52"/>
  <c r="CL54" i="52" a="1"/>
  <c r="AB55" i="52"/>
  <c r="AI55" i="52"/>
  <c r="CL55" i="52" a="1"/>
  <c r="AB56" i="52"/>
  <c r="AI56" i="52"/>
  <c r="CL56" i="52" a="1"/>
  <c r="AB57" i="52"/>
  <c r="AI57" i="52"/>
  <c r="CL57" i="52" a="1"/>
  <c r="AB58" i="52"/>
  <c r="AI58" i="52"/>
  <c r="CL58" i="52" a="1"/>
  <c r="AB59" i="52"/>
  <c r="AI59" i="52"/>
  <c r="CL59" i="52" a="1"/>
  <c r="AB60" i="52"/>
  <c r="AI60" i="52"/>
  <c r="CL60" i="52" a="1"/>
  <c r="AB61" i="52"/>
  <c r="AI61" i="52"/>
  <c r="CL61" i="52" a="1"/>
  <c r="AB62" i="52"/>
  <c r="AI62" i="52"/>
  <c r="CL62" i="52" a="1"/>
  <c r="AB63" i="52"/>
  <c r="AI63" i="52"/>
  <c r="CL63" i="52" a="1"/>
  <c r="AB64" i="52"/>
  <c r="AI64" i="52"/>
  <c r="CL64" i="52" a="1"/>
  <c r="CL32" i="52"/>
  <c r="CL33" i="52"/>
  <c r="CL34" i="52"/>
  <c r="CL35" i="52"/>
  <c r="CL36" i="52"/>
  <c r="CL37" i="52"/>
  <c r="CL38" i="52"/>
  <c r="CL39" i="52"/>
  <c r="CL40" i="52"/>
  <c r="CL41" i="52"/>
  <c r="CL42" i="52"/>
  <c r="CL43" i="52"/>
  <c r="CL44" i="52"/>
  <c r="CL45" i="52"/>
  <c r="CL46" i="52"/>
  <c r="CL47" i="52"/>
  <c r="CL48" i="52"/>
  <c r="CL49" i="52"/>
  <c r="CL50" i="52"/>
  <c r="CL51" i="52"/>
  <c r="CL52" i="52"/>
  <c r="CL53" i="52"/>
  <c r="CL54" i="52"/>
  <c r="CL55" i="52"/>
  <c r="CL56" i="52"/>
  <c r="CL57" i="52"/>
  <c r="CL58" i="52"/>
  <c r="CL59" i="52"/>
  <c r="CL60" i="52"/>
  <c r="CL61" i="52"/>
  <c r="CL62" i="52"/>
  <c r="CL63" i="52"/>
  <c r="CL64" i="52"/>
  <c r="CL68" i="52"/>
  <c r="CZ27" i="52"/>
  <c r="AC30" i="52"/>
  <c r="AJ30" i="52"/>
  <c r="CZ30" i="52" a="1"/>
  <c r="CZ30" i="52"/>
  <c r="AC31" i="52"/>
  <c r="AJ31" i="52"/>
  <c r="CZ31" i="52" a="1"/>
  <c r="CZ31" i="52"/>
  <c r="AC32" i="52"/>
  <c r="AJ32" i="52"/>
  <c r="CZ32" i="52" a="1"/>
  <c r="AC33" i="52"/>
  <c r="AJ33" i="52"/>
  <c r="CZ33" i="52" a="1"/>
  <c r="AC34" i="52"/>
  <c r="AJ34" i="52"/>
  <c r="CZ34" i="52" a="1"/>
  <c r="AC35" i="52"/>
  <c r="AJ35" i="52"/>
  <c r="CZ35" i="52" a="1"/>
  <c r="AC36" i="52"/>
  <c r="AJ36" i="52"/>
  <c r="CZ36" i="52" a="1"/>
  <c r="AC37" i="52"/>
  <c r="AJ37" i="52"/>
  <c r="CZ37" i="52" a="1"/>
  <c r="AC38" i="52"/>
  <c r="AJ38" i="52"/>
  <c r="CZ38" i="52" a="1"/>
  <c r="AC39" i="52"/>
  <c r="AJ39" i="52"/>
  <c r="CZ39" i="52" a="1"/>
  <c r="AC40" i="52"/>
  <c r="AJ40" i="52"/>
  <c r="CZ40" i="52" a="1"/>
  <c r="AC41" i="52"/>
  <c r="AJ41" i="52"/>
  <c r="CZ41" i="52" a="1"/>
  <c r="AC42" i="52"/>
  <c r="AJ42" i="52"/>
  <c r="CZ42" i="52" a="1"/>
  <c r="AC43" i="52"/>
  <c r="AJ43" i="52"/>
  <c r="CZ43" i="52" a="1"/>
  <c r="AC44" i="52"/>
  <c r="AJ44" i="52"/>
  <c r="CZ44" i="52" a="1"/>
  <c r="AC45" i="52"/>
  <c r="AJ45" i="52"/>
  <c r="CZ45" i="52" a="1"/>
  <c r="AC46" i="52"/>
  <c r="AJ46" i="52"/>
  <c r="CZ46" i="52" a="1"/>
  <c r="AC47" i="52"/>
  <c r="AJ47" i="52"/>
  <c r="CZ47" i="52" a="1"/>
  <c r="AC48" i="52"/>
  <c r="AJ48" i="52"/>
  <c r="CZ48" i="52" a="1"/>
  <c r="AC49" i="52"/>
  <c r="AJ49" i="52"/>
  <c r="CZ49" i="52" a="1"/>
  <c r="AC50" i="52"/>
  <c r="AJ50" i="52"/>
  <c r="CZ50" i="52" a="1"/>
  <c r="AC51" i="52"/>
  <c r="AJ51" i="52"/>
  <c r="CZ51" i="52" a="1"/>
  <c r="AC52" i="52"/>
  <c r="AJ52" i="52"/>
  <c r="CZ52" i="52" a="1"/>
  <c r="AC53" i="52"/>
  <c r="AJ53" i="52"/>
  <c r="CZ53" i="52" a="1"/>
  <c r="AC54" i="52"/>
  <c r="AJ54" i="52"/>
  <c r="CZ54" i="52" a="1"/>
  <c r="AC55" i="52"/>
  <c r="AJ55" i="52"/>
  <c r="CZ55" i="52" a="1"/>
  <c r="AC56" i="52"/>
  <c r="AJ56" i="52"/>
  <c r="CZ56" i="52" a="1"/>
  <c r="AC57" i="52"/>
  <c r="AJ57" i="52"/>
  <c r="CZ57" i="52" a="1"/>
  <c r="AC58" i="52"/>
  <c r="AJ58" i="52"/>
  <c r="CZ58" i="52" a="1"/>
  <c r="AC59" i="52"/>
  <c r="AJ59" i="52"/>
  <c r="CZ59" i="52" a="1"/>
  <c r="AC60" i="52"/>
  <c r="AJ60" i="52"/>
  <c r="CZ60" i="52" a="1"/>
  <c r="AC61" i="52"/>
  <c r="AJ61" i="52"/>
  <c r="CZ61" i="52" a="1"/>
  <c r="AC62" i="52"/>
  <c r="AJ62" i="52"/>
  <c r="CZ62" i="52" a="1"/>
  <c r="AC63" i="52"/>
  <c r="AJ63" i="52"/>
  <c r="CZ63" i="52" a="1"/>
  <c r="AC64" i="52"/>
  <c r="AJ64" i="52"/>
  <c r="CZ64" i="52" a="1"/>
  <c r="CZ32" i="52"/>
  <c r="CZ33" i="52"/>
  <c r="CZ34" i="52"/>
  <c r="CZ35" i="52"/>
  <c r="CZ36" i="52"/>
  <c r="CZ37" i="52"/>
  <c r="CZ38" i="52"/>
  <c r="CZ39" i="52"/>
  <c r="CZ40" i="52"/>
  <c r="CZ41" i="52"/>
  <c r="CZ42" i="52"/>
  <c r="CZ43" i="52"/>
  <c r="CZ44" i="52"/>
  <c r="CZ45" i="52"/>
  <c r="CZ46" i="52"/>
  <c r="CZ47" i="52"/>
  <c r="CZ48" i="52"/>
  <c r="CZ49" i="52"/>
  <c r="CZ50" i="52"/>
  <c r="CZ51" i="52"/>
  <c r="CZ52" i="52"/>
  <c r="CZ53" i="52"/>
  <c r="CZ54" i="52"/>
  <c r="CZ55" i="52"/>
  <c r="CZ56" i="52"/>
  <c r="CZ57" i="52"/>
  <c r="CZ58" i="52"/>
  <c r="CZ59" i="52"/>
  <c r="CZ60" i="52"/>
  <c r="CZ61" i="52"/>
  <c r="CZ62" i="52"/>
  <c r="CZ63" i="52"/>
  <c r="CZ64" i="52"/>
  <c r="CZ68" i="52"/>
  <c r="DN27" i="52"/>
  <c r="AD30" i="52"/>
  <c r="AK30" i="52"/>
  <c r="DN30" i="52" a="1"/>
  <c r="DN30" i="52"/>
  <c r="AD31" i="52"/>
  <c r="AK31" i="52"/>
  <c r="DN31" i="52" a="1"/>
  <c r="DN31" i="52"/>
  <c r="AD32" i="52"/>
  <c r="AK32" i="52"/>
  <c r="DN32" i="52" a="1"/>
  <c r="AD33" i="52"/>
  <c r="AK33" i="52"/>
  <c r="DN33" i="52" a="1"/>
  <c r="AD34" i="52"/>
  <c r="AK34" i="52"/>
  <c r="DN34" i="52" a="1"/>
  <c r="AD35" i="52"/>
  <c r="AK35" i="52"/>
  <c r="DN35" i="52" a="1"/>
  <c r="AD36" i="52"/>
  <c r="AK36" i="52"/>
  <c r="DN36" i="52" a="1"/>
  <c r="AD37" i="52"/>
  <c r="AK37" i="52"/>
  <c r="DN37" i="52" a="1"/>
  <c r="AD38" i="52"/>
  <c r="AK38" i="52"/>
  <c r="DN38" i="52" a="1"/>
  <c r="AD39" i="52"/>
  <c r="AK39" i="52"/>
  <c r="DN39" i="52" a="1"/>
  <c r="AD40" i="52"/>
  <c r="AK40" i="52"/>
  <c r="DN40" i="52" a="1"/>
  <c r="AD41" i="52"/>
  <c r="AK41" i="52"/>
  <c r="DN41" i="52" a="1"/>
  <c r="AD42" i="52"/>
  <c r="AK42" i="52"/>
  <c r="DN42" i="52" a="1"/>
  <c r="AD43" i="52"/>
  <c r="AK43" i="52"/>
  <c r="DN43" i="52" a="1"/>
  <c r="AD44" i="52"/>
  <c r="AK44" i="52"/>
  <c r="DN44" i="52" a="1"/>
  <c r="AD45" i="52"/>
  <c r="AK45" i="52"/>
  <c r="DN45" i="52" a="1"/>
  <c r="AD46" i="52"/>
  <c r="AK46" i="52"/>
  <c r="DN46" i="52" a="1"/>
  <c r="AD47" i="52"/>
  <c r="AK47" i="52"/>
  <c r="DN47" i="52" a="1"/>
  <c r="AD48" i="52"/>
  <c r="AK48" i="52"/>
  <c r="DN48" i="52" a="1"/>
  <c r="AD49" i="52"/>
  <c r="AK49" i="52"/>
  <c r="DN49" i="52" a="1"/>
  <c r="AD50" i="52"/>
  <c r="AK50" i="52"/>
  <c r="DN50" i="52" a="1"/>
  <c r="AD51" i="52"/>
  <c r="AK51" i="52"/>
  <c r="DN51" i="52" a="1"/>
  <c r="AD52" i="52"/>
  <c r="AK52" i="52"/>
  <c r="DN52" i="52" a="1"/>
  <c r="AD53" i="52"/>
  <c r="AK53" i="52"/>
  <c r="DN53" i="52" a="1"/>
  <c r="AD54" i="52"/>
  <c r="AK54" i="52"/>
  <c r="DN54" i="52" a="1"/>
  <c r="AD55" i="52"/>
  <c r="AK55" i="52"/>
  <c r="DN55" i="52" a="1"/>
  <c r="AD56" i="52"/>
  <c r="AK56" i="52"/>
  <c r="DN56" i="52" a="1"/>
  <c r="AD57" i="52"/>
  <c r="AK57" i="52"/>
  <c r="DN57" i="52" a="1"/>
  <c r="AD58" i="52"/>
  <c r="AK58" i="52"/>
  <c r="DN58" i="52" a="1"/>
  <c r="AD59" i="52"/>
  <c r="AK59" i="52"/>
  <c r="DN59" i="52" a="1"/>
  <c r="AD60" i="52"/>
  <c r="AK60" i="52"/>
  <c r="DN60" i="52" a="1"/>
  <c r="AD61" i="52"/>
  <c r="AK61" i="52"/>
  <c r="DN61" i="52" a="1"/>
  <c r="AD62" i="52"/>
  <c r="AK62" i="52"/>
  <c r="DN62" i="52" a="1"/>
  <c r="AD63" i="52"/>
  <c r="AK63" i="52"/>
  <c r="DN63" i="52" a="1"/>
  <c r="AD64" i="52"/>
  <c r="AK64" i="52"/>
  <c r="DN64" i="52" a="1"/>
  <c r="DN32" i="52"/>
  <c r="DN33" i="52"/>
  <c r="DN34" i="52"/>
  <c r="DN35" i="52"/>
  <c r="DN36" i="52"/>
  <c r="DN37" i="52"/>
  <c r="DN38" i="52"/>
  <c r="DN39" i="52"/>
  <c r="DN40" i="52"/>
  <c r="DN41" i="52"/>
  <c r="DN42" i="52"/>
  <c r="DN43" i="52"/>
  <c r="DN44" i="52"/>
  <c r="DN45" i="52"/>
  <c r="DN46" i="52"/>
  <c r="DN47" i="52"/>
  <c r="DN48" i="52"/>
  <c r="DN49" i="52"/>
  <c r="DN50" i="52"/>
  <c r="DN51" i="52"/>
  <c r="DN52" i="52"/>
  <c r="DN53" i="52"/>
  <c r="DN54" i="52"/>
  <c r="DN55" i="52"/>
  <c r="DN56" i="52"/>
  <c r="DN57" i="52"/>
  <c r="DN58" i="52"/>
  <c r="DN59" i="52"/>
  <c r="DN60" i="52"/>
  <c r="DN61" i="52"/>
  <c r="DN62" i="52"/>
  <c r="DN63" i="52"/>
  <c r="DN64" i="52"/>
  <c r="DN68" i="52"/>
  <c r="BZ71" i="52"/>
  <c r="BY27" i="52"/>
  <c r="BY30" i="52" a="1"/>
  <c r="BY30" i="52"/>
  <c r="BY31" i="52" a="1"/>
  <c r="BY31" i="52"/>
  <c r="BY32" i="52" a="1"/>
  <c r="BY33" i="52" a="1"/>
  <c r="BY34" i="52" a="1"/>
  <c r="BY35" i="52" a="1"/>
  <c r="BY36" i="52" a="1"/>
  <c r="BY37" i="52" a="1"/>
  <c r="BY38" i="52" a="1"/>
  <c r="BY39" i="52" a="1"/>
  <c r="BY40" i="52" a="1"/>
  <c r="BY41" i="52" a="1"/>
  <c r="BY42" i="52" a="1"/>
  <c r="BY43" i="52" a="1"/>
  <c r="BY44" i="52" a="1"/>
  <c r="BY45" i="52" a="1"/>
  <c r="BY46" i="52" a="1"/>
  <c r="BY47" i="52" a="1"/>
  <c r="BY48" i="52" a="1"/>
  <c r="BY49" i="52" a="1"/>
  <c r="BY50" i="52" a="1"/>
  <c r="BY51" i="52" a="1"/>
  <c r="BY52" i="52" a="1"/>
  <c r="BY53" i="52" a="1"/>
  <c r="BY54" i="52" a="1"/>
  <c r="BY55" i="52" a="1"/>
  <c r="BY56" i="52" a="1"/>
  <c r="BY57" i="52" a="1"/>
  <c r="BY58" i="52" a="1"/>
  <c r="BY59" i="52" a="1"/>
  <c r="BY60" i="52" a="1"/>
  <c r="BY61" i="52" a="1"/>
  <c r="BY62" i="52" a="1"/>
  <c r="BY63" i="52" a="1"/>
  <c r="BY64" i="52" a="1"/>
  <c r="BY32" i="52"/>
  <c r="BY33" i="52"/>
  <c r="BY34" i="52"/>
  <c r="BY35" i="52"/>
  <c r="BY36" i="52"/>
  <c r="BY37" i="52"/>
  <c r="BY38" i="52"/>
  <c r="BY39" i="52"/>
  <c r="BY40" i="52"/>
  <c r="BY41" i="52"/>
  <c r="BY42" i="52"/>
  <c r="BY43" i="52"/>
  <c r="BY44" i="52"/>
  <c r="BY45" i="52"/>
  <c r="BY46" i="52"/>
  <c r="BY47" i="52"/>
  <c r="BY48" i="52"/>
  <c r="BY49" i="52"/>
  <c r="BY50" i="52"/>
  <c r="BY51" i="52"/>
  <c r="BY52" i="52"/>
  <c r="BY53" i="52"/>
  <c r="BY54" i="52"/>
  <c r="BY55" i="52"/>
  <c r="BY56" i="52"/>
  <c r="BY57" i="52"/>
  <c r="BY58" i="52"/>
  <c r="BY59" i="52"/>
  <c r="BY60" i="52"/>
  <c r="BY61" i="52"/>
  <c r="BY62" i="52"/>
  <c r="BY63" i="52"/>
  <c r="BY64" i="52"/>
  <c r="BY68" i="52"/>
  <c r="CM27" i="52"/>
  <c r="CM30" i="52" a="1"/>
  <c r="CM30" i="52"/>
  <c r="CM31" i="52" a="1"/>
  <c r="CM31" i="52"/>
  <c r="CM32" i="52" a="1"/>
  <c r="CM33" i="52" a="1"/>
  <c r="CM34" i="52" a="1"/>
  <c r="CM35" i="52" a="1"/>
  <c r="CM36" i="52" a="1"/>
  <c r="CM37" i="52" a="1"/>
  <c r="CM38" i="52" a="1"/>
  <c r="CM39" i="52" a="1"/>
  <c r="CM40" i="52" a="1"/>
  <c r="CM41" i="52" a="1"/>
  <c r="CM42" i="52" a="1"/>
  <c r="CM43" i="52" a="1"/>
  <c r="CM44" i="52" a="1"/>
  <c r="CM45" i="52" a="1"/>
  <c r="CM46" i="52" a="1"/>
  <c r="CM47" i="52" a="1"/>
  <c r="CM48" i="52" a="1"/>
  <c r="CM49" i="52" a="1"/>
  <c r="CM50" i="52" a="1"/>
  <c r="CM51" i="52" a="1"/>
  <c r="CM52" i="52" a="1"/>
  <c r="CM53" i="52" a="1"/>
  <c r="CM54" i="52" a="1"/>
  <c r="CM55" i="52" a="1"/>
  <c r="CM56" i="52" a="1"/>
  <c r="CM57" i="52" a="1"/>
  <c r="CM58" i="52" a="1"/>
  <c r="CM59" i="52" a="1"/>
  <c r="CM60" i="52" a="1"/>
  <c r="CM61" i="52" a="1"/>
  <c r="CM62" i="52" a="1"/>
  <c r="CM63" i="52" a="1"/>
  <c r="CM64" i="52" a="1"/>
  <c r="CM32" i="52"/>
  <c r="CM33" i="52"/>
  <c r="CM34" i="52"/>
  <c r="CM35" i="52"/>
  <c r="CM36" i="52"/>
  <c r="CM37" i="52"/>
  <c r="CM38" i="52"/>
  <c r="CM39" i="52"/>
  <c r="CM40" i="52"/>
  <c r="CM41" i="52"/>
  <c r="CM42" i="52"/>
  <c r="CM43" i="52"/>
  <c r="CM44" i="52"/>
  <c r="CM45" i="52"/>
  <c r="CM46" i="52"/>
  <c r="CM47" i="52"/>
  <c r="CM48" i="52"/>
  <c r="CM49" i="52"/>
  <c r="CM50" i="52"/>
  <c r="CM51" i="52"/>
  <c r="CM52" i="52"/>
  <c r="CM53" i="52"/>
  <c r="CM54" i="52"/>
  <c r="CM55" i="52"/>
  <c r="CM56" i="52"/>
  <c r="CM57" i="52"/>
  <c r="CM58" i="52"/>
  <c r="CM59" i="52"/>
  <c r="CM60" i="52"/>
  <c r="CM61" i="52"/>
  <c r="CM62" i="52"/>
  <c r="CM63" i="52"/>
  <c r="CM64" i="52"/>
  <c r="CM68" i="52"/>
  <c r="CY30" i="52" a="1"/>
  <c r="CY30" i="52"/>
  <c r="CY31" i="52" a="1"/>
  <c r="CY31" i="52"/>
  <c r="CY32" i="52" a="1"/>
  <c r="CY33" i="52" a="1"/>
  <c r="CY34" i="52" a="1"/>
  <c r="CY35" i="52" a="1"/>
  <c r="CY36" i="52" a="1"/>
  <c r="CY37" i="52" a="1"/>
  <c r="CY38" i="52" a="1"/>
  <c r="CY39" i="52" a="1"/>
  <c r="CY40" i="52" a="1"/>
  <c r="CY41" i="52" a="1"/>
  <c r="CY42" i="52" a="1"/>
  <c r="CY43" i="52" a="1"/>
  <c r="CY44" i="52" a="1"/>
  <c r="CY45" i="52" a="1"/>
  <c r="CY46" i="52" a="1"/>
  <c r="CY47" i="52" a="1"/>
  <c r="CY48" i="52" a="1"/>
  <c r="CY49" i="52" a="1"/>
  <c r="CY50" i="52" a="1"/>
  <c r="CY51" i="52" a="1"/>
  <c r="CY52" i="52" a="1"/>
  <c r="CY53" i="52" a="1"/>
  <c r="CY54" i="52" a="1"/>
  <c r="CY55" i="52" a="1"/>
  <c r="CY56" i="52" a="1"/>
  <c r="CY57" i="52" a="1"/>
  <c r="CY58" i="52" a="1"/>
  <c r="CY59" i="52" a="1"/>
  <c r="CY60" i="52" a="1"/>
  <c r="CY61" i="52" a="1"/>
  <c r="CY62" i="52" a="1"/>
  <c r="CY63" i="52" a="1"/>
  <c r="CY64" i="52" a="1"/>
  <c r="CY32" i="52"/>
  <c r="CY33" i="52"/>
  <c r="CY34" i="52"/>
  <c r="CY35" i="52"/>
  <c r="CY36" i="52"/>
  <c r="CY37" i="52"/>
  <c r="CY38" i="52"/>
  <c r="CY39" i="52"/>
  <c r="CY40" i="52"/>
  <c r="CY41" i="52"/>
  <c r="CY42" i="52"/>
  <c r="CY43" i="52"/>
  <c r="CY44" i="52"/>
  <c r="CY45" i="52"/>
  <c r="CY46" i="52"/>
  <c r="CY47" i="52"/>
  <c r="CY48" i="52"/>
  <c r="CY49" i="52"/>
  <c r="CY50" i="52"/>
  <c r="CY51" i="52"/>
  <c r="CY52" i="52"/>
  <c r="CY53" i="52"/>
  <c r="CY54" i="52"/>
  <c r="CY55" i="52"/>
  <c r="CY56" i="52"/>
  <c r="CY57" i="52"/>
  <c r="CY58" i="52"/>
  <c r="CY59" i="52"/>
  <c r="CY60" i="52"/>
  <c r="CY61" i="52"/>
  <c r="CY62" i="52"/>
  <c r="CY63" i="52"/>
  <c r="CY64" i="52"/>
  <c r="CY68" i="52"/>
  <c r="DM30" i="52" a="1"/>
  <c r="DM30" i="52"/>
  <c r="DM31" i="52" a="1"/>
  <c r="DM31" i="52"/>
  <c r="DM32" i="52" a="1"/>
  <c r="DM33" i="52" a="1"/>
  <c r="DM34" i="52" a="1"/>
  <c r="DM35" i="52" a="1"/>
  <c r="DM36" i="52" a="1"/>
  <c r="DM37" i="52" a="1"/>
  <c r="DM38" i="52" a="1"/>
  <c r="DM39" i="52" a="1"/>
  <c r="DM40" i="52" a="1"/>
  <c r="DM41" i="52" a="1"/>
  <c r="DM42" i="52" a="1"/>
  <c r="DM43" i="52" a="1"/>
  <c r="DM44" i="52" a="1"/>
  <c r="DM45" i="52" a="1"/>
  <c r="DM46" i="52" a="1"/>
  <c r="DM47" i="52" a="1"/>
  <c r="DM48" i="52" a="1"/>
  <c r="DM49" i="52" a="1"/>
  <c r="DM50" i="52" a="1"/>
  <c r="DM51" i="52" a="1"/>
  <c r="DM52" i="52" a="1"/>
  <c r="DM53" i="52" a="1"/>
  <c r="DM54" i="52" a="1"/>
  <c r="DM55" i="52" a="1"/>
  <c r="DM56" i="52" a="1"/>
  <c r="DM57" i="52" a="1"/>
  <c r="DM58" i="52" a="1"/>
  <c r="DM59" i="52" a="1"/>
  <c r="DM60" i="52" a="1"/>
  <c r="DM61" i="52" a="1"/>
  <c r="DM62" i="52" a="1"/>
  <c r="DM63" i="52" a="1"/>
  <c r="DM64" i="52" a="1"/>
  <c r="DM32" i="52"/>
  <c r="DM33" i="52"/>
  <c r="DM34" i="52"/>
  <c r="DM35" i="52"/>
  <c r="DM36" i="52"/>
  <c r="DM37" i="52"/>
  <c r="DM38" i="52"/>
  <c r="DM39" i="52"/>
  <c r="DM40" i="52"/>
  <c r="DM41" i="52"/>
  <c r="DM42" i="52"/>
  <c r="DM43" i="52"/>
  <c r="DM44" i="52"/>
  <c r="DM45" i="52"/>
  <c r="DM46" i="52"/>
  <c r="DM47" i="52"/>
  <c r="DM48" i="52"/>
  <c r="DM49" i="52"/>
  <c r="DM50" i="52"/>
  <c r="DM51" i="52"/>
  <c r="DM52" i="52"/>
  <c r="DM53" i="52"/>
  <c r="DM54" i="52"/>
  <c r="DM55" i="52"/>
  <c r="DM56" i="52"/>
  <c r="DM57" i="52"/>
  <c r="DM58" i="52"/>
  <c r="DM59" i="52"/>
  <c r="DM60" i="52"/>
  <c r="DM61" i="52"/>
  <c r="DM62" i="52"/>
  <c r="DM63" i="52"/>
  <c r="DM64" i="52"/>
  <c r="DM68" i="52"/>
  <c r="BY71" i="52"/>
  <c r="BX27" i="52"/>
  <c r="BX30" i="52" a="1"/>
  <c r="BX30" i="52"/>
  <c r="BX31" i="52" a="1"/>
  <c r="BX31" i="52"/>
  <c r="BX32" i="52" a="1"/>
  <c r="BX33" i="52" a="1"/>
  <c r="BX34" i="52" a="1"/>
  <c r="BX35" i="52" a="1"/>
  <c r="BX36" i="52" a="1"/>
  <c r="BX37" i="52" a="1"/>
  <c r="BX38" i="52" a="1"/>
  <c r="BX39" i="52" a="1"/>
  <c r="BX40" i="52" a="1"/>
  <c r="BX41" i="52" a="1"/>
  <c r="BX42" i="52" a="1"/>
  <c r="BX43" i="52" a="1"/>
  <c r="BX44" i="52" a="1"/>
  <c r="BX45" i="52" a="1"/>
  <c r="BX46" i="52" a="1"/>
  <c r="BX47" i="52" a="1"/>
  <c r="BX48" i="52" a="1"/>
  <c r="BX49" i="52" a="1"/>
  <c r="BX50" i="52" a="1"/>
  <c r="BX51" i="52" a="1"/>
  <c r="BX52" i="52" a="1"/>
  <c r="BX53" i="52" a="1"/>
  <c r="BX54" i="52" a="1"/>
  <c r="BX55" i="52" a="1"/>
  <c r="BX56" i="52" a="1"/>
  <c r="BX57" i="52" a="1"/>
  <c r="BX58" i="52" a="1"/>
  <c r="BX59" i="52" a="1"/>
  <c r="BX60" i="52" a="1"/>
  <c r="BX61" i="52" a="1"/>
  <c r="BX62" i="52" a="1"/>
  <c r="BX63" i="52" a="1"/>
  <c r="BX64" i="52" a="1"/>
  <c r="BX32" i="52"/>
  <c r="BX33" i="52"/>
  <c r="BX34" i="52"/>
  <c r="BX35" i="52"/>
  <c r="BX36" i="52"/>
  <c r="BX37" i="52"/>
  <c r="BX38" i="52"/>
  <c r="BX39" i="52"/>
  <c r="BX40" i="52"/>
  <c r="BX41" i="52"/>
  <c r="BX42" i="52"/>
  <c r="BX43" i="52"/>
  <c r="BX44" i="52"/>
  <c r="BX45" i="52"/>
  <c r="BX46" i="52"/>
  <c r="BX47" i="52"/>
  <c r="BX48" i="52"/>
  <c r="BX49" i="52"/>
  <c r="BX50" i="52"/>
  <c r="BX51" i="52"/>
  <c r="BX52" i="52"/>
  <c r="BX53" i="52"/>
  <c r="BX54" i="52"/>
  <c r="BX55" i="52"/>
  <c r="BX56" i="52"/>
  <c r="BX57" i="52"/>
  <c r="BX58" i="52"/>
  <c r="BX59" i="52"/>
  <c r="BX60" i="52"/>
  <c r="BX61" i="52"/>
  <c r="BX62" i="52"/>
  <c r="BX63" i="52"/>
  <c r="BX64" i="52"/>
  <c r="BX68" i="52"/>
  <c r="CX30" i="52" a="1"/>
  <c r="CX30" i="52"/>
  <c r="CX31" i="52" a="1"/>
  <c r="CX31" i="52"/>
  <c r="CX32" i="52" a="1"/>
  <c r="CX33" i="52" a="1"/>
  <c r="CX34" i="52" a="1"/>
  <c r="CX35" i="52" a="1"/>
  <c r="CX36" i="52" a="1"/>
  <c r="CX37" i="52" a="1"/>
  <c r="CX38" i="52" a="1"/>
  <c r="CX39" i="52" a="1"/>
  <c r="CX40" i="52" a="1"/>
  <c r="CX41" i="52" a="1"/>
  <c r="CX42" i="52" a="1"/>
  <c r="CX43" i="52" a="1"/>
  <c r="CX44" i="52" a="1"/>
  <c r="CX45" i="52" a="1"/>
  <c r="CX46" i="52" a="1"/>
  <c r="CX47" i="52" a="1"/>
  <c r="CX48" i="52" a="1"/>
  <c r="CX49" i="52" a="1"/>
  <c r="CX50" i="52" a="1"/>
  <c r="CX51" i="52" a="1"/>
  <c r="CX52" i="52" a="1"/>
  <c r="CX53" i="52" a="1"/>
  <c r="CX54" i="52" a="1"/>
  <c r="CX55" i="52" a="1"/>
  <c r="CX56" i="52" a="1"/>
  <c r="CX57" i="52" a="1"/>
  <c r="CX58" i="52" a="1"/>
  <c r="CX59" i="52" a="1"/>
  <c r="CX60" i="52" a="1"/>
  <c r="CX61" i="52" a="1"/>
  <c r="CX62" i="52" a="1"/>
  <c r="CX63" i="52" a="1"/>
  <c r="CX64" i="52" a="1"/>
  <c r="CX32" i="52"/>
  <c r="CX33" i="52"/>
  <c r="CX34" i="52"/>
  <c r="CX35" i="52"/>
  <c r="CX36" i="52"/>
  <c r="CX37" i="52"/>
  <c r="CX38" i="52"/>
  <c r="CX39" i="52"/>
  <c r="CX40" i="52"/>
  <c r="CX41" i="52"/>
  <c r="CX42" i="52"/>
  <c r="CX43" i="52"/>
  <c r="CX44" i="52"/>
  <c r="CX45" i="52"/>
  <c r="CX46" i="52"/>
  <c r="CX47" i="52"/>
  <c r="CX48" i="52"/>
  <c r="CX49" i="52"/>
  <c r="CX50" i="52"/>
  <c r="CX51" i="52"/>
  <c r="CX52" i="52"/>
  <c r="CX53" i="52"/>
  <c r="CX54" i="52"/>
  <c r="CX55" i="52"/>
  <c r="CX56" i="52"/>
  <c r="CX57" i="52"/>
  <c r="CX58" i="52"/>
  <c r="CX59" i="52"/>
  <c r="CX60" i="52"/>
  <c r="CX61" i="52"/>
  <c r="CX62" i="52"/>
  <c r="CX63" i="52"/>
  <c r="CX64" i="52"/>
  <c r="CX68" i="52"/>
  <c r="DL30" i="52" a="1"/>
  <c r="DL30" i="52"/>
  <c r="DL31" i="52" a="1"/>
  <c r="DL31" i="52"/>
  <c r="DL32" i="52" a="1"/>
  <c r="DL33" i="52" a="1"/>
  <c r="DL34" i="52" a="1"/>
  <c r="DL35" i="52" a="1"/>
  <c r="DL36" i="52" a="1"/>
  <c r="DL37" i="52" a="1"/>
  <c r="DL38" i="52" a="1"/>
  <c r="DL39" i="52" a="1"/>
  <c r="DL40" i="52" a="1"/>
  <c r="DL41" i="52" a="1"/>
  <c r="DL42" i="52" a="1"/>
  <c r="DL43" i="52" a="1"/>
  <c r="DL44" i="52" a="1"/>
  <c r="DL45" i="52" a="1"/>
  <c r="DL46" i="52" a="1"/>
  <c r="DL47" i="52" a="1"/>
  <c r="DL48" i="52" a="1"/>
  <c r="DL49" i="52" a="1"/>
  <c r="DL50" i="52" a="1"/>
  <c r="DL51" i="52" a="1"/>
  <c r="DL52" i="52" a="1"/>
  <c r="DL53" i="52" a="1"/>
  <c r="DL54" i="52" a="1"/>
  <c r="DL55" i="52" a="1"/>
  <c r="DL56" i="52" a="1"/>
  <c r="DL57" i="52" a="1"/>
  <c r="DL58" i="52" a="1"/>
  <c r="DL59" i="52" a="1"/>
  <c r="DL60" i="52" a="1"/>
  <c r="DL61" i="52" a="1"/>
  <c r="DL62" i="52" a="1"/>
  <c r="DL63" i="52" a="1"/>
  <c r="DL64" i="52" a="1"/>
  <c r="DL32" i="52"/>
  <c r="DL33" i="52"/>
  <c r="DL34" i="52"/>
  <c r="DL35" i="52"/>
  <c r="DL36" i="52"/>
  <c r="DL37" i="52"/>
  <c r="DL38" i="52"/>
  <c r="DL39" i="52"/>
  <c r="DL40" i="52"/>
  <c r="DL41" i="52"/>
  <c r="DL42" i="52"/>
  <c r="DL43" i="52"/>
  <c r="DL44" i="52"/>
  <c r="DL45" i="52"/>
  <c r="DL46" i="52"/>
  <c r="DL47" i="52"/>
  <c r="DL48" i="52"/>
  <c r="DL49" i="52"/>
  <c r="DL50" i="52"/>
  <c r="DL51" i="52"/>
  <c r="DL52" i="52"/>
  <c r="DL53" i="52"/>
  <c r="DL54" i="52"/>
  <c r="DL55" i="52"/>
  <c r="DL56" i="52"/>
  <c r="DL57" i="52"/>
  <c r="DL58" i="52"/>
  <c r="DL59" i="52"/>
  <c r="DL60" i="52"/>
  <c r="DL61" i="52"/>
  <c r="DL62" i="52"/>
  <c r="DL63" i="52"/>
  <c r="DL64" i="52"/>
  <c r="DL68" i="52"/>
  <c r="BX71" i="52"/>
  <c r="BW27" i="52"/>
  <c r="BW30" i="52" a="1"/>
  <c r="BW30" i="52"/>
  <c r="BW31" i="52" a="1"/>
  <c r="BW31" i="52"/>
  <c r="BW32" i="52" a="1"/>
  <c r="BW33" i="52" a="1"/>
  <c r="BW34" i="52" a="1"/>
  <c r="BW35" i="52" a="1"/>
  <c r="BW36" i="52" a="1"/>
  <c r="BW37" i="52" a="1"/>
  <c r="BW38" i="52" a="1"/>
  <c r="BW39" i="52" a="1"/>
  <c r="BW40" i="52" a="1"/>
  <c r="BW41" i="52" a="1"/>
  <c r="BW42" i="52" a="1"/>
  <c r="BW43" i="52" a="1"/>
  <c r="BW44" i="52" a="1"/>
  <c r="BW45" i="52" a="1"/>
  <c r="BW46" i="52" a="1"/>
  <c r="BW47" i="52" a="1"/>
  <c r="BW48" i="52" a="1"/>
  <c r="BW49" i="52" a="1"/>
  <c r="BW50" i="52" a="1"/>
  <c r="BW51" i="52" a="1"/>
  <c r="BW52" i="52" a="1"/>
  <c r="BW53" i="52" a="1"/>
  <c r="BW54" i="52" a="1"/>
  <c r="BW55" i="52" a="1"/>
  <c r="BW56" i="52" a="1"/>
  <c r="BW57" i="52" a="1"/>
  <c r="BW58" i="52" a="1"/>
  <c r="BW59" i="52" a="1"/>
  <c r="BW60" i="52" a="1"/>
  <c r="BW61" i="52" a="1"/>
  <c r="BW62" i="52" a="1"/>
  <c r="BW63" i="52" a="1"/>
  <c r="BW64" i="52" a="1"/>
  <c r="BW32" i="52"/>
  <c r="BW33" i="52"/>
  <c r="BW34" i="52"/>
  <c r="BW35" i="52"/>
  <c r="BW36" i="52"/>
  <c r="BW37" i="52"/>
  <c r="BW38" i="52"/>
  <c r="BW39" i="52"/>
  <c r="BW40" i="52"/>
  <c r="BW41" i="52"/>
  <c r="BW42" i="52"/>
  <c r="BW43" i="52"/>
  <c r="BW44" i="52"/>
  <c r="BW45" i="52"/>
  <c r="BW46" i="52"/>
  <c r="BW47" i="52"/>
  <c r="BW48" i="52"/>
  <c r="BW49" i="52"/>
  <c r="BW50" i="52"/>
  <c r="BW51" i="52"/>
  <c r="BW52" i="52"/>
  <c r="BW53" i="52"/>
  <c r="BW54" i="52"/>
  <c r="BW55" i="52"/>
  <c r="BW56" i="52"/>
  <c r="BW57" i="52"/>
  <c r="BW58" i="52"/>
  <c r="BW59" i="52"/>
  <c r="BW60" i="52"/>
  <c r="BW61" i="52"/>
  <c r="BW62" i="52"/>
  <c r="BW63" i="52"/>
  <c r="BW64" i="52"/>
  <c r="BW68" i="52"/>
  <c r="CK27" i="52"/>
  <c r="CK30" i="52" a="1"/>
  <c r="CK30" i="52"/>
  <c r="CK31" i="52" a="1"/>
  <c r="CK31" i="52"/>
  <c r="CK32" i="52" a="1"/>
  <c r="CK33" i="52" a="1"/>
  <c r="CK34" i="52" a="1"/>
  <c r="CK35" i="52" a="1"/>
  <c r="CK36" i="52" a="1"/>
  <c r="CK37" i="52" a="1"/>
  <c r="CK38" i="52" a="1"/>
  <c r="CK39" i="52" a="1"/>
  <c r="CK40" i="52" a="1"/>
  <c r="CK41" i="52" a="1"/>
  <c r="CK42" i="52" a="1"/>
  <c r="CK43" i="52" a="1"/>
  <c r="CK44" i="52" a="1"/>
  <c r="CK45" i="52" a="1"/>
  <c r="CK46" i="52" a="1"/>
  <c r="CK47" i="52" a="1"/>
  <c r="CK48" i="52" a="1"/>
  <c r="CK49" i="52" a="1"/>
  <c r="CK50" i="52" a="1"/>
  <c r="CK51" i="52" a="1"/>
  <c r="CK52" i="52" a="1"/>
  <c r="CK53" i="52" a="1"/>
  <c r="CK54" i="52" a="1"/>
  <c r="CK55" i="52" a="1"/>
  <c r="CK56" i="52" a="1"/>
  <c r="CK57" i="52" a="1"/>
  <c r="CK58" i="52" a="1"/>
  <c r="CK59" i="52" a="1"/>
  <c r="CK60" i="52" a="1"/>
  <c r="CK61" i="52" a="1"/>
  <c r="CK62" i="52" a="1"/>
  <c r="CK63" i="52" a="1"/>
  <c r="CK64" i="52" a="1"/>
  <c r="CK32" i="52"/>
  <c r="CK33" i="52"/>
  <c r="CK34" i="52"/>
  <c r="CK35" i="52"/>
  <c r="CK36" i="52"/>
  <c r="CK37" i="52"/>
  <c r="CK38" i="52"/>
  <c r="CK39" i="52"/>
  <c r="CK40" i="52"/>
  <c r="CK41" i="52"/>
  <c r="CK42" i="52"/>
  <c r="CK43" i="52"/>
  <c r="CK44" i="52"/>
  <c r="CK45" i="52"/>
  <c r="CK46" i="52"/>
  <c r="CK47" i="52"/>
  <c r="CK48" i="52"/>
  <c r="CK49" i="52"/>
  <c r="CK50" i="52"/>
  <c r="CK51" i="52"/>
  <c r="CK52" i="52"/>
  <c r="CK53" i="52"/>
  <c r="CK54" i="52"/>
  <c r="CK55" i="52"/>
  <c r="CK56" i="52"/>
  <c r="CK57" i="52"/>
  <c r="CK58" i="52"/>
  <c r="CK59" i="52"/>
  <c r="CK60" i="52"/>
  <c r="CK61" i="52"/>
  <c r="CK62" i="52"/>
  <c r="CK63" i="52"/>
  <c r="CK64" i="52"/>
  <c r="CK68" i="52"/>
  <c r="CW27" i="52"/>
  <c r="CW30" i="52" a="1"/>
  <c r="CW30" i="52"/>
  <c r="CW31" i="52" a="1"/>
  <c r="CW31" i="52"/>
  <c r="CW32" i="52" a="1"/>
  <c r="CW33" i="52" a="1"/>
  <c r="CW34" i="52" a="1"/>
  <c r="CW35" i="52" a="1"/>
  <c r="CW36" i="52" a="1"/>
  <c r="CW37" i="52" a="1"/>
  <c r="CW38" i="52" a="1"/>
  <c r="CW39" i="52" a="1"/>
  <c r="CW40" i="52" a="1"/>
  <c r="CW41" i="52" a="1"/>
  <c r="CW42" i="52" a="1"/>
  <c r="CW43" i="52" a="1"/>
  <c r="CW44" i="52" a="1"/>
  <c r="CW45" i="52" a="1"/>
  <c r="CW46" i="52" a="1"/>
  <c r="CW47" i="52" a="1"/>
  <c r="CW48" i="52" a="1"/>
  <c r="CW49" i="52" a="1"/>
  <c r="CW50" i="52" a="1"/>
  <c r="CW51" i="52" a="1"/>
  <c r="CW52" i="52" a="1"/>
  <c r="CW53" i="52" a="1"/>
  <c r="CW54" i="52" a="1"/>
  <c r="CW55" i="52" a="1"/>
  <c r="CW56" i="52" a="1"/>
  <c r="CW57" i="52" a="1"/>
  <c r="CW58" i="52" a="1"/>
  <c r="CW59" i="52" a="1"/>
  <c r="CW60" i="52" a="1"/>
  <c r="CW61" i="52" a="1"/>
  <c r="CW62" i="52" a="1"/>
  <c r="CW63" i="52" a="1"/>
  <c r="CW64" i="52" a="1"/>
  <c r="CW32" i="52"/>
  <c r="CW33" i="52"/>
  <c r="CW34" i="52"/>
  <c r="CW35" i="52"/>
  <c r="CW36" i="52"/>
  <c r="CW37" i="52"/>
  <c r="CW38" i="52"/>
  <c r="CW39" i="52"/>
  <c r="CW40" i="52"/>
  <c r="CW41" i="52"/>
  <c r="CW42" i="52"/>
  <c r="CW43" i="52"/>
  <c r="CW44" i="52"/>
  <c r="CW45" i="52"/>
  <c r="CW46" i="52"/>
  <c r="CW47" i="52"/>
  <c r="CW48" i="52"/>
  <c r="CW49" i="52"/>
  <c r="CW50" i="52"/>
  <c r="CW51" i="52"/>
  <c r="CW52" i="52"/>
  <c r="CW53" i="52"/>
  <c r="CW54" i="52"/>
  <c r="CW55" i="52"/>
  <c r="CW56" i="52"/>
  <c r="CW57" i="52"/>
  <c r="CW58" i="52"/>
  <c r="CW59" i="52"/>
  <c r="CW60" i="52"/>
  <c r="CW61" i="52"/>
  <c r="CW62" i="52"/>
  <c r="CW63" i="52"/>
  <c r="CW64" i="52"/>
  <c r="CW68" i="52"/>
  <c r="DK27" i="52"/>
  <c r="DK30" i="52" a="1"/>
  <c r="DK30" i="52"/>
  <c r="DK31" i="52" a="1"/>
  <c r="DK31" i="52"/>
  <c r="DK32" i="52" a="1"/>
  <c r="DK33" i="52" a="1"/>
  <c r="DK34" i="52" a="1"/>
  <c r="DK35" i="52" a="1"/>
  <c r="DK36" i="52" a="1"/>
  <c r="DK37" i="52" a="1"/>
  <c r="DK38" i="52" a="1"/>
  <c r="DK39" i="52" a="1"/>
  <c r="DK40" i="52" a="1"/>
  <c r="DK41" i="52" a="1"/>
  <c r="DK42" i="52" a="1"/>
  <c r="DK43" i="52" a="1"/>
  <c r="DK44" i="52" a="1"/>
  <c r="DK45" i="52" a="1"/>
  <c r="DK46" i="52" a="1"/>
  <c r="DK47" i="52" a="1"/>
  <c r="DK48" i="52" a="1"/>
  <c r="DK49" i="52" a="1"/>
  <c r="DK50" i="52" a="1"/>
  <c r="DK51" i="52" a="1"/>
  <c r="DK52" i="52" a="1"/>
  <c r="DK53" i="52" a="1"/>
  <c r="DK54" i="52" a="1"/>
  <c r="DK55" i="52" a="1"/>
  <c r="DK56" i="52" a="1"/>
  <c r="DK57" i="52" a="1"/>
  <c r="DK58" i="52" a="1"/>
  <c r="DK59" i="52" a="1"/>
  <c r="DK60" i="52" a="1"/>
  <c r="DK61" i="52" a="1"/>
  <c r="DK62" i="52" a="1"/>
  <c r="DK63" i="52" a="1"/>
  <c r="DK64" i="52" a="1"/>
  <c r="DK32" i="52"/>
  <c r="DK33" i="52"/>
  <c r="DK34" i="52"/>
  <c r="DK35" i="52"/>
  <c r="DK36" i="52"/>
  <c r="DK37" i="52"/>
  <c r="DK38" i="52"/>
  <c r="DK39" i="52"/>
  <c r="DK40" i="52"/>
  <c r="DK41" i="52"/>
  <c r="DK42" i="52"/>
  <c r="DK43" i="52"/>
  <c r="DK44" i="52"/>
  <c r="DK45" i="52"/>
  <c r="DK46" i="52"/>
  <c r="DK47" i="52"/>
  <c r="DK48" i="52"/>
  <c r="DK49" i="52"/>
  <c r="DK50" i="52"/>
  <c r="DK51" i="52"/>
  <c r="DK52" i="52"/>
  <c r="DK53" i="52"/>
  <c r="DK54" i="52"/>
  <c r="DK55" i="52"/>
  <c r="DK56" i="52"/>
  <c r="DK57" i="52"/>
  <c r="DK58" i="52"/>
  <c r="DK59" i="52"/>
  <c r="DK60" i="52"/>
  <c r="DK61" i="52"/>
  <c r="DK62" i="52"/>
  <c r="DK63" i="52"/>
  <c r="DK64" i="52"/>
  <c r="DK68" i="52"/>
  <c r="BW71" i="52"/>
  <c r="BV27" i="52"/>
  <c r="BV30" i="52" a="1"/>
  <c r="BV30" i="52"/>
  <c r="BV31" i="52" a="1"/>
  <c r="BV31" i="52"/>
  <c r="BV32" i="52" a="1"/>
  <c r="BV33" i="52" a="1"/>
  <c r="BV34" i="52" a="1"/>
  <c r="BV35" i="52" a="1"/>
  <c r="BV36" i="52" a="1"/>
  <c r="BV37" i="52" a="1"/>
  <c r="BV38" i="52" a="1"/>
  <c r="BV39" i="52" a="1"/>
  <c r="BV40" i="52" a="1"/>
  <c r="BV41" i="52" a="1"/>
  <c r="BV42" i="52" a="1"/>
  <c r="BV43" i="52" a="1"/>
  <c r="BV44" i="52" a="1"/>
  <c r="BV45" i="52" a="1"/>
  <c r="BV46" i="52" a="1"/>
  <c r="BV47" i="52" a="1"/>
  <c r="BV48" i="52" a="1"/>
  <c r="BV49" i="52" a="1"/>
  <c r="BV50" i="52" a="1"/>
  <c r="BV51" i="52" a="1"/>
  <c r="BV52" i="52" a="1"/>
  <c r="BV53" i="52" a="1"/>
  <c r="BV54" i="52" a="1"/>
  <c r="BV55" i="52" a="1"/>
  <c r="BV56" i="52" a="1"/>
  <c r="BV57" i="52" a="1"/>
  <c r="BV58" i="52" a="1"/>
  <c r="BV59" i="52" a="1"/>
  <c r="BV60" i="52" a="1"/>
  <c r="BV61" i="52" a="1"/>
  <c r="BV62" i="52" a="1"/>
  <c r="BV63" i="52" a="1"/>
  <c r="BV64" i="52" a="1"/>
  <c r="BV32" i="52"/>
  <c r="BV33" i="52"/>
  <c r="BV34" i="52"/>
  <c r="BV35" i="52"/>
  <c r="BV36" i="52"/>
  <c r="BV37" i="52"/>
  <c r="BV38" i="52"/>
  <c r="BV39" i="52"/>
  <c r="BV40" i="52"/>
  <c r="BV41" i="52"/>
  <c r="BV42" i="52"/>
  <c r="BV43" i="52"/>
  <c r="BV44" i="52"/>
  <c r="BV45" i="52"/>
  <c r="BV46" i="52"/>
  <c r="BV47" i="52"/>
  <c r="BV48" i="52"/>
  <c r="BV49" i="52"/>
  <c r="BV50" i="52"/>
  <c r="BV51" i="52"/>
  <c r="BV52" i="52"/>
  <c r="BV53" i="52"/>
  <c r="BV54" i="52"/>
  <c r="BV55" i="52"/>
  <c r="BV56" i="52"/>
  <c r="BV57" i="52"/>
  <c r="BV58" i="52"/>
  <c r="BV59" i="52"/>
  <c r="BV60" i="52"/>
  <c r="BV61" i="52"/>
  <c r="BV62" i="52"/>
  <c r="BV63" i="52"/>
  <c r="BV64" i="52"/>
  <c r="BV68" i="52"/>
  <c r="CJ27" i="52"/>
  <c r="CJ30" i="52" a="1"/>
  <c r="CJ30" i="52"/>
  <c r="CJ31" i="52" a="1"/>
  <c r="CJ31" i="52"/>
  <c r="CJ32" i="52" a="1"/>
  <c r="CJ33" i="52" a="1"/>
  <c r="CJ34" i="52" a="1"/>
  <c r="CJ35" i="52" a="1"/>
  <c r="CJ36" i="52" a="1"/>
  <c r="CJ37" i="52" a="1"/>
  <c r="CJ38" i="52" a="1"/>
  <c r="CJ39" i="52" a="1"/>
  <c r="CJ40" i="52" a="1"/>
  <c r="CJ41" i="52" a="1"/>
  <c r="CJ42" i="52" a="1"/>
  <c r="CJ43" i="52" a="1"/>
  <c r="CJ44" i="52" a="1"/>
  <c r="CJ45" i="52" a="1"/>
  <c r="CJ46" i="52" a="1"/>
  <c r="CJ47" i="52" a="1"/>
  <c r="CJ48" i="52" a="1"/>
  <c r="CJ49" i="52" a="1"/>
  <c r="CJ50" i="52" a="1"/>
  <c r="CJ51" i="52" a="1"/>
  <c r="CJ52" i="52" a="1"/>
  <c r="CJ53" i="52" a="1"/>
  <c r="CJ54" i="52" a="1"/>
  <c r="CJ55" i="52" a="1"/>
  <c r="CJ56" i="52" a="1"/>
  <c r="CJ57" i="52" a="1"/>
  <c r="CJ58" i="52" a="1"/>
  <c r="CJ59" i="52" a="1"/>
  <c r="CJ60" i="52" a="1"/>
  <c r="CJ61" i="52" a="1"/>
  <c r="CJ62" i="52" a="1"/>
  <c r="CJ63" i="52" a="1"/>
  <c r="CJ64" i="52" a="1"/>
  <c r="CJ32" i="52"/>
  <c r="CJ33" i="52"/>
  <c r="CJ34" i="52"/>
  <c r="CJ35" i="52"/>
  <c r="CJ36" i="52"/>
  <c r="CJ37" i="52"/>
  <c r="CJ38" i="52"/>
  <c r="CJ39" i="52"/>
  <c r="CJ40" i="52"/>
  <c r="CJ41" i="52"/>
  <c r="CJ42" i="52"/>
  <c r="CJ43" i="52"/>
  <c r="CJ44" i="52"/>
  <c r="CJ45" i="52"/>
  <c r="CJ46" i="52"/>
  <c r="CJ47" i="52"/>
  <c r="CJ48" i="52"/>
  <c r="CJ49" i="52"/>
  <c r="CJ50" i="52"/>
  <c r="CJ51" i="52"/>
  <c r="CJ52" i="52"/>
  <c r="CJ53" i="52"/>
  <c r="CJ54" i="52"/>
  <c r="CJ55" i="52"/>
  <c r="CJ56" i="52"/>
  <c r="CJ57" i="52"/>
  <c r="CJ58" i="52"/>
  <c r="CJ59" i="52"/>
  <c r="CJ60" i="52"/>
  <c r="CJ61" i="52"/>
  <c r="CJ62" i="52"/>
  <c r="CJ63" i="52"/>
  <c r="CJ64" i="52"/>
  <c r="CJ68" i="52"/>
  <c r="CV27" i="52"/>
  <c r="CV30" i="52" a="1"/>
  <c r="CV30" i="52"/>
  <c r="CV31" i="52" a="1"/>
  <c r="CV31" i="52"/>
  <c r="CV32" i="52" a="1"/>
  <c r="CV33" i="52" a="1"/>
  <c r="CV34" i="52" a="1"/>
  <c r="CV35" i="52" a="1"/>
  <c r="CV36" i="52" a="1"/>
  <c r="CV37" i="52" a="1"/>
  <c r="CV38" i="52" a="1"/>
  <c r="CV39" i="52" a="1"/>
  <c r="CV40" i="52" a="1"/>
  <c r="CV41" i="52" a="1"/>
  <c r="CV42" i="52" a="1"/>
  <c r="CV43" i="52" a="1"/>
  <c r="CV44" i="52" a="1"/>
  <c r="CV45" i="52" a="1"/>
  <c r="CV46" i="52" a="1"/>
  <c r="CV47" i="52" a="1"/>
  <c r="CV48" i="52" a="1"/>
  <c r="CV49" i="52" a="1"/>
  <c r="CV50" i="52" a="1"/>
  <c r="CV51" i="52" a="1"/>
  <c r="CV52" i="52" a="1"/>
  <c r="CV53" i="52" a="1"/>
  <c r="CV54" i="52" a="1"/>
  <c r="CV55" i="52" a="1"/>
  <c r="CV56" i="52" a="1"/>
  <c r="CV57" i="52" a="1"/>
  <c r="CV58" i="52" a="1"/>
  <c r="CV59" i="52" a="1"/>
  <c r="CV60" i="52" a="1"/>
  <c r="CV61" i="52" a="1"/>
  <c r="CV62" i="52" a="1"/>
  <c r="CV63" i="52" a="1"/>
  <c r="CV64" i="52" a="1"/>
  <c r="CV32" i="52"/>
  <c r="CV33" i="52"/>
  <c r="CV34" i="52"/>
  <c r="CV35" i="52"/>
  <c r="CV36" i="52"/>
  <c r="CV37" i="52"/>
  <c r="CV38" i="52"/>
  <c r="CV39" i="52"/>
  <c r="CV40" i="52"/>
  <c r="CV41" i="52"/>
  <c r="CV42" i="52"/>
  <c r="CV43" i="52"/>
  <c r="CV44" i="52"/>
  <c r="CV45" i="52"/>
  <c r="CV46" i="52"/>
  <c r="CV47" i="52"/>
  <c r="CV48" i="52"/>
  <c r="CV49" i="52"/>
  <c r="CV50" i="52"/>
  <c r="CV51" i="52"/>
  <c r="CV52" i="52"/>
  <c r="CV53" i="52"/>
  <c r="CV54" i="52"/>
  <c r="CV55" i="52"/>
  <c r="CV56" i="52"/>
  <c r="CV57" i="52"/>
  <c r="CV58" i="52"/>
  <c r="CV59" i="52"/>
  <c r="CV60" i="52"/>
  <c r="CV61" i="52"/>
  <c r="CV62" i="52"/>
  <c r="CV63" i="52"/>
  <c r="CV64" i="52"/>
  <c r="CV68" i="52"/>
  <c r="DJ27" i="52"/>
  <c r="DJ30" i="52" a="1"/>
  <c r="DJ30" i="52"/>
  <c r="DJ31" i="52" a="1"/>
  <c r="DJ31" i="52"/>
  <c r="DJ32" i="52" a="1"/>
  <c r="DJ33" i="52" a="1"/>
  <c r="DJ34" i="52" a="1"/>
  <c r="DJ35" i="52" a="1"/>
  <c r="DJ36" i="52" a="1"/>
  <c r="DJ37" i="52" a="1"/>
  <c r="DJ38" i="52" a="1"/>
  <c r="DJ39" i="52" a="1"/>
  <c r="DJ40" i="52" a="1"/>
  <c r="DJ41" i="52" a="1"/>
  <c r="DJ42" i="52" a="1"/>
  <c r="DJ43" i="52" a="1"/>
  <c r="DJ44" i="52" a="1"/>
  <c r="DJ45" i="52" a="1"/>
  <c r="DJ46" i="52" a="1"/>
  <c r="DJ47" i="52" a="1"/>
  <c r="DJ48" i="52" a="1"/>
  <c r="DJ49" i="52" a="1"/>
  <c r="DJ50" i="52" a="1"/>
  <c r="DJ51" i="52" a="1"/>
  <c r="DJ52" i="52" a="1"/>
  <c r="DJ53" i="52" a="1"/>
  <c r="DJ54" i="52" a="1"/>
  <c r="DJ55" i="52" a="1"/>
  <c r="DJ56" i="52" a="1"/>
  <c r="DJ57" i="52" a="1"/>
  <c r="DJ58" i="52" a="1"/>
  <c r="DJ59" i="52" a="1"/>
  <c r="DJ60" i="52" a="1"/>
  <c r="DJ61" i="52" a="1"/>
  <c r="DJ62" i="52" a="1"/>
  <c r="DJ63" i="52" a="1"/>
  <c r="DJ64" i="52" a="1"/>
  <c r="DJ32" i="52"/>
  <c r="DJ33" i="52"/>
  <c r="DJ34" i="52"/>
  <c r="DJ35" i="52"/>
  <c r="DJ36" i="52"/>
  <c r="DJ37" i="52"/>
  <c r="DJ38" i="52"/>
  <c r="DJ39" i="52"/>
  <c r="DJ40" i="52"/>
  <c r="DJ41" i="52"/>
  <c r="DJ42" i="52"/>
  <c r="DJ43" i="52"/>
  <c r="DJ44" i="52"/>
  <c r="DJ45" i="52"/>
  <c r="DJ46" i="52"/>
  <c r="DJ47" i="52"/>
  <c r="DJ48" i="52"/>
  <c r="DJ49" i="52"/>
  <c r="DJ50" i="52"/>
  <c r="DJ51" i="52"/>
  <c r="DJ52" i="52"/>
  <c r="DJ53" i="52"/>
  <c r="DJ54" i="52"/>
  <c r="DJ55" i="52"/>
  <c r="DJ56" i="52"/>
  <c r="DJ57" i="52"/>
  <c r="DJ58" i="52"/>
  <c r="DJ59" i="52"/>
  <c r="DJ60" i="52"/>
  <c r="DJ61" i="52"/>
  <c r="DJ62" i="52"/>
  <c r="DJ63" i="52"/>
  <c r="DJ64" i="52"/>
  <c r="DJ68" i="52"/>
  <c r="BV71" i="52"/>
  <c r="BU27" i="52"/>
  <c r="BU30" i="52" a="1"/>
  <c r="BU30" i="52"/>
  <c r="BU31" i="52" a="1"/>
  <c r="BU31" i="52"/>
  <c r="BU32" i="52" a="1"/>
  <c r="BU33" i="52" a="1"/>
  <c r="BU34" i="52" a="1"/>
  <c r="BU35" i="52" a="1"/>
  <c r="BU36" i="52" a="1"/>
  <c r="BU37" i="52" a="1"/>
  <c r="BU38" i="52" a="1"/>
  <c r="BU39" i="52" a="1"/>
  <c r="BU40" i="52" a="1"/>
  <c r="BU41" i="52" a="1"/>
  <c r="BU42" i="52" a="1"/>
  <c r="BU43" i="52" a="1"/>
  <c r="BU44" i="52" a="1"/>
  <c r="BU45" i="52" a="1"/>
  <c r="BU46" i="52" a="1"/>
  <c r="BU47" i="52" a="1"/>
  <c r="BU48" i="52" a="1"/>
  <c r="BU49" i="52" a="1"/>
  <c r="BU50" i="52" a="1"/>
  <c r="BU51" i="52" a="1"/>
  <c r="BU52" i="52" a="1"/>
  <c r="BU53" i="52" a="1"/>
  <c r="BU54" i="52" a="1"/>
  <c r="BU55" i="52" a="1"/>
  <c r="BU56" i="52" a="1"/>
  <c r="BU57" i="52" a="1"/>
  <c r="BU58" i="52" a="1"/>
  <c r="BU59" i="52" a="1"/>
  <c r="BU60" i="52" a="1"/>
  <c r="BU61" i="52" a="1"/>
  <c r="BU62" i="52" a="1"/>
  <c r="BU63" i="52" a="1"/>
  <c r="BU64" i="52" a="1"/>
  <c r="BU32" i="52"/>
  <c r="BU33" i="52"/>
  <c r="BU34" i="52"/>
  <c r="BU35" i="52"/>
  <c r="BU36" i="52"/>
  <c r="BU37" i="52"/>
  <c r="BU38" i="52"/>
  <c r="BU39" i="52"/>
  <c r="BU40" i="52"/>
  <c r="BU41" i="52"/>
  <c r="BU42" i="52"/>
  <c r="BU43" i="52"/>
  <c r="BU44" i="52"/>
  <c r="BU45" i="52"/>
  <c r="BU46" i="52"/>
  <c r="BU47" i="52"/>
  <c r="BU48" i="52"/>
  <c r="BU49" i="52"/>
  <c r="BU50" i="52"/>
  <c r="BU51" i="52"/>
  <c r="BU52" i="52"/>
  <c r="BU53" i="52"/>
  <c r="BU54" i="52"/>
  <c r="BU55" i="52"/>
  <c r="BU56" i="52"/>
  <c r="BU57" i="52"/>
  <c r="BU58" i="52"/>
  <c r="BU59" i="52"/>
  <c r="BU60" i="52"/>
  <c r="BU61" i="52"/>
  <c r="BU62" i="52"/>
  <c r="BU63" i="52"/>
  <c r="BU64" i="52"/>
  <c r="BU68" i="52"/>
  <c r="CI27" i="52"/>
  <c r="CI30" i="52" a="1"/>
  <c r="CI30" i="52"/>
  <c r="CI31" i="52" a="1"/>
  <c r="CI31" i="52"/>
  <c r="CI32" i="52" a="1"/>
  <c r="CI33" i="52" a="1"/>
  <c r="CI34" i="52" a="1"/>
  <c r="CI35" i="52" a="1"/>
  <c r="CI36" i="52" a="1"/>
  <c r="CI37" i="52" a="1"/>
  <c r="CI38" i="52" a="1"/>
  <c r="CI39" i="52" a="1"/>
  <c r="CI40" i="52" a="1"/>
  <c r="CI41" i="52" a="1"/>
  <c r="CI42" i="52" a="1"/>
  <c r="CI43" i="52" a="1"/>
  <c r="CI44" i="52" a="1"/>
  <c r="CI45" i="52" a="1"/>
  <c r="CI46" i="52" a="1"/>
  <c r="CI47" i="52" a="1"/>
  <c r="CI48" i="52" a="1"/>
  <c r="CI49" i="52" a="1"/>
  <c r="CI50" i="52" a="1"/>
  <c r="CI51" i="52" a="1"/>
  <c r="CI52" i="52" a="1"/>
  <c r="CI53" i="52" a="1"/>
  <c r="CI54" i="52" a="1"/>
  <c r="CI55" i="52" a="1"/>
  <c r="CI56" i="52" a="1"/>
  <c r="CI57" i="52" a="1"/>
  <c r="CI58" i="52" a="1"/>
  <c r="CI59" i="52" a="1"/>
  <c r="CI60" i="52" a="1"/>
  <c r="CI61" i="52" a="1"/>
  <c r="CI62" i="52" a="1"/>
  <c r="CI63" i="52" a="1"/>
  <c r="CI64" i="52" a="1"/>
  <c r="CI32" i="52"/>
  <c r="CI33" i="52"/>
  <c r="CI34" i="52"/>
  <c r="CI35" i="52"/>
  <c r="CI36" i="52"/>
  <c r="CI37" i="52"/>
  <c r="CI38" i="52"/>
  <c r="CI39" i="52"/>
  <c r="CI40" i="52"/>
  <c r="CI41" i="52"/>
  <c r="CI42" i="52"/>
  <c r="CI43" i="52"/>
  <c r="CI44" i="52"/>
  <c r="CI45" i="52"/>
  <c r="CI46" i="52"/>
  <c r="CI47" i="52"/>
  <c r="CI48" i="52"/>
  <c r="CI49" i="52"/>
  <c r="CI50" i="52"/>
  <c r="CI51" i="52"/>
  <c r="CI52" i="52"/>
  <c r="CI53" i="52"/>
  <c r="CI54" i="52"/>
  <c r="CI55" i="52"/>
  <c r="CI56" i="52"/>
  <c r="CI57" i="52"/>
  <c r="CI58" i="52"/>
  <c r="CI59" i="52"/>
  <c r="CI60" i="52"/>
  <c r="CI61" i="52"/>
  <c r="CI62" i="52"/>
  <c r="CI63" i="52"/>
  <c r="CI64" i="52"/>
  <c r="CI68" i="52"/>
  <c r="CU27" i="52"/>
  <c r="CU30" i="52" a="1"/>
  <c r="CU30" i="52"/>
  <c r="CU31" i="52" a="1"/>
  <c r="CU31" i="52"/>
  <c r="CU32" i="52" a="1"/>
  <c r="CU33" i="52" a="1"/>
  <c r="CU34" i="52" a="1"/>
  <c r="CU35" i="52" a="1"/>
  <c r="CU36" i="52" a="1"/>
  <c r="CU37" i="52" a="1"/>
  <c r="CU38" i="52" a="1"/>
  <c r="CU39" i="52" a="1"/>
  <c r="CU40" i="52" a="1"/>
  <c r="CU41" i="52" a="1"/>
  <c r="CU42" i="52" a="1"/>
  <c r="CU43" i="52" a="1"/>
  <c r="CU44" i="52" a="1"/>
  <c r="CU45" i="52" a="1"/>
  <c r="CU46" i="52" a="1"/>
  <c r="CU47" i="52" a="1"/>
  <c r="CU48" i="52" a="1"/>
  <c r="CU49" i="52" a="1"/>
  <c r="CU50" i="52" a="1"/>
  <c r="CU51" i="52" a="1"/>
  <c r="CU52" i="52" a="1"/>
  <c r="CU53" i="52" a="1"/>
  <c r="CU54" i="52" a="1"/>
  <c r="CU55" i="52" a="1"/>
  <c r="CU56" i="52" a="1"/>
  <c r="CU57" i="52" a="1"/>
  <c r="CU58" i="52" a="1"/>
  <c r="CU59" i="52" a="1"/>
  <c r="CU60" i="52" a="1"/>
  <c r="CU61" i="52" a="1"/>
  <c r="CU62" i="52" a="1"/>
  <c r="CU63" i="52" a="1"/>
  <c r="CU64" i="52" a="1"/>
  <c r="CU32" i="52"/>
  <c r="CU33" i="52"/>
  <c r="CU34" i="52"/>
  <c r="CU35" i="52"/>
  <c r="CU36" i="52"/>
  <c r="CU37" i="52"/>
  <c r="CU38" i="52"/>
  <c r="CU39" i="52"/>
  <c r="CU40" i="52"/>
  <c r="CU41" i="52"/>
  <c r="CU42" i="52"/>
  <c r="CU43" i="52"/>
  <c r="CU44" i="52"/>
  <c r="CU45" i="52"/>
  <c r="CU46" i="52"/>
  <c r="CU47" i="52"/>
  <c r="CU48" i="52"/>
  <c r="CU49" i="52"/>
  <c r="CU50" i="52"/>
  <c r="CU51" i="52"/>
  <c r="CU52" i="52"/>
  <c r="CU53" i="52"/>
  <c r="CU54" i="52"/>
  <c r="CU55" i="52"/>
  <c r="CU56" i="52"/>
  <c r="CU57" i="52"/>
  <c r="CU58" i="52"/>
  <c r="CU59" i="52"/>
  <c r="CU60" i="52"/>
  <c r="CU61" i="52"/>
  <c r="CU62" i="52"/>
  <c r="CU63" i="52"/>
  <c r="CU64" i="52"/>
  <c r="CU68" i="52"/>
  <c r="DI27" i="52"/>
  <c r="DI30" i="52" a="1"/>
  <c r="DI30" i="52"/>
  <c r="DI31" i="52" a="1"/>
  <c r="DI31" i="52"/>
  <c r="DI32" i="52" a="1"/>
  <c r="DI33" i="52" a="1"/>
  <c r="DI34" i="52" a="1"/>
  <c r="DI35" i="52" a="1"/>
  <c r="DI36" i="52" a="1"/>
  <c r="DI37" i="52" a="1"/>
  <c r="DI38" i="52" a="1"/>
  <c r="DI39" i="52" a="1"/>
  <c r="DI40" i="52" a="1"/>
  <c r="DI41" i="52" a="1"/>
  <c r="DI42" i="52" a="1"/>
  <c r="DI43" i="52" a="1"/>
  <c r="DI44" i="52" a="1"/>
  <c r="DI45" i="52" a="1"/>
  <c r="DI46" i="52" a="1"/>
  <c r="DI47" i="52" a="1"/>
  <c r="DI48" i="52" a="1"/>
  <c r="DI49" i="52" a="1"/>
  <c r="DI50" i="52" a="1"/>
  <c r="DI51" i="52" a="1"/>
  <c r="DI52" i="52" a="1"/>
  <c r="DI53" i="52" a="1"/>
  <c r="DI54" i="52" a="1"/>
  <c r="DI55" i="52" a="1"/>
  <c r="DI56" i="52" a="1"/>
  <c r="DI57" i="52" a="1"/>
  <c r="DI58" i="52" a="1"/>
  <c r="DI59" i="52" a="1"/>
  <c r="DI60" i="52" a="1"/>
  <c r="DI61" i="52" a="1"/>
  <c r="DI62" i="52" a="1"/>
  <c r="DI63" i="52" a="1"/>
  <c r="DI64" i="52" a="1"/>
  <c r="DI32" i="52"/>
  <c r="DI33" i="52"/>
  <c r="DI34" i="52"/>
  <c r="DI35" i="52"/>
  <c r="DI36" i="52"/>
  <c r="DI37" i="52"/>
  <c r="DI38" i="52"/>
  <c r="DI39" i="52"/>
  <c r="DI40" i="52"/>
  <c r="DI41" i="52"/>
  <c r="DI42" i="52"/>
  <c r="DI43" i="52"/>
  <c r="DI44" i="52"/>
  <c r="DI45" i="52"/>
  <c r="DI46" i="52"/>
  <c r="DI47" i="52"/>
  <c r="DI48" i="52"/>
  <c r="DI49" i="52"/>
  <c r="DI50" i="52"/>
  <c r="DI51" i="52"/>
  <c r="DI52" i="52"/>
  <c r="DI53" i="52"/>
  <c r="DI54" i="52"/>
  <c r="DI55" i="52"/>
  <c r="DI56" i="52"/>
  <c r="DI57" i="52"/>
  <c r="DI58" i="52"/>
  <c r="DI59" i="52"/>
  <c r="DI60" i="52"/>
  <c r="DI61" i="52"/>
  <c r="DI62" i="52"/>
  <c r="DI63" i="52"/>
  <c r="DI64" i="52"/>
  <c r="DI68" i="52"/>
  <c r="BU71" i="52"/>
  <c r="BT27" i="52"/>
  <c r="BT30" i="52" a="1"/>
  <c r="BT30" i="52"/>
  <c r="BT31" i="52" a="1"/>
  <c r="BT31" i="52"/>
  <c r="BT32" i="52" a="1"/>
  <c r="BT33" i="52" a="1"/>
  <c r="BT34" i="52" a="1"/>
  <c r="BT35" i="52" a="1"/>
  <c r="BT36" i="52" a="1"/>
  <c r="BT37" i="52" a="1"/>
  <c r="BT38" i="52" a="1"/>
  <c r="BT39" i="52" a="1"/>
  <c r="BT40" i="52" a="1"/>
  <c r="BT41" i="52" a="1"/>
  <c r="BT42" i="52" a="1"/>
  <c r="BT43" i="52" a="1"/>
  <c r="BT44" i="52" a="1"/>
  <c r="BT45" i="52" a="1"/>
  <c r="BT46" i="52" a="1"/>
  <c r="BT47" i="52" a="1"/>
  <c r="BT48" i="52" a="1"/>
  <c r="BT49" i="52" a="1"/>
  <c r="BT50" i="52" a="1"/>
  <c r="BT51" i="52" a="1"/>
  <c r="BT52" i="52" a="1"/>
  <c r="BT53" i="52" a="1"/>
  <c r="BT54" i="52" a="1"/>
  <c r="BT55" i="52" a="1"/>
  <c r="BT56" i="52" a="1"/>
  <c r="BT57" i="52" a="1"/>
  <c r="BT58" i="52" a="1"/>
  <c r="BT59" i="52" a="1"/>
  <c r="BT60" i="52" a="1"/>
  <c r="BT61" i="52" a="1"/>
  <c r="BT62" i="52" a="1"/>
  <c r="BT63" i="52" a="1"/>
  <c r="BT64" i="52" a="1"/>
  <c r="BT32" i="52"/>
  <c r="BT33" i="52"/>
  <c r="BT34" i="52"/>
  <c r="BT35" i="52"/>
  <c r="BT36" i="52"/>
  <c r="BT37" i="52"/>
  <c r="BT38" i="52"/>
  <c r="BT39" i="52"/>
  <c r="BT40" i="52"/>
  <c r="BT41" i="52"/>
  <c r="BT42" i="52"/>
  <c r="BT43" i="52"/>
  <c r="BT44" i="52"/>
  <c r="BT45" i="52"/>
  <c r="BT46" i="52"/>
  <c r="BT47" i="52"/>
  <c r="BT48" i="52"/>
  <c r="BT49" i="52"/>
  <c r="BT50" i="52"/>
  <c r="BT51" i="52"/>
  <c r="BT52" i="52"/>
  <c r="BT53" i="52"/>
  <c r="BT54" i="52"/>
  <c r="BT55" i="52"/>
  <c r="BT56" i="52"/>
  <c r="BT57" i="52"/>
  <c r="BT58" i="52"/>
  <c r="BT59" i="52"/>
  <c r="BT60" i="52"/>
  <c r="BT61" i="52"/>
  <c r="BT62" i="52"/>
  <c r="BT63" i="52"/>
  <c r="BT64" i="52"/>
  <c r="BT68" i="52"/>
  <c r="CH27" i="52"/>
  <c r="CH30" i="52" a="1"/>
  <c r="CH30" i="52"/>
  <c r="CH31" i="52" a="1"/>
  <c r="CH31" i="52"/>
  <c r="CH32" i="52" a="1"/>
  <c r="CH33" i="52" a="1"/>
  <c r="CH34" i="52" a="1"/>
  <c r="CH35" i="52" a="1"/>
  <c r="CH36" i="52" a="1"/>
  <c r="CH37" i="52" a="1"/>
  <c r="CH38" i="52" a="1"/>
  <c r="CH39" i="52" a="1"/>
  <c r="CH40" i="52" a="1"/>
  <c r="CH41" i="52" a="1"/>
  <c r="CH42" i="52" a="1"/>
  <c r="CH43" i="52" a="1"/>
  <c r="CH44" i="52" a="1"/>
  <c r="CH45" i="52" a="1"/>
  <c r="CH46" i="52" a="1"/>
  <c r="CH47" i="52" a="1"/>
  <c r="CH48" i="52" a="1"/>
  <c r="CH49" i="52" a="1"/>
  <c r="CH50" i="52" a="1"/>
  <c r="CH51" i="52" a="1"/>
  <c r="CH52" i="52" a="1"/>
  <c r="CH53" i="52" a="1"/>
  <c r="CH54" i="52" a="1"/>
  <c r="CH55" i="52" a="1"/>
  <c r="CH56" i="52" a="1"/>
  <c r="CH57" i="52" a="1"/>
  <c r="CH58" i="52" a="1"/>
  <c r="CH59" i="52" a="1"/>
  <c r="CH60" i="52" a="1"/>
  <c r="CH61" i="52" a="1"/>
  <c r="CH62" i="52" a="1"/>
  <c r="CH63" i="52" a="1"/>
  <c r="CH64" i="52" a="1"/>
  <c r="CH32" i="52"/>
  <c r="CH33" i="52"/>
  <c r="CH34" i="52"/>
  <c r="CH35" i="52"/>
  <c r="CH36" i="52"/>
  <c r="CH37" i="52"/>
  <c r="CH38" i="52"/>
  <c r="CH39" i="52"/>
  <c r="CH40" i="52"/>
  <c r="CH41" i="52"/>
  <c r="CH42" i="52"/>
  <c r="CH43" i="52"/>
  <c r="CH44" i="52"/>
  <c r="CH45" i="52"/>
  <c r="CH46" i="52"/>
  <c r="CH47" i="52"/>
  <c r="CH48" i="52"/>
  <c r="CH49" i="52"/>
  <c r="CH50" i="52"/>
  <c r="CH51" i="52"/>
  <c r="CH52" i="52"/>
  <c r="CH53" i="52"/>
  <c r="CH54" i="52"/>
  <c r="CH55" i="52"/>
  <c r="CH56" i="52"/>
  <c r="CH57" i="52"/>
  <c r="CH58" i="52"/>
  <c r="CH59" i="52"/>
  <c r="CH60" i="52"/>
  <c r="CH61" i="52"/>
  <c r="CH62" i="52"/>
  <c r="CH63" i="52"/>
  <c r="CH64" i="52"/>
  <c r="CH68" i="52"/>
  <c r="CT27" i="52"/>
  <c r="CT30" i="52" a="1"/>
  <c r="CT30" i="52"/>
  <c r="CT31" i="52" a="1"/>
  <c r="CT31" i="52"/>
  <c r="CT32" i="52" a="1"/>
  <c r="CT33" i="52" a="1"/>
  <c r="CT34" i="52" a="1"/>
  <c r="CT35" i="52" a="1"/>
  <c r="CT36" i="52" a="1"/>
  <c r="CT37" i="52" a="1"/>
  <c r="CT38" i="52" a="1"/>
  <c r="CT39" i="52" a="1"/>
  <c r="CT40" i="52" a="1"/>
  <c r="CT41" i="52" a="1"/>
  <c r="CT42" i="52" a="1"/>
  <c r="CT43" i="52" a="1"/>
  <c r="CT44" i="52" a="1"/>
  <c r="CT45" i="52" a="1"/>
  <c r="CT46" i="52" a="1"/>
  <c r="CT47" i="52" a="1"/>
  <c r="CT48" i="52" a="1"/>
  <c r="CT49" i="52" a="1"/>
  <c r="CT50" i="52" a="1"/>
  <c r="CT51" i="52" a="1"/>
  <c r="CT52" i="52" a="1"/>
  <c r="CT53" i="52" a="1"/>
  <c r="CT54" i="52" a="1"/>
  <c r="CT55" i="52" a="1"/>
  <c r="CT56" i="52" a="1"/>
  <c r="CT57" i="52" a="1"/>
  <c r="CT58" i="52" a="1"/>
  <c r="CT59" i="52" a="1"/>
  <c r="CT60" i="52" a="1"/>
  <c r="CT61" i="52" a="1"/>
  <c r="CT62" i="52" a="1"/>
  <c r="CT63" i="52" a="1"/>
  <c r="CT64" i="52" a="1"/>
  <c r="CT32" i="52"/>
  <c r="CT33" i="52"/>
  <c r="CT34" i="52"/>
  <c r="CT35" i="52"/>
  <c r="CT36" i="52"/>
  <c r="CT37" i="52"/>
  <c r="CT38" i="52"/>
  <c r="CT39" i="52"/>
  <c r="CT40" i="52"/>
  <c r="CT41" i="52"/>
  <c r="CT42" i="52"/>
  <c r="CT43" i="52"/>
  <c r="CT44" i="52"/>
  <c r="CT45" i="52"/>
  <c r="CT46" i="52"/>
  <c r="CT47" i="52"/>
  <c r="CT48" i="52"/>
  <c r="CT49" i="52"/>
  <c r="CT50" i="52"/>
  <c r="CT51" i="52"/>
  <c r="CT52" i="52"/>
  <c r="CT53" i="52"/>
  <c r="CT54" i="52"/>
  <c r="CT55" i="52"/>
  <c r="CT56" i="52"/>
  <c r="CT57" i="52"/>
  <c r="CT58" i="52"/>
  <c r="CT59" i="52"/>
  <c r="CT60" i="52"/>
  <c r="CT61" i="52"/>
  <c r="CT62" i="52"/>
  <c r="CT63" i="52"/>
  <c r="CT64" i="52"/>
  <c r="CT68" i="52"/>
  <c r="DH27" i="52"/>
  <c r="DH30" i="52" a="1"/>
  <c r="DH30" i="52"/>
  <c r="DH31" i="52" a="1"/>
  <c r="DH31" i="52"/>
  <c r="DH32" i="52" a="1"/>
  <c r="DH33" i="52" a="1"/>
  <c r="DH34" i="52" a="1"/>
  <c r="DH35" i="52" a="1"/>
  <c r="DH36" i="52" a="1"/>
  <c r="DH37" i="52" a="1"/>
  <c r="DH38" i="52" a="1"/>
  <c r="DH39" i="52" a="1"/>
  <c r="DH40" i="52" a="1"/>
  <c r="DH41" i="52" a="1"/>
  <c r="DH42" i="52" a="1"/>
  <c r="DH43" i="52" a="1"/>
  <c r="DH44" i="52" a="1"/>
  <c r="DH45" i="52" a="1"/>
  <c r="DH46" i="52" a="1"/>
  <c r="DH47" i="52" a="1"/>
  <c r="DH48" i="52" a="1"/>
  <c r="DH49" i="52" a="1"/>
  <c r="DH50" i="52" a="1"/>
  <c r="DH51" i="52" a="1"/>
  <c r="DH52" i="52" a="1"/>
  <c r="DH53" i="52" a="1"/>
  <c r="DH54" i="52" a="1"/>
  <c r="DH55" i="52" a="1"/>
  <c r="DH56" i="52" a="1"/>
  <c r="DH57" i="52" a="1"/>
  <c r="DH58" i="52" a="1"/>
  <c r="DH59" i="52" a="1"/>
  <c r="DH60" i="52" a="1"/>
  <c r="DH61" i="52" a="1"/>
  <c r="DH62" i="52" a="1"/>
  <c r="DH63" i="52" a="1"/>
  <c r="DH64" i="52" a="1"/>
  <c r="DH32" i="52"/>
  <c r="DH33" i="52"/>
  <c r="DH34" i="52"/>
  <c r="DH35" i="52"/>
  <c r="DH36" i="52"/>
  <c r="DH37" i="52"/>
  <c r="DH38" i="52"/>
  <c r="DH39" i="52"/>
  <c r="DH40" i="52"/>
  <c r="DH41" i="52"/>
  <c r="DH42" i="52"/>
  <c r="DH43" i="52"/>
  <c r="DH44" i="52"/>
  <c r="DH45" i="52"/>
  <c r="DH46" i="52"/>
  <c r="DH47" i="52"/>
  <c r="DH48" i="52"/>
  <c r="DH49" i="52"/>
  <c r="DH50" i="52"/>
  <c r="DH51" i="52"/>
  <c r="DH52" i="52"/>
  <c r="DH53" i="52"/>
  <c r="DH54" i="52"/>
  <c r="DH55" i="52"/>
  <c r="DH56" i="52"/>
  <c r="DH57" i="52"/>
  <c r="DH58" i="52"/>
  <c r="DH59" i="52"/>
  <c r="DH60" i="52"/>
  <c r="DH61" i="52"/>
  <c r="DH62" i="52"/>
  <c r="DH63" i="52"/>
  <c r="DH64" i="52"/>
  <c r="DH68" i="52"/>
  <c r="BT71" i="52"/>
  <c r="BS27" i="52"/>
  <c r="BS30" i="52" a="1"/>
  <c r="BS30" i="52"/>
  <c r="BS31" i="52" a="1"/>
  <c r="BS31" i="52"/>
  <c r="BS32" i="52" a="1"/>
  <c r="BS33" i="52" a="1"/>
  <c r="BS34" i="52" a="1"/>
  <c r="BS35" i="52" a="1"/>
  <c r="BS36" i="52" a="1"/>
  <c r="BS37" i="52" a="1"/>
  <c r="BS38" i="52" a="1"/>
  <c r="BS39" i="52" a="1"/>
  <c r="BS40" i="52" a="1"/>
  <c r="BS41" i="52" a="1"/>
  <c r="BS42" i="52" a="1"/>
  <c r="BS43" i="52" a="1"/>
  <c r="BS44" i="52" a="1"/>
  <c r="BS45" i="52" a="1"/>
  <c r="BS46" i="52" a="1"/>
  <c r="BS47" i="52" a="1"/>
  <c r="BS48" i="52" a="1"/>
  <c r="BS49" i="52" a="1"/>
  <c r="BS50" i="52" a="1"/>
  <c r="BS51" i="52" a="1"/>
  <c r="BS52" i="52" a="1"/>
  <c r="BS53" i="52" a="1"/>
  <c r="BS54" i="52" a="1"/>
  <c r="BS55" i="52" a="1"/>
  <c r="BS56" i="52" a="1"/>
  <c r="BS57" i="52" a="1"/>
  <c r="BS58" i="52" a="1"/>
  <c r="BS59" i="52" a="1"/>
  <c r="BS60" i="52" a="1"/>
  <c r="BS61" i="52" a="1"/>
  <c r="BS62" i="52" a="1"/>
  <c r="BS63" i="52" a="1"/>
  <c r="BS64" i="52" a="1"/>
  <c r="BS32" i="52"/>
  <c r="BS33" i="52"/>
  <c r="BS34" i="52"/>
  <c r="BS35" i="52"/>
  <c r="BS36" i="52"/>
  <c r="BS37" i="52"/>
  <c r="BS38" i="52"/>
  <c r="BS39" i="52"/>
  <c r="BS40" i="52"/>
  <c r="BS41" i="52"/>
  <c r="BS42" i="52"/>
  <c r="BS43" i="52"/>
  <c r="BS44" i="52"/>
  <c r="BS45" i="52"/>
  <c r="BS46" i="52"/>
  <c r="BS47" i="52"/>
  <c r="BS48" i="52"/>
  <c r="BS49" i="52"/>
  <c r="BS50" i="52"/>
  <c r="BS51" i="52"/>
  <c r="BS52" i="52"/>
  <c r="BS53" i="52"/>
  <c r="BS54" i="52"/>
  <c r="BS55" i="52"/>
  <c r="BS56" i="52"/>
  <c r="BS57" i="52"/>
  <c r="BS58" i="52"/>
  <c r="BS59" i="52"/>
  <c r="BS60" i="52"/>
  <c r="BS61" i="52"/>
  <c r="BS62" i="52"/>
  <c r="BS63" i="52"/>
  <c r="BS64" i="52"/>
  <c r="BS68" i="52"/>
  <c r="CG27" i="52"/>
  <c r="CG30" i="52" a="1"/>
  <c r="CG30" i="52"/>
  <c r="CG31" i="52" a="1"/>
  <c r="CG31" i="52"/>
  <c r="CG32" i="52" a="1"/>
  <c r="CG33" i="52" a="1"/>
  <c r="CG34" i="52" a="1"/>
  <c r="CG35" i="52" a="1"/>
  <c r="CG36" i="52" a="1"/>
  <c r="CG37" i="52" a="1"/>
  <c r="CG38" i="52" a="1"/>
  <c r="CG39" i="52" a="1"/>
  <c r="CG40" i="52" a="1"/>
  <c r="CG41" i="52" a="1"/>
  <c r="CG42" i="52" a="1"/>
  <c r="CG43" i="52" a="1"/>
  <c r="CG44" i="52" a="1"/>
  <c r="CG45" i="52" a="1"/>
  <c r="CG46" i="52" a="1"/>
  <c r="CG47" i="52" a="1"/>
  <c r="CG48" i="52" a="1"/>
  <c r="CG49" i="52" a="1"/>
  <c r="CG50" i="52" a="1"/>
  <c r="CG51" i="52" a="1"/>
  <c r="CG52" i="52" a="1"/>
  <c r="CG53" i="52" a="1"/>
  <c r="CG54" i="52" a="1"/>
  <c r="CG55" i="52" a="1"/>
  <c r="CG56" i="52" a="1"/>
  <c r="CG57" i="52" a="1"/>
  <c r="CG58" i="52" a="1"/>
  <c r="CG59" i="52" a="1"/>
  <c r="CG60" i="52" a="1"/>
  <c r="CG61" i="52" a="1"/>
  <c r="CG62" i="52" a="1"/>
  <c r="CG63" i="52" a="1"/>
  <c r="CG64" i="52" a="1"/>
  <c r="CG32" i="52"/>
  <c r="CG33" i="52"/>
  <c r="CG34" i="52"/>
  <c r="CG35" i="52"/>
  <c r="CG36" i="52"/>
  <c r="CG37" i="52"/>
  <c r="CG38" i="52"/>
  <c r="CG39" i="52"/>
  <c r="CG40" i="52"/>
  <c r="CG41" i="52"/>
  <c r="CG42" i="52"/>
  <c r="CG43" i="52"/>
  <c r="CG44" i="52"/>
  <c r="CG45" i="52"/>
  <c r="CG46" i="52"/>
  <c r="CG47" i="52"/>
  <c r="CG48" i="52"/>
  <c r="CG49" i="52"/>
  <c r="CG50" i="52"/>
  <c r="CG51" i="52"/>
  <c r="CG52" i="52"/>
  <c r="CG53" i="52"/>
  <c r="CG54" i="52"/>
  <c r="CG55" i="52"/>
  <c r="CG56" i="52"/>
  <c r="CG57" i="52"/>
  <c r="CG58" i="52"/>
  <c r="CG59" i="52"/>
  <c r="CG60" i="52"/>
  <c r="CG61" i="52"/>
  <c r="CG62" i="52"/>
  <c r="CG63" i="52"/>
  <c r="CG64" i="52"/>
  <c r="CG68" i="52"/>
  <c r="CS27" i="52"/>
  <c r="CS30" i="52" a="1"/>
  <c r="CS30" i="52"/>
  <c r="CS31" i="52" a="1"/>
  <c r="CS31" i="52"/>
  <c r="CS32" i="52" a="1"/>
  <c r="CS33" i="52" a="1"/>
  <c r="CS34" i="52" a="1"/>
  <c r="CS35" i="52" a="1"/>
  <c r="CS36" i="52" a="1"/>
  <c r="CS37" i="52" a="1"/>
  <c r="CS38" i="52" a="1"/>
  <c r="CS39" i="52" a="1"/>
  <c r="CS40" i="52" a="1"/>
  <c r="CS41" i="52" a="1"/>
  <c r="CS42" i="52" a="1"/>
  <c r="CS43" i="52" a="1"/>
  <c r="CS44" i="52" a="1"/>
  <c r="CS45" i="52" a="1"/>
  <c r="CS46" i="52" a="1"/>
  <c r="CS47" i="52" a="1"/>
  <c r="CS48" i="52" a="1"/>
  <c r="CS49" i="52" a="1"/>
  <c r="CS50" i="52" a="1"/>
  <c r="CS51" i="52" a="1"/>
  <c r="CS52" i="52" a="1"/>
  <c r="CS53" i="52" a="1"/>
  <c r="CS54" i="52" a="1"/>
  <c r="CS55" i="52" a="1"/>
  <c r="CS56" i="52" a="1"/>
  <c r="CS57" i="52" a="1"/>
  <c r="CS58" i="52" a="1"/>
  <c r="CS59" i="52" a="1"/>
  <c r="CS60" i="52" a="1"/>
  <c r="CS61" i="52" a="1"/>
  <c r="CS62" i="52" a="1"/>
  <c r="CS63" i="52" a="1"/>
  <c r="CS64" i="52" a="1"/>
  <c r="CS32" i="52"/>
  <c r="CS33" i="52"/>
  <c r="CS34" i="52"/>
  <c r="CS35" i="52"/>
  <c r="CS36" i="52"/>
  <c r="CS37" i="52"/>
  <c r="CS38" i="52"/>
  <c r="CS39" i="52"/>
  <c r="CS40" i="52"/>
  <c r="CS41" i="52"/>
  <c r="CS42" i="52"/>
  <c r="CS43" i="52"/>
  <c r="CS44" i="52"/>
  <c r="CS45" i="52"/>
  <c r="CS46" i="52"/>
  <c r="CS47" i="52"/>
  <c r="CS48" i="52"/>
  <c r="CS49" i="52"/>
  <c r="CS50" i="52"/>
  <c r="CS51" i="52"/>
  <c r="CS52" i="52"/>
  <c r="CS53" i="52"/>
  <c r="CS54" i="52"/>
  <c r="CS55" i="52"/>
  <c r="CS56" i="52"/>
  <c r="CS57" i="52"/>
  <c r="CS58" i="52"/>
  <c r="CS59" i="52"/>
  <c r="CS60" i="52"/>
  <c r="CS61" i="52"/>
  <c r="CS62" i="52"/>
  <c r="CS63" i="52"/>
  <c r="CS64" i="52"/>
  <c r="CS68" i="52"/>
  <c r="DG27" i="52"/>
  <c r="DG30" i="52" a="1"/>
  <c r="DG30" i="52"/>
  <c r="DG31" i="52" a="1"/>
  <c r="DG31" i="52"/>
  <c r="DG32" i="52" a="1"/>
  <c r="DG33" i="52" a="1"/>
  <c r="DG34" i="52" a="1"/>
  <c r="DG35" i="52" a="1"/>
  <c r="DG36" i="52" a="1"/>
  <c r="DG37" i="52" a="1"/>
  <c r="DG38" i="52" a="1"/>
  <c r="DG39" i="52" a="1"/>
  <c r="DG40" i="52" a="1"/>
  <c r="DG41" i="52" a="1"/>
  <c r="DG42" i="52" a="1"/>
  <c r="DG43" i="52" a="1"/>
  <c r="DG44" i="52" a="1"/>
  <c r="DG45" i="52" a="1"/>
  <c r="DG46" i="52" a="1"/>
  <c r="DG47" i="52" a="1"/>
  <c r="DG48" i="52" a="1"/>
  <c r="DG49" i="52" a="1"/>
  <c r="DG50" i="52" a="1"/>
  <c r="DG51" i="52" a="1"/>
  <c r="DG52" i="52" a="1"/>
  <c r="DG53" i="52" a="1"/>
  <c r="DG54" i="52" a="1"/>
  <c r="DG55" i="52" a="1"/>
  <c r="DG56" i="52" a="1"/>
  <c r="DG57" i="52" a="1"/>
  <c r="DG58" i="52" a="1"/>
  <c r="DG59" i="52" a="1"/>
  <c r="DG60" i="52" a="1"/>
  <c r="DG61" i="52" a="1"/>
  <c r="DG62" i="52" a="1"/>
  <c r="DG63" i="52" a="1"/>
  <c r="DG64" i="52" a="1"/>
  <c r="DG32" i="52"/>
  <c r="DG33" i="52"/>
  <c r="DG34" i="52"/>
  <c r="DG35" i="52"/>
  <c r="DG36" i="52"/>
  <c r="DG37" i="52"/>
  <c r="DG38" i="52"/>
  <c r="DG39" i="52"/>
  <c r="DG40" i="52"/>
  <c r="DG41" i="52"/>
  <c r="DG42" i="52"/>
  <c r="DG43" i="52"/>
  <c r="DG44" i="52"/>
  <c r="DG45" i="52"/>
  <c r="DG46" i="52"/>
  <c r="DG47" i="52"/>
  <c r="DG48" i="52"/>
  <c r="DG49" i="52"/>
  <c r="DG50" i="52"/>
  <c r="DG51" i="52"/>
  <c r="DG52" i="52"/>
  <c r="DG53" i="52"/>
  <c r="DG54" i="52"/>
  <c r="DG55" i="52"/>
  <c r="DG56" i="52"/>
  <c r="DG57" i="52"/>
  <c r="DG58" i="52"/>
  <c r="DG59" i="52"/>
  <c r="DG60" i="52"/>
  <c r="DG61" i="52"/>
  <c r="DG62" i="52"/>
  <c r="DG63" i="52"/>
  <c r="DG64" i="52"/>
  <c r="DG68" i="52"/>
  <c r="BS71" i="52"/>
  <c r="BR27" i="52"/>
  <c r="BR30" i="52" a="1"/>
  <c r="BR30" i="52"/>
  <c r="BR31" i="52" a="1"/>
  <c r="BR31" i="52"/>
  <c r="BR32" i="52" a="1"/>
  <c r="BR33" i="52" a="1"/>
  <c r="BR34" i="52" a="1"/>
  <c r="BR35" i="52" a="1"/>
  <c r="BR36" i="52" a="1"/>
  <c r="BR37" i="52" a="1"/>
  <c r="BR38" i="52" a="1"/>
  <c r="BR39" i="52" a="1"/>
  <c r="BR40" i="52" a="1"/>
  <c r="BR41" i="52" a="1"/>
  <c r="BR42" i="52" a="1"/>
  <c r="BR43" i="52" a="1"/>
  <c r="BR44" i="52" a="1"/>
  <c r="BR45" i="52" a="1"/>
  <c r="BR46" i="52" a="1"/>
  <c r="BR47" i="52" a="1"/>
  <c r="BR48" i="52" a="1"/>
  <c r="BR49" i="52" a="1"/>
  <c r="BR50" i="52" a="1"/>
  <c r="BR51" i="52" a="1"/>
  <c r="BR52" i="52" a="1"/>
  <c r="BR53" i="52" a="1"/>
  <c r="BR54" i="52" a="1"/>
  <c r="BR55" i="52" a="1"/>
  <c r="BR56" i="52" a="1"/>
  <c r="BR57" i="52" a="1"/>
  <c r="BR58" i="52" a="1"/>
  <c r="BR59" i="52" a="1"/>
  <c r="BR60" i="52" a="1"/>
  <c r="BR61" i="52" a="1"/>
  <c r="BR62" i="52" a="1"/>
  <c r="BR63" i="52" a="1"/>
  <c r="BR64" i="52" a="1"/>
  <c r="BR32" i="52"/>
  <c r="BR33" i="52"/>
  <c r="BR34" i="52"/>
  <c r="BR35" i="52"/>
  <c r="BR36" i="52"/>
  <c r="BR37" i="52"/>
  <c r="BR38" i="52"/>
  <c r="BR39" i="52"/>
  <c r="BR40" i="52"/>
  <c r="BR41" i="52"/>
  <c r="BR42" i="52"/>
  <c r="BR43" i="52"/>
  <c r="BR44" i="52"/>
  <c r="BR45" i="52"/>
  <c r="BR46" i="52"/>
  <c r="BR47" i="52"/>
  <c r="BR48" i="52"/>
  <c r="BR49" i="52"/>
  <c r="BR50" i="52"/>
  <c r="BR51" i="52"/>
  <c r="BR52" i="52"/>
  <c r="BR53" i="52"/>
  <c r="BR54" i="52"/>
  <c r="BR55" i="52"/>
  <c r="BR56" i="52"/>
  <c r="BR57" i="52"/>
  <c r="BR58" i="52"/>
  <c r="BR59" i="52"/>
  <c r="BR60" i="52"/>
  <c r="BR61" i="52"/>
  <c r="BR62" i="52"/>
  <c r="BR63" i="52"/>
  <c r="BR64" i="52"/>
  <c r="BR68" i="52"/>
  <c r="CF27" i="52"/>
  <c r="CF30" i="52" a="1"/>
  <c r="CF30" i="52"/>
  <c r="CF31" i="52" a="1"/>
  <c r="CF31" i="52"/>
  <c r="CF32" i="52" a="1"/>
  <c r="CF33" i="52" a="1"/>
  <c r="CF34" i="52" a="1"/>
  <c r="CF35" i="52" a="1"/>
  <c r="CF36" i="52" a="1"/>
  <c r="CF37" i="52" a="1"/>
  <c r="CF38" i="52" a="1"/>
  <c r="CF39" i="52" a="1"/>
  <c r="CF40" i="52" a="1"/>
  <c r="CF41" i="52" a="1"/>
  <c r="CF42" i="52" a="1"/>
  <c r="CF43" i="52" a="1"/>
  <c r="CF44" i="52" a="1"/>
  <c r="CF45" i="52" a="1"/>
  <c r="CF46" i="52" a="1"/>
  <c r="CF47" i="52" a="1"/>
  <c r="CF48" i="52" a="1"/>
  <c r="CF49" i="52" a="1"/>
  <c r="CF50" i="52" a="1"/>
  <c r="CF51" i="52" a="1"/>
  <c r="CF52" i="52" a="1"/>
  <c r="CF53" i="52" a="1"/>
  <c r="CF54" i="52" a="1"/>
  <c r="CF55" i="52" a="1"/>
  <c r="CF56" i="52" a="1"/>
  <c r="CF57" i="52" a="1"/>
  <c r="CF58" i="52" a="1"/>
  <c r="CF59" i="52" a="1"/>
  <c r="CF60" i="52" a="1"/>
  <c r="CF61" i="52" a="1"/>
  <c r="CF62" i="52" a="1"/>
  <c r="CF63" i="52" a="1"/>
  <c r="CF64" i="52" a="1"/>
  <c r="CF32" i="52"/>
  <c r="CF33" i="52"/>
  <c r="CF34" i="52"/>
  <c r="CF35" i="52"/>
  <c r="CF36" i="52"/>
  <c r="CF37" i="52"/>
  <c r="CF38" i="52"/>
  <c r="CF39" i="52"/>
  <c r="CF40" i="52"/>
  <c r="CF41" i="52"/>
  <c r="CF42" i="52"/>
  <c r="CF43" i="52"/>
  <c r="CF44" i="52"/>
  <c r="CF45" i="52"/>
  <c r="CF46" i="52"/>
  <c r="CF47" i="52"/>
  <c r="CF48" i="52"/>
  <c r="CF49" i="52"/>
  <c r="CF50" i="52"/>
  <c r="CF51" i="52"/>
  <c r="CF52" i="52"/>
  <c r="CF53" i="52"/>
  <c r="CF54" i="52"/>
  <c r="CF55" i="52"/>
  <c r="CF56" i="52"/>
  <c r="CF57" i="52"/>
  <c r="CF58" i="52"/>
  <c r="CF59" i="52"/>
  <c r="CF60" i="52"/>
  <c r="CF61" i="52"/>
  <c r="CF62" i="52"/>
  <c r="CF63" i="52"/>
  <c r="CF64" i="52"/>
  <c r="CF68" i="52"/>
  <c r="CR27" i="52"/>
  <c r="CR30" i="52" a="1"/>
  <c r="CR30" i="52"/>
  <c r="CR31" i="52" a="1"/>
  <c r="CR31" i="52"/>
  <c r="CR32" i="52" a="1"/>
  <c r="CR33" i="52" a="1"/>
  <c r="CR34" i="52" a="1"/>
  <c r="CR35" i="52" a="1"/>
  <c r="CR36" i="52" a="1"/>
  <c r="CR37" i="52" a="1"/>
  <c r="CR38" i="52" a="1"/>
  <c r="CR39" i="52" a="1"/>
  <c r="CR40" i="52" a="1"/>
  <c r="CR41" i="52" a="1"/>
  <c r="CR42" i="52" a="1"/>
  <c r="CR43" i="52" a="1"/>
  <c r="CR44" i="52" a="1"/>
  <c r="CR45" i="52" a="1"/>
  <c r="CR46" i="52" a="1"/>
  <c r="CR47" i="52" a="1"/>
  <c r="CR48" i="52" a="1"/>
  <c r="CR49" i="52" a="1"/>
  <c r="CR50" i="52" a="1"/>
  <c r="CR51" i="52" a="1"/>
  <c r="CR52" i="52" a="1"/>
  <c r="CR53" i="52" a="1"/>
  <c r="CR54" i="52" a="1"/>
  <c r="CR55" i="52" a="1"/>
  <c r="CR56" i="52" a="1"/>
  <c r="CR57" i="52" a="1"/>
  <c r="CR58" i="52" a="1"/>
  <c r="CR59" i="52" a="1"/>
  <c r="CR60" i="52" a="1"/>
  <c r="CR61" i="52" a="1"/>
  <c r="CR62" i="52" a="1"/>
  <c r="CR63" i="52" a="1"/>
  <c r="CR64" i="52" a="1"/>
  <c r="CR32" i="52"/>
  <c r="CR33" i="52"/>
  <c r="CR34" i="52"/>
  <c r="CR35" i="52"/>
  <c r="CR36" i="52"/>
  <c r="CR37" i="52"/>
  <c r="CR38" i="52"/>
  <c r="CR39" i="52"/>
  <c r="CR40" i="52"/>
  <c r="CR41" i="52"/>
  <c r="CR42" i="52"/>
  <c r="CR43" i="52"/>
  <c r="CR44" i="52"/>
  <c r="CR45" i="52"/>
  <c r="CR46" i="52"/>
  <c r="CR47" i="52"/>
  <c r="CR48" i="52"/>
  <c r="CR49" i="52"/>
  <c r="CR50" i="52"/>
  <c r="CR51" i="52"/>
  <c r="CR52" i="52"/>
  <c r="CR53" i="52"/>
  <c r="CR54" i="52"/>
  <c r="CR55" i="52"/>
  <c r="CR56" i="52"/>
  <c r="CR57" i="52"/>
  <c r="CR58" i="52"/>
  <c r="CR59" i="52"/>
  <c r="CR60" i="52"/>
  <c r="CR61" i="52"/>
  <c r="CR62" i="52"/>
  <c r="CR63" i="52"/>
  <c r="CR64" i="52"/>
  <c r="CR68" i="52"/>
  <c r="DF27" i="52"/>
  <c r="DF30" i="52" a="1"/>
  <c r="DF30" i="52"/>
  <c r="DF31" i="52" a="1"/>
  <c r="DF31" i="52"/>
  <c r="DF32" i="52" a="1"/>
  <c r="DF33" i="52" a="1"/>
  <c r="DF34" i="52" a="1"/>
  <c r="DF35" i="52" a="1"/>
  <c r="DF36" i="52" a="1"/>
  <c r="DF37" i="52" a="1"/>
  <c r="DF38" i="52" a="1"/>
  <c r="DF39" i="52" a="1"/>
  <c r="DF40" i="52" a="1"/>
  <c r="DF41" i="52" a="1"/>
  <c r="DF42" i="52" a="1"/>
  <c r="DF43" i="52" a="1"/>
  <c r="DF44" i="52" a="1"/>
  <c r="DF45" i="52" a="1"/>
  <c r="DF46" i="52" a="1"/>
  <c r="DF47" i="52" a="1"/>
  <c r="DF48" i="52" a="1"/>
  <c r="DF49" i="52" a="1"/>
  <c r="DF50" i="52" a="1"/>
  <c r="DF51" i="52" a="1"/>
  <c r="DF52" i="52" a="1"/>
  <c r="DF53" i="52" a="1"/>
  <c r="DF54" i="52" a="1"/>
  <c r="DF55" i="52" a="1"/>
  <c r="DF56" i="52" a="1"/>
  <c r="DF57" i="52" a="1"/>
  <c r="DF58" i="52" a="1"/>
  <c r="DF59" i="52" a="1"/>
  <c r="DF60" i="52" a="1"/>
  <c r="DF61" i="52" a="1"/>
  <c r="DF62" i="52" a="1"/>
  <c r="DF63" i="52" a="1"/>
  <c r="DF64" i="52" a="1"/>
  <c r="DF32" i="52"/>
  <c r="DF33" i="52"/>
  <c r="DF34" i="52"/>
  <c r="DF35" i="52"/>
  <c r="DF36" i="52"/>
  <c r="DF37" i="52"/>
  <c r="DF38" i="52"/>
  <c r="DF39" i="52"/>
  <c r="DF40" i="52"/>
  <c r="DF41" i="52"/>
  <c r="DF42" i="52"/>
  <c r="DF43" i="52"/>
  <c r="DF44" i="52"/>
  <c r="DF45" i="52"/>
  <c r="DF46" i="52"/>
  <c r="DF47" i="52"/>
  <c r="DF48" i="52"/>
  <c r="DF49" i="52"/>
  <c r="DF50" i="52"/>
  <c r="DF51" i="52"/>
  <c r="DF52" i="52"/>
  <c r="DF53" i="52"/>
  <c r="DF54" i="52"/>
  <c r="DF55" i="52"/>
  <c r="DF56" i="52"/>
  <c r="DF57" i="52"/>
  <c r="DF58" i="52"/>
  <c r="DF59" i="52"/>
  <c r="DF60" i="52"/>
  <c r="DF61" i="52"/>
  <c r="DF62" i="52"/>
  <c r="DF63" i="52"/>
  <c r="DF64" i="52"/>
  <c r="DF68" i="52"/>
  <c r="BR71" i="52"/>
  <c r="BQ27" i="52"/>
  <c r="BQ30" i="52" a="1"/>
  <c r="BQ30" i="52"/>
  <c r="BQ31" i="52" a="1"/>
  <c r="BQ31" i="52"/>
  <c r="BQ32" i="52" a="1"/>
  <c r="BQ33" i="52" a="1"/>
  <c r="BQ34" i="52" a="1"/>
  <c r="BQ35" i="52" a="1"/>
  <c r="BQ36" i="52" a="1"/>
  <c r="BQ37" i="52" a="1"/>
  <c r="BQ38" i="52" a="1"/>
  <c r="BQ39" i="52" a="1"/>
  <c r="BQ40" i="52" a="1"/>
  <c r="BQ41" i="52" a="1"/>
  <c r="BQ42" i="52" a="1"/>
  <c r="BQ43" i="52" a="1"/>
  <c r="BQ44" i="52" a="1"/>
  <c r="BQ45" i="52" a="1"/>
  <c r="BQ46" i="52" a="1"/>
  <c r="BQ47" i="52" a="1"/>
  <c r="BQ48" i="52" a="1"/>
  <c r="BQ49" i="52" a="1"/>
  <c r="BQ50" i="52" a="1"/>
  <c r="BQ51" i="52" a="1"/>
  <c r="BQ52" i="52" a="1"/>
  <c r="BQ53" i="52" a="1"/>
  <c r="BQ54" i="52" a="1"/>
  <c r="BQ55" i="52" a="1"/>
  <c r="BQ56" i="52" a="1"/>
  <c r="BQ57" i="52" a="1"/>
  <c r="BQ58" i="52" a="1"/>
  <c r="BQ59" i="52" a="1"/>
  <c r="BQ60" i="52" a="1"/>
  <c r="BQ61" i="52" a="1"/>
  <c r="BQ62" i="52" a="1"/>
  <c r="BQ63" i="52" a="1"/>
  <c r="BQ64" i="52" a="1"/>
  <c r="BQ32" i="52"/>
  <c r="BQ33" i="52"/>
  <c r="BQ34" i="52"/>
  <c r="BQ35" i="52"/>
  <c r="BQ36" i="52"/>
  <c r="BQ37" i="52"/>
  <c r="BQ38" i="52"/>
  <c r="BQ39" i="52"/>
  <c r="BQ40" i="52"/>
  <c r="BQ41" i="52"/>
  <c r="BQ42" i="52"/>
  <c r="BQ43" i="52"/>
  <c r="BQ44" i="52"/>
  <c r="BQ45" i="52"/>
  <c r="BQ46" i="52"/>
  <c r="BQ47" i="52"/>
  <c r="BQ48" i="52"/>
  <c r="BQ49" i="52"/>
  <c r="BQ50" i="52"/>
  <c r="BQ51" i="52"/>
  <c r="BQ52" i="52"/>
  <c r="BQ53" i="52"/>
  <c r="BQ54" i="52"/>
  <c r="BQ55" i="52"/>
  <c r="BQ56" i="52"/>
  <c r="BQ57" i="52"/>
  <c r="BQ58" i="52"/>
  <c r="BQ59" i="52"/>
  <c r="BQ60" i="52"/>
  <c r="BQ61" i="52"/>
  <c r="BQ62" i="52"/>
  <c r="BQ63" i="52"/>
  <c r="BQ64" i="52"/>
  <c r="BQ68" i="52"/>
  <c r="CE27" i="52"/>
  <c r="CE30" i="52" a="1"/>
  <c r="CE30" i="52"/>
  <c r="CE31" i="52" a="1"/>
  <c r="CE31" i="52"/>
  <c r="CE32" i="52" a="1"/>
  <c r="CE33" i="52" a="1"/>
  <c r="CE34" i="52" a="1"/>
  <c r="CE35" i="52" a="1"/>
  <c r="CE36" i="52" a="1"/>
  <c r="CE37" i="52" a="1"/>
  <c r="CE38" i="52" a="1"/>
  <c r="CE39" i="52" a="1"/>
  <c r="CE40" i="52" a="1"/>
  <c r="CE41" i="52" a="1"/>
  <c r="CE42" i="52" a="1"/>
  <c r="CE43" i="52" a="1"/>
  <c r="CE44" i="52" a="1"/>
  <c r="CE45" i="52" a="1"/>
  <c r="CE46" i="52" a="1"/>
  <c r="CE47" i="52" a="1"/>
  <c r="CE48" i="52" a="1"/>
  <c r="CE49" i="52" a="1"/>
  <c r="CE50" i="52" a="1"/>
  <c r="CE51" i="52" a="1"/>
  <c r="CE52" i="52" a="1"/>
  <c r="CE53" i="52" a="1"/>
  <c r="CE54" i="52" a="1"/>
  <c r="CE55" i="52" a="1"/>
  <c r="CE56" i="52" a="1"/>
  <c r="CE57" i="52" a="1"/>
  <c r="CE58" i="52" a="1"/>
  <c r="CE59" i="52" a="1"/>
  <c r="CE60" i="52" a="1"/>
  <c r="CE61" i="52" a="1"/>
  <c r="CE62" i="52" a="1"/>
  <c r="CE63" i="52" a="1"/>
  <c r="CE64" i="52" a="1"/>
  <c r="CE32" i="52"/>
  <c r="CE33" i="52"/>
  <c r="CE34" i="52"/>
  <c r="CE35" i="52"/>
  <c r="CE36" i="52"/>
  <c r="CE37" i="52"/>
  <c r="CE38" i="52"/>
  <c r="CE39" i="52"/>
  <c r="CE40" i="52"/>
  <c r="CE41" i="52"/>
  <c r="CE42" i="52"/>
  <c r="CE43" i="52"/>
  <c r="CE44" i="52"/>
  <c r="CE45" i="52"/>
  <c r="CE46" i="52"/>
  <c r="CE47" i="52"/>
  <c r="CE48" i="52"/>
  <c r="CE49" i="52"/>
  <c r="CE50" i="52"/>
  <c r="CE51" i="52"/>
  <c r="CE52" i="52"/>
  <c r="CE53" i="52"/>
  <c r="CE54" i="52"/>
  <c r="CE55" i="52"/>
  <c r="CE56" i="52"/>
  <c r="CE57" i="52"/>
  <c r="CE58" i="52"/>
  <c r="CE59" i="52"/>
  <c r="CE60" i="52"/>
  <c r="CE61" i="52"/>
  <c r="CE62" i="52"/>
  <c r="CE63" i="52"/>
  <c r="CE64" i="52"/>
  <c r="CE68" i="52"/>
  <c r="CQ27" i="52"/>
  <c r="CQ30" i="52" a="1"/>
  <c r="CQ30" i="52"/>
  <c r="CQ31" i="52" a="1"/>
  <c r="CQ31" i="52"/>
  <c r="CQ32" i="52" a="1"/>
  <c r="CQ33" i="52" a="1"/>
  <c r="CQ34" i="52" a="1"/>
  <c r="CQ35" i="52" a="1"/>
  <c r="CQ36" i="52" a="1"/>
  <c r="CQ37" i="52" a="1"/>
  <c r="CQ38" i="52" a="1"/>
  <c r="CQ39" i="52" a="1"/>
  <c r="CQ40" i="52" a="1"/>
  <c r="CQ41" i="52" a="1"/>
  <c r="CQ42" i="52" a="1"/>
  <c r="CQ43" i="52" a="1"/>
  <c r="CQ44" i="52" a="1"/>
  <c r="CQ45" i="52" a="1"/>
  <c r="CQ46" i="52" a="1"/>
  <c r="CQ47" i="52" a="1"/>
  <c r="CQ48" i="52" a="1"/>
  <c r="CQ49" i="52" a="1"/>
  <c r="CQ50" i="52" a="1"/>
  <c r="CQ51" i="52" a="1"/>
  <c r="CQ52" i="52" a="1"/>
  <c r="CQ53" i="52" a="1"/>
  <c r="CQ54" i="52" a="1"/>
  <c r="CQ55" i="52" a="1"/>
  <c r="CQ56" i="52" a="1"/>
  <c r="CQ57" i="52" a="1"/>
  <c r="CQ58" i="52" a="1"/>
  <c r="CQ59" i="52" a="1"/>
  <c r="CQ60" i="52" a="1"/>
  <c r="CQ61" i="52" a="1"/>
  <c r="CQ62" i="52" a="1"/>
  <c r="CQ63" i="52" a="1"/>
  <c r="CQ64" i="52" a="1"/>
  <c r="CQ32" i="52"/>
  <c r="CQ33" i="52"/>
  <c r="CQ34" i="52"/>
  <c r="CQ35" i="52"/>
  <c r="CQ36" i="52"/>
  <c r="CQ37" i="52"/>
  <c r="CQ38" i="52"/>
  <c r="CQ39" i="52"/>
  <c r="CQ40" i="52"/>
  <c r="CQ41" i="52"/>
  <c r="CQ42" i="52"/>
  <c r="CQ43" i="52"/>
  <c r="CQ44" i="52"/>
  <c r="CQ45" i="52"/>
  <c r="CQ46" i="52"/>
  <c r="CQ47" i="52"/>
  <c r="CQ48" i="52"/>
  <c r="CQ49" i="52"/>
  <c r="CQ50" i="52"/>
  <c r="CQ51" i="52"/>
  <c r="CQ52" i="52"/>
  <c r="CQ53" i="52"/>
  <c r="CQ54" i="52"/>
  <c r="CQ55" i="52"/>
  <c r="CQ56" i="52"/>
  <c r="CQ57" i="52"/>
  <c r="CQ58" i="52"/>
  <c r="CQ59" i="52"/>
  <c r="CQ60" i="52"/>
  <c r="CQ61" i="52"/>
  <c r="CQ62" i="52"/>
  <c r="CQ63" i="52"/>
  <c r="CQ64" i="52"/>
  <c r="CQ68" i="52"/>
  <c r="DE27" i="52"/>
  <c r="DE30" i="52" a="1"/>
  <c r="DE30" i="52"/>
  <c r="DE31" i="52" a="1"/>
  <c r="DE31" i="52"/>
  <c r="DE32" i="52" a="1"/>
  <c r="DE33" i="52" a="1"/>
  <c r="DE34" i="52" a="1"/>
  <c r="DE35" i="52" a="1"/>
  <c r="DE36" i="52" a="1"/>
  <c r="DE37" i="52" a="1"/>
  <c r="DE38" i="52" a="1"/>
  <c r="DE39" i="52" a="1"/>
  <c r="DE40" i="52" a="1"/>
  <c r="DE41" i="52" a="1"/>
  <c r="DE42" i="52" a="1"/>
  <c r="DE43" i="52" a="1"/>
  <c r="DE44" i="52" a="1"/>
  <c r="DE45" i="52" a="1"/>
  <c r="DE46" i="52" a="1"/>
  <c r="DE47" i="52" a="1"/>
  <c r="DE48" i="52" a="1"/>
  <c r="DE49" i="52" a="1"/>
  <c r="DE50" i="52" a="1"/>
  <c r="DE51" i="52" a="1"/>
  <c r="DE52" i="52" a="1"/>
  <c r="DE53" i="52" a="1"/>
  <c r="DE54" i="52" a="1"/>
  <c r="DE55" i="52" a="1"/>
  <c r="DE56" i="52" a="1"/>
  <c r="DE57" i="52" a="1"/>
  <c r="DE58" i="52" a="1"/>
  <c r="DE59" i="52" a="1"/>
  <c r="DE60" i="52" a="1"/>
  <c r="DE61" i="52" a="1"/>
  <c r="DE62" i="52" a="1"/>
  <c r="DE63" i="52" a="1"/>
  <c r="DE64" i="52" a="1"/>
  <c r="DE32" i="52"/>
  <c r="DE33" i="52"/>
  <c r="DE34" i="52"/>
  <c r="DE35" i="52"/>
  <c r="DE36" i="52"/>
  <c r="DE37" i="52"/>
  <c r="DE38" i="52"/>
  <c r="DE39" i="52"/>
  <c r="DE40" i="52"/>
  <c r="DE41" i="52"/>
  <c r="DE42" i="52"/>
  <c r="DE43" i="52"/>
  <c r="DE44" i="52"/>
  <c r="DE45" i="52"/>
  <c r="DE46" i="52"/>
  <c r="DE47" i="52"/>
  <c r="DE48" i="52"/>
  <c r="DE49" i="52"/>
  <c r="DE50" i="52"/>
  <c r="DE51" i="52"/>
  <c r="DE52" i="52"/>
  <c r="DE53" i="52"/>
  <c r="DE54" i="52"/>
  <c r="DE55" i="52"/>
  <c r="DE56" i="52"/>
  <c r="DE57" i="52"/>
  <c r="DE58" i="52"/>
  <c r="DE59" i="52"/>
  <c r="DE60" i="52"/>
  <c r="DE61" i="52"/>
  <c r="DE62" i="52"/>
  <c r="DE63" i="52"/>
  <c r="DE64" i="52"/>
  <c r="DE68" i="52"/>
  <c r="BQ71" i="52"/>
  <c r="BP27" i="52"/>
  <c r="BP30" i="52" a="1"/>
  <c r="BP30" i="52"/>
  <c r="BP31" i="52" a="1"/>
  <c r="BP31" i="52"/>
  <c r="BP32" i="52" a="1"/>
  <c r="BP33" i="52" a="1"/>
  <c r="BP34" i="52" a="1"/>
  <c r="BP35" i="52" a="1"/>
  <c r="BP36" i="52" a="1"/>
  <c r="BP37" i="52" a="1"/>
  <c r="BP38" i="52" a="1"/>
  <c r="BP39" i="52" a="1"/>
  <c r="BP40" i="52" a="1"/>
  <c r="BP41" i="52" a="1"/>
  <c r="BP42" i="52" a="1"/>
  <c r="BP43" i="52" a="1"/>
  <c r="BP44" i="52" a="1"/>
  <c r="BP45" i="52" a="1"/>
  <c r="BP46" i="52" a="1"/>
  <c r="BP47" i="52" a="1"/>
  <c r="BP48" i="52" a="1"/>
  <c r="BP49" i="52" a="1"/>
  <c r="BP50" i="52" a="1"/>
  <c r="BP51" i="52" a="1"/>
  <c r="BP52" i="52" a="1"/>
  <c r="BP53" i="52" a="1"/>
  <c r="BP54" i="52" a="1"/>
  <c r="BP55" i="52" a="1"/>
  <c r="BP56" i="52" a="1"/>
  <c r="BP57" i="52" a="1"/>
  <c r="BP58" i="52" a="1"/>
  <c r="BP59" i="52" a="1"/>
  <c r="BP60" i="52" a="1"/>
  <c r="BP61" i="52" a="1"/>
  <c r="BP62" i="52" a="1"/>
  <c r="BP63" i="52" a="1"/>
  <c r="BP64" i="52" a="1"/>
  <c r="BP32" i="52"/>
  <c r="BP33" i="52"/>
  <c r="BP34" i="52"/>
  <c r="BP35" i="52"/>
  <c r="BP36" i="52"/>
  <c r="BP37" i="52"/>
  <c r="BP38" i="52"/>
  <c r="BP39" i="52"/>
  <c r="BP40" i="52"/>
  <c r="BP41" i="52"/>
  <c r="BP42" i="52"/>
  <c r="BP43" i="52"/>
  <c r="BP44" i="52"/>
  <c r="BP45" i="52"/>
  <c r="BP46" i="52"/>
  <c r="BP47" i="52"/>
  <c r="BP48" i="52"/>
  <c r="BP49" i="52"/>
  <c r="BP50" i="52"/>
  <c r="BP51" i="52"/>
  <c r="BP52" i="52"/>
  <c r="BP53" i="52"/>
  <c r="BP54" i="52"/>
  <c r="BP55" i="52"/>
  <c r="BP56" i="52"/>
  <c r="BP57" i="52"/>
  <c r="BP58" i="52"/>
  <c r="BP59" i="52"/>
  <c r="BP60" i="52"/>
  <c r="BP61" i="52"/>
  <c r="BP62" i="52"/>
  <c r="BP63" i="52"/>
  <c r="BP64" i="52"/>
  <c r="BP68" i="52"/>
  <c r="CD27" i="52"/>
  <c r="CD30" i="52" a="1"/>
  <c r="CD30" i="52"/>
  <c r="CD31" i="52" a="1"/>
  <c r="CD31" i="52"/>
  <c r="CD32" i="52" a="1"/>
  <c r="CD33" i="52" a="1"/>
  <c r="CD34" i="52" a="1"/>
  <c r="CD35" i="52" a="1"/>
  <c r="CD36" i="52" a="1"/>
  <c r="CD37" i="52" a="1"/>
  <c r="CD38" i="52" a="1"/>
  <c r="CD39" i="52" a="1"/>
  <c r="CD40" i="52" a="1"/>
  <c r="CD41" i="52" a="1"/>
  <c r="CD42" i="52" a="1"/>
  <c r="CD43" i="52" a="1"/>
  <c r="CD44" i="52" a="1"/>
  <c r="CD45" i="52" a="1"/>
  <c r="CD46" i="52" a="1"/>
  <c r="CD47" i="52" a="1"/>
  <c r="CD48" i="52" a="1"/>
  <c r="CD49" i="52" a="1"/>
  <c r="CD50" i="52" a="1"/>
  <c r="CD51" i="52" a="1"/>
  <c r="CD52" i="52" a="1"/>
  <c r="CD53" i="52" a="1"/>
  <c r="CD54" i="52" a="1"/>
  <c r="CD55" i="52" a="1"/>
  <c r="CD56" i="52" a="1"/>
  <c r="CD57" i="52" a="1"/>
  <c r="CD58" i="52" a="1"/>
  <c r="CD59" i="52" a="1"/>
  <c r="CD60" i="52" a="1"/>
  <c r="CD61" i="52" a="1"/>
  <c r="CD62" i="52" a="1"/>
  <c r="CD63" i="52" a="1"/>
  <c r="CD64" i="52" a="1"/>
  <c r="CD32" i="52"/>
  <c r="CD33" i="52"/>
  <c r="CD34" i="52"/>
  <c r="CD35" i="52"/>
  <c r="CD36" i="52"/>
  <c r="CD37" i="52"/>
  <c r="CD38" i="52"/>
  <c r="CD39" i="52"/>
  <c r="CD40" i="52"/>
  <c r="CD41" i="52"/>
  <c r="CD42" i="52"/>
  <c r="CD43" i="52"/>
  <c r="CD44" i="52"/>
  <c r="CD45" i="52"/>
  <c r="CD46" i="52"/>
  <c r="CD47" i="52"/>
  <c r="CD48" i="52"/>
  <c r="CD49" i="52"/>
  <c r="CD50" i="52"/>
  <c r="CD51" i="52"/>
  <c r="CD52" i="52"/>
  <c r="CD53" i="52"/>
  <c r="CD54" i="52"/>
  <c r="CD55" i="52"/>
  <c r="CD56" i="52"/>
  <c r="CD57" i="52"/>
  <c r="CD58" i="52"/>
  <c r="CD59" i="52"/>
  <c r="CD60" i="52"/>
  <c r="CD61" i="52"/>
  <c r="CD62" i="52"/>
  <c r="CD63" i="52"/>
  <c r="CD64" i="52"/>
  <c r="CD68" i="52"/>
  <c r="CP27" i="52"/>
  <c r="CP30" i="52" a="1"/>
  <c r="CP30" i="52"/>
  <c r="CP31" i="52" a="1"/>
  <c r="CP31" i="52"/>
  <c r="CP32" i="52" a="1"/>
  <c r="CP33" i="52" a="1"/>
  <c r="CP34" i="52" a="1"/>
  <c r="CP35" i="52" a="1"/>
  <c r="CP36" i="52" a="1"/>
  <c r="CP37" i="52" a="1"/>
  <c r="CP38" i="52" a="1"/>
  <c r="CP39" i="52" a="1"/>
  <c r="CP40" i="52" a="1"/>
  <c r="CP41" i="52" a="1"/>
  <c r="CP42" i="52" a="1"/>
  <c r="CP43" i="52" a="1"/>
  <c r="CP44" i="52" a="1"/>
  <c r="CP45" i="52" a="1"/>
  <c r="CP46" i="52" a="1"/>
  <c r="CP47" i="52" a="1"/>
  <c r="CP48" i="52" a="1"/>
  <c r="CP49" i="52" a="1"/>
  <c r="CP50" i="52" a="1"/>
  <c r="CP51" i="52" a="1"/>
  <c r="CP52" i="52" a="1"/>
  <c r="CP53" i="52" a="1"/>
  <c r="CP54" i="52" a="1"/>
  <c r="CP55" i="52" a="1"/>
  <c r="CP56" i="52" a="1"/>
  <c r="CP57" i="52" a="1"/>
  <c r="CP58" i="52" a="1"/>
  <c r="CP59" i="52" a="1"/>
  <c r="CP60" i="52" a="1"/>
  <c r="CP61" i="52" a="1"/>
  <c r="CP62" i="52" a="1"/>
  <c r="CP63" i="52" a="1"/>
  <c r="CP64" i="52" a="1"/>
  <c r="CP32" i="52"/>
  <c r="CP33" i="52"/>
  <c r="CP34" i="52"/>
  <c r="CP35" i="52"/>
  <c r="CP36" i="52"/>
  <c r="CP37" i="52"/>
  <c r="CP38" i="52"/>
  <c r="CP39" i="52"/>
  <c r="CP40" i="52"/>
  <c r="CP41" i="52"/>
  <c r="CP42" i="52"/>
  <c r="CP43" i="52"/>
  <c r="CP44" i="52"/>
  <c r="CP45" i="52"/>
  <c r="CP46" i="52"/>
  <c r="CP47" i="52"/>
  <c r="CP48" i="52"/>
  <c r="CP49" i="52"/>
  <c r="CP50" i="52"/>
  <c r="CP51" i="52"/>
  <c r="CP52" i="52"/>
  <c r="CP53" i="52"/>
  <c r="CP54" i="52"/>
  <c r="CP55" i="52"/>
  <c r="CP56" i="52"/>
  <c r="CP57" i="52"/>
  <c r="CP58" i="52"/>
  <c r="CP59" i="52"/>
  <c r="CP60" i="52"/>
  <c r="CP61" i="52"/>
  <c r="CP62" i="52"/>
  <c r="CP63" i="52"/>
  <c r="CP64" i="52"/>
  <c r="CP68" i="52"/>
  <c r="DD27" i="52"/>
  <c r="DD30" i="52" a="1"/>
  <c r="DD30" i="52"/>
  <c r="DD31" i="52" a="1"/>
  <c r="DD31" i="52"/>
  <c r="DD32" i="52" a="1"/>
  <c r="DD33" i="52" a="1"/>
  <c r="DD34" i="52" a="1"/>
  <c r="DD35" i="52" a="1"/>
  <c r="DD36" i="52" a="1"/>
  <c r="DD37" i="52" a="1"/>
  <c r="DD38" i="52" a="1"/>
  <c r="DD39" i="52" a="1"/>
  <c r="DD40" i="52" a="1"/>
  <c r="DD41" i="52" a="1"/>
  <c r="DD42" i="52" a="1"/>
  <c r="DD43" i="52" a="1"/>
  <c r="DD44" i="52" a="1"/>
  <c r="DD45" i="52" a="1"/>
  <c r="DD46" i="52" a="1"/>
  <c r="DD47" i="52" a="1"/>
  <c r="DD48" i="52" a="1"/>
  <c r="DD49" i="52" a="1"/>
  <c r="DD50" i="52" a="1"/>
  <c r="DD51" i="52" a="1"/>
  <c r="DD52" i="52" a="1"/>
  <c r="DD53" i="52" a="1"/>
  <c r="DD54" i="52" a="1"/>
  <c r="DD55" i="52" a="1"/>
  <c r="DD56" i="52" a="1"/>
  <c r="DD57" i="52" a="1"/>
  <c r="DD58" i="52" a="1"/>
  <c r="DD59" i="52" a="1"/>
  <c r="DD60" i="52" a="1"/>
  <c r="DD61" i="52" a="1"/>
  <c r="DD62" i="52" a="1"/>
  <c r="DD63" i="52" a="1"/>
  <c r="DD64" i="52" a="1"/>
  <c r="DD32" i="52"/>
  <c r="DD33" i="52"/>
  <c r="DD34" i="52"/>
  <c r="DD35" i="52"/>
  <c r="DD36" i="52"/>
  <c r="DD37" i="52"/>
  <c r="DD38" i="52"/>
  <c r="DD39" i="52"/>
  <c r="DD40" i="52"/>
  <c r="DD41" i="52"/>
  <c r="DD42" i="52"/>
  <c r="DD43" i="52"/>
  <c r="DD44" i="52"/>
  <c r="DD45" i="52"/>
  <c r="DD46" i="52"/>
  <c r="DD47" i="52"/>
  <c r="DD48" i="52"/>
  <c r="DD49" i="52"/>
  <c r="DD50" i="52"/>
  <c r="DD51" i="52"/>
  <c r="DD52" i="52"/>
  <c r="DD53" i="52"/>
  <c r="DD54" i="52"/>
  <c r="DD55" i="52"/>
  <c r="DD56" i="52"/>
  <c r="DD57" i="52"/>
  <c r="DD58" i="52"/>
  <c r="DD59" i="52"/>
  <c r="DD60" i="52"/>
  <c r="DD61" i="52"/>
  <c r="DD62" i="52"/>
  <c r="DD63" i="52"/>
  <c r="DD64" i="52"/>
  <c r="DD68" i="52"/>
  <c r="BP71" i="52"/>
  <c r="BO27" i="52"/>
  <c r="BO30" i="52" a="1"/>
  <c r="BO30" i="52"/>
  <c r="BO31" i="52" a="1"/>
  <c r="BO31" i="52"/>
  <c r="BO32" i="52" a="1"/>
  <c r="BO33" i="52" a="1"/>
  <c r="BO34" i="52" a="1"/>
  <c r="BO35" i="52" a="1"/>
  <c r="BO36" i="52" a="1"/>
  <c r="BO37" i="52" a="1"/>
  <c r="BO38" i="52" a="1"/>
  <c r="BO39" i="52" a="1"/>
  <c r="BO40" i="52" a="1"/>
  <c r="BO41" i="52" a="1"/>
  <c r="BO42" i="52" a="1"/>
  <c r="BO43" i="52" a="1"/>
  <c r="BO44" i="52" a="1"/>
  <c r="BO45" i="52" a="1"/>
  <c r="BO46" i="52" a="1"/>
  <c r="BO47" i="52" a="1"/>
  <c r="BO48" i="52" a="1"/>
  <c r="BO49" i="52" a="1"/>
  <c r="BO50" i="52" a="1"/>
  <c r="BO51" i="52" a="1"/>
  <c r="BO52" i="52" a="1"/>
  <c r="BO53" i="52" a="1"/>
  <c r="BO54" i="52" a="1"/>
  <c r="BO55" i="52" a="1"/>
  <c r="BO56" i="52" a="1"/>
  <c r="BO57" i="52" a="1"/>
  <c r="BO58" i="52" a="1"/>
  <c r="BO59" i="52" a="1"/>
  <c r="BO60" i="52" a="1"/>
  <c r="BO61" i="52" a="1"/>
  <c r="BO62" i="52" a="1"/>
  <c r="BO63" i="52" a="1"/>
  <c r="BO64" i="52" a="1"/>
  <c r="BO32" i="52"/>
  <c r="BO33" i="52"/>
  <c r="BO34" i="52"/>
  <c r="BO35" i="52"/>
  <c r="BO36" i="52"/>
  <c r="BO37" i="52"/>
  <c r="BO38" i="52"/>
  <c r="BO39" i="52"/>
  <c r="BO40" i="52"/>
  <c r="BO41" i="52"/>
  <c r="BO42" i="52"/>
  <c r="BO43" i="52"/>
  <c r="BO44" i="52"/>
  <c r="BO45" i="52"/>
  <c r="BO46" i="52"/>
  <c r="BO47" i="52"/>
  <c r="BO48" i="52"/>
  <c r="BO49" i="52"/>
  <c r="BO50" i="52"/>
  <c r="BO51" i="52"/>
  <c r="BO52" i="52"/>
  <c r="BO53" i="52"/>
  <c r="BO54" i="52"/>
  <c r="BO55" i="52"/>
  <c r="BO56" i="52"/>
  <c r="BO57" i="52"/>
  <c r="BO58" i="52"/>
  <c r="BO59" i="52"/>
  <c r="BO60" i="52"/>
  <c r="BO61" i="52"/>
  <c r="BO62" i="52"/>
  <c r="BO63" i="52"/>
  <c r="BO64" i="52"/>
  <c r="BO68" i="52"/>
  <c r="CC27" i="52"/>
  <c r="CC30" i="52" a="1"/>
  <c r="CC30" i="52"/>
  <c r="CC31" i="52" a="1"/>
  <c r="CC31" i="52"/>
  <c r="CC32" i="52" a="1"/>
  <c r="CC33" i="52" a="1"/>
  <c r="CC34" i="52" a="1"/>
  <c r="CC35" i="52" a="1"/>
  <c r="CC36" i="52" a="1"/>
  <c r="CC37" i="52" a="1"/>
  <c r="CC38" i="52" a="1"/>
  <c r="CC39" i="52" a="1"/>
  <c r="CC40" i="52" a="1"/>
  <c r="CC41" i="52" a="1"/>
  <c r="CC42" i="52" a="1"/>
  <c r="CC43" i="52" a="1"/>
  <c r="CC44" i="52" a="1"/>
  <c r="CC45" i="52" a="1"/>
  <c r="CC46" i="52" a="1"/>
  <c r="CC47" i="52" a="1"/>
  <c r="CC48" i="52" a="1"/>
  <c r="CC49" i="52" a="1"/>
  <c r="CC50" i="52" a="1"/>
  <c r="CC51" i="52" a="1"/>
  <c r="CC52" i="52" a="1"/>
  <c r="CC53" i="52" a="1"/>
  <c r="CC54" i="52" a="1"/>
  <c r="CC55" i="52" a="1"/>
  <c r="CC56" i="52" a="1"/>
  <c r="CC57" i="52" a="1"/>
  <c r="CC58" i="52" a="1"/>
  <c r="CC59" i="52" a="1"/>
  <c r="CC60" i="52" a="1"/>
  <c r="CC61" i="52" a="1"/>
  <c r="CC62" i="52" a="1"/>
  <c r="CC63" i="52" a="1"/>
  <c r="CC64" i="52" a="1"/>
  <c r="CC32" i="52"/>
  <c r="CC33" i="52"/>
  <c r="CC34" i="52"/>
  <c r="CC35" i="52"/>
  <c r="CC36" i="52"/>
  <c r="CC37" i="52"/>
  <c r="CC38" i="52"/>
  <c r="CC39" i="52"/>
  <c r="CC40" i="52"/>
  <c r="CC41" i="52"/>
  <c r="CC42" i="52"/>
  <c r="CC43" i="52"/>
  <c r="CC44" i="52"/>
  <c r="CC45" i="52"/>
  <c r="CC46" i="52"/>
  <c r="CC47" i="52"/>
  <c r="CC48" i="52"/>
  <c r="CC49" i="52"/>
  <c r="CC50" i="52"/>
  <c r="CC51" i="52"/>
  <c r="CC52" i="52"/>
  <c r="CC53" i="52"/>
  <c r="CC54" i="52"/>
  <c r="CC55" i="52"/>
  <c r="CC56" i="52"/>
  <c r="CC57" i="52"/>
  <c r="CC58" i="52"/>
  <c r="CC59" i="52"/>
  <c r="CC60" i="52"/>
  <c r="CC61" i="52"/>
  <c r="CC62" i="52"/>
  <c r="CC63" i="52"/>
  <c r="CC64" i="52"/>
  <c r="CC68" i="52"/>
  <c r="CO27" i="52"/>
  <c r="CO30" i="52" a="1"/>
  <c r="CO30" i="52"/>
  <c r="CO31" i="52" a="1"/>
  <c r="CO31" i="52"/>
  <c r="CO32" i="52" a="1"/>
  <c r="CO33" i="52" a="1"/>
  <c r="CO34" i="52" a="1"/>
  <c r="CO35" i="52" a="1"/>
  <c r="CO36" i="52" a="1"/>
  <c r="CO37" i="52" a="1"/>
  <c r="CO38" i="52" a="1"/>
  <c r="CO39" i="52" a="1"/>
  <c r="CO40" i="52" a="1"/>
  <c r="CO41" i="52" a="1"/>
  <c r="CO42" i="52" a="1"/>
  <c r="CO43" i="52" a="1"/>
  <c r="CO44" i="52" a="1"/>
  <c r="CO45" i="52" a="1"/>
  <c r="CO46" i="52" a="1"/>
  <c r="CO47" i="52" a="1"/>
  <c r="CO48" i="52" a="1"/>
  <c r="CO49" i="52" a="1"/>
  <c r="CO50" i="52" a="1"/>
  <c r="CO51" i="52" a="1"/>
  <c r="CO52" i="52" a="1"/>
  <c r="CO53" i="52" a="1"/>
  <c r="CO54" i="52" a="1"/>
  <c r="CO55" i="52" a="1"/>
  <c r="CO56" i="52" a="1"/>
  <c r="CO57" i="52" a="1"/>
  <c r="CO58" i="52" a="1"/>
  <c r="CO59" i="52" a="1"/>
  <c r="CO60" i="52" a="1"/>
  <c r="CO61" i="52" a="1"/>
  <c r="CO62" i="52" a="1"/>
  <c r="CO63" i="52" a="1"/>
  <c r="CO64" i="52" a="1"/>
  <c r="CO32" i="52"/>
  <c r="CO33" i="52"/>
  <c r="CO34" i="52"/>
  <c r="CO35" i="52"/>
  <c r="CO36" i="52"/>
  <c r="CO37" i="52"/>
  <c r="CO38" i="52"/>
  <c r="CO39" i="52"/>
  <c r="CO40" i="52"/>
  <c r="CO41" i="52"/>
  <c r="CO42" i="52"/>
  <c r="CO43" i="52"/>
  <c r="CO44" i="52"/>
  <c r="CO45" i="52"/>
  <c r="CO46" i="52"/>
  <c r="CO47" i="52"/>
  <c r="CO48" i="52"/>
  <c r="CO49" i="52"/>
  <c r="CO50" i="52"/>
  <c r="CO51" i="52"/>
  <c r="CO52" i="52"/>
  <c r="CO53" i="52"/>
  <c r="CO54" i="52"/>
  <c r="CO55" i="52"/>
  <c r="CO56" i="52"/>
  <c r="CO57" i="52"/>
  <c r="CO58" i="52"/>
  <c r="CO59" i="52"/>
  <c r="CO60" i="52"/>
  <c r="CO61" i="52"/>
  <c r="CO62" i="52"/>
  <c r="CO63" i="52"/>
  <c r="CO64" i="52"/>
  <c r="CO68" i="52"/>
  <c r="DC27" i="52"/>
  <c r="DC30" i="52" a="1"/>
  <c r="DC30" i="52"/>
  <c r="DC31" i="52" a="1"/>
  <c r="DC31" i="52"/>
  <c r="DC32" i="52" a="1"/>
  <c r="DC33" i="52" a="1"/>
  <c r="DC34" i="52" a="1"/>
  <c r="DC35" i="52" a="1"/>
  <c r="DC36" i="52" a="1"/>
  <c r="DC37" i="52" a="1"/>
  <c r="DC38" i="52" a="1"/>
  <c r="DC39" i="52" a="1"/>
  <c r="DC40" i="52" a="1"/>
  <c r="DC41" i="52" a="1"/>
  <c r="DC42" i="52" a="1"/>
  <c r="DC43" i="52" a="1"/>
  <c r="DC44" i="52" a="1"/>
  <c r="DC45" i="52" a="1"/>
  <c r="DC46" i="52" a="1"/>
  <c r="DC47" i="52" a="1"/>
  <c r="DC48" i="52" a="1"/>
  <c r="DC49" i="52" a="1"/>
  <c r="DC50" i="52" a="1"/>
  <c r="DC51" i="52" a="1"/>
  <c r="DC52" i="52" a="1"/>
  <c r="DC53" i="52" a="1"/>
  <c r="DC54" i="52" a="1"/>
  <c r="DC55" i="52" a="1"/>
  <c r="DC56" i="52" a="1"/>
  <c r="DC57" i="52" a="1"/>
  <c r="DC58" i="52" a="1"/>
  <c r="DC59" i="52" a="1"/>
  <c r="DC60" i="52" a="1"/>
  <c r="DC61" i="52" a="1"/>
  <c r="DC62" i="52" a="1"/>
  <c r="DC63" i="52" a="1"/>
  <c r="DC64" i="52" a="1"/>
  <c r="DC32" i="52"/>
  <c r="DC33" i="52"/>
  <c r="DC34" i="52"/>
  <c r="DC35" i="52"/>
  <c r="DC36" i="52"/>
  <c r="DC37" i="52"/>
  <c r="DC38" i="52"/>
  <c r="DC39" i="52"/>
  <c r="DC40" i="52"/>
  <c r="DC41" i="52"/>
  <c r="DC42" i="52"/>
  <c r="DC43" i="52"/>
  <c r="DC44" i="52"/>
  <c r="DC45" i="52"/>
  <c r="DC46" i="52"/>
  <c r="DC47" i="52"/>
  <c r="DC48" i="52"/>
  <c r="DC49" i="52"/>
  <c r="DC50" i="52"/>
  <c r="DC51" i="52"/>
  <c r="DC52" i="52"/>
  <c r="DC53" i="52"/>
  <c r="DC54" i="52"/>
  <c r="DC55" i="52"/>
  <c r="DC56" i="52"/>
  <c r="DC57" i="52"/>
  <c r="DC58" i="52"/>
  <c r="DC59" i="52"/>
  <c r="DC60" i="52"/>
  <c r="DC61" i="52"/>
  <c r="DC62" i="52"/>
  <c r="DC63" i="52"/>
  <c r="DC64" i="52"/>
  <c r="DC68" i="52"/>
  <c r="BO71" i="52"/>
  <c r="BN27" i="52"/>
  <c r="BN30" i="52" a="1"/>
  <c r="BN30" i="52"/>
  <c r="BN31" i="52" a="1"/>
  <c r="BN31" i="52"/>
  <c r="BN32" i="52" a="1"/>
  <c r="BN33" i="52" a="1"/>
  <c r="BN34" i="52" a="1"/>
  <c r="BN35" i="52" a="1"/>
  <c r="BN36" i="52" a="1"/>
  <c r="BN37" i="52" a="1"/>
  <c r="BN38" i="52" a="1"/>
  <c r="BN39" i="52" a="1"/>
  <c r="BN40" i="52" a="1"/>
  <c r="BN41" i="52" a="1"/>
  <c r="BN42" i="52" a="1"/>
  <c r="BN43" i="52" a="1"/>
  <c r="BN44" i="52" a="1"/>
  <c r="BN45" i="52" a="1"/>
  <c r="BN46" i="52" a="1"/>
  <c r="BN47" i="52" a="1"/>
  <c r="BN48" i="52" a="1"/>
  <c r="BN49" i="52" a="1"/>
  <c r="BN50" i="52" a="1"/>
  <c r="BN51" i="52" a="1"/>
  <c r="BN52" i="52" a="1"/>
  <c r="BN53" i="52" a="1"/>
  <c r="BN54" i="52" a="1"/>
  <c r="BN55" i="52" a="1"/>
  <c r="BN56" i="52" a="1"/>
  <c r="BN57" i="52" a="1"/>
  <c r="BN58" i="52" a="1"/>
  <c r="BN59" i="52" a="1"/>
  <c r="BN60" i="52" a="1"/>
  <c r="BN61" i="52" a="1"/>
  <c r="BN62" i="52" a="1"/>
  <c r="BN63" i="52" a="1"/>
  <c r="BN64" i="52" a="1"/>
  <c r="BN32" i="52"/>
  <c r="BN33" i="52"/>
  <c r="BN34" i="52"/>
  <c r="BN35" i="52"/>
  <c r="BN36" i="52"/>
  <c r="BN37" i="52"/>
  <c r="BN38" i="52"/>
  <c r="BN39" i="52"/>
  <c r="BN40" i="52"/>
  <c r="BN41" i="52"/>
  <c r="BN42" i="52"/>
  <c r="BN43" i="52"/>
  <c r="BN44" i="52"/>
  <c r="BN45" i="52"/>
  <c r="BN46" i="52"/>
  <c r="BN47" i="52"/>
  <c r="BN48" i="52"/>
  <c r="BN49" i="52"/>
  <c r="BN50" i="52"/>
  <c r="BN51" i="52"/>
  <c r="BN52" i="52"/>
  <c r="BN53" i="52"/>
  <c r="BN54" i="52"/>
  <c r="BN55" i="52"/>
  <c r="BN56" i="52"/>
  <c r="BN57" i="52"/>
  <c r="BN58" i="52"/>
  <c r="BN59" i="52"/>
  <c r="BN60" i="52"/>
  <c r="BN61" i="52"/>
  <c r="BN62" i="52"/>
  <c r="BN63" i="52"/>
  <c r="BN64" i="52"/>
  <c r="BN68" i="52"/>
  <c r="CB27" i="52"/>
  <c r="CB30" i="52" a="1"/>
  <c r="CB30" i="52"/>
  <c r="CB31" i="52" a="1"/>
  <c r="CB31" i="52"/>
  <c r="CB32" i="52" a="1"/>
  <c r="CB33" i="52" a="1"/>
  <c r="CB34" i="52" a="1"/>
  <c r="CB35" i="52" a="1"/>
  <c r="CB36" i="52" a="1"/>
  <c r="CB37" i="52" a="1"/>
  <c r="CB38" i="52" a="1"/>
  <c r="CB39" i="52" a="1"/>
  <c r="CB40" i="52" a="1"/>
  <c r="CB41" i="52" a="1"/>
  <c r="CB42" i="52" a="1"/>
  <c r="CB43" i="52" a="1"/>
  <c r="CB44" i="52" a="1"/>
  <c r="CB45" i="52" a="1"/>
  <c r="CB46" i="52" a="1"/>
  <c r="CB47" i="52" a="1"/>
  <c r="CB48" i="52" a="1"/>
  <c r="CB49" i="52" a="1"/>
  <c r="CB50" i="52" a="1"/>
  <c r="CB51" i="52" a="1"/>
  <c r="CB52" i="52" a="1"/>
  <c r="CB53" i="52" a="1"/>
  <c r="CB54" i="52" a="1"/>
  <c r="CB55" i="52" a="1"/>
  <c r="CB56" i="52" a="1"/>
  <c r="CB57" i="52" a="1"/>
  <c r="CB58" i="52" a="1"/>
  <c r="CB59" i="52" a="1"/>
  <c r="CB60" i="52" a="1"/>
  <c r="CB61" i="52" a="1"/>
  <c r="CB62" i="52" a="1"/>
  <c r="CB63" i="52" a="1"/>
  <c r="CB64" i="52" a="1"/>
  <c r="CB32" i="52"/>
  <c r="CB33" i="52"/>
  <c r="CB34" i="52"/>
  <c r="CB35" i="52"/>
  <c r="CB36" i="52"/>
  <c r="CB37" i="52"/>
  <c r="CB38" i="52"/>
  <c r="CB39" i="52"/>
  <c r="CB40" i="52"/>
  <c r="CB41" i="52"/>
  <c r="CB42" i="52"/>
  <c r="CB43" i="52"/>
  <c r="CB44" i="52"/>
  <c r="CB45" i="52"/>
  <c r="CB46" i="52"/>
  <c r="CB47" i="52"/>
  <c r="CB48" i="52"/>
  <c r="CB49" i="52"/>
  <c r="CB50" i="52"/>
  <c r="CB51" i="52"/>
  <c r="CB52" i="52"/>
  <c r="CB53" i="52"/>
  <c r="CB54" i="52"/>
  <c r="CB55" i="52"/>
  <c r="CB56" i="52"/>
  <c r="CB57" i="52"/>
  <c r="CB58" i="52"/>
  <c r="CB59" i="52"/>
  <c r="CB60" i="52"/>
  <c r="CB61" i="52"/>
  <c r="CB62" i="52"/>
  <c r="CB63" i="52"/>
  <c r="CB64" i="52"/>
  <c r="CB68" i="52"/>
  <c r="CN27" i="52"/>
  <c r="CN30" i="52" a="1"/>
  <c r="CN30" i="52"/>
  <c r="CN31" i="52" a="1"/>
  <c r="CN31" i="52"/>
  <c r="CN32" i="52" a="1"/>
  <c r="CN33" i="52" a="1"/>
  <c r="CN34" i="52" a="1"/>
  <c r="CN35" i="52" a="1"/>
  <c r="CN36" i="52" a="1"/>
  <c r="CN37" i="52" a="1"/>
  <c r="CN38" i="52" a="1"/>
  <c r="CN39" i="52" a="1"/>
  <c r="CN40" i="52" a="1"/>
  <c r="CN41" i="52" a="1"/>
  <c r="CN42" i="52" a="1"/>
  <c r="CN43" i="52" a="1"/>
  <c r="CN44" i="52" a="1"/>
  <c r="CN45" i="52" a="1"/>
  <c r="CN46" i="52" a="1"/>
  <c r="CN47" i="52" a="1"/>
  <c r="CN48" i="52" a="1"/>
  <c r="CN49" i="52" a="1"/>
  <c r="CN50" i="52" a="1"/>
  <c r="CN51" i="52" a="1"/>
  <c r="CN52" i="52" a="1"/>
  <c r="CN53" i="52" a="1"/>
  <c r="CN54" i="52" a="1"/>
  <c r="CN55" i="52" a="1"/>
  <c r="CN56" i="52" a="1"/>
  <c r="CN57" i="52" a="1"/>
  <c r="CN58" i="52" a="1"/>
  <c r="CN59" i="52" a="1"/>
  <c r="CN60" i="52" a="1"/>
  <c r="CN61" i="52" a="1"/>
  <c r="CN62" i="52" a="1"/>
  <c r="CN63" i="52" a="1"/>
  <c r="CN64" i="52" a="1"/>
  <c r="CN32" i="52"/>
  <c r="CN33" i="52"/>
  <c r="CN34" i="52"/>
  <c r="CN35" i="52"/>
  <c r="CN36" i="52"/>
  <c r="CN37" i="52"/>
  <c r="CN38" i="52"/>
  <c r="CN39" i="52"/>
  <c r="CN40" i="52"/>
  <c r="CN41" i="52"/>
  <c r="CN42" i="52"/>
  <c r="CN43" i="52"/>
  <c r="CN44" i="52"/>
  <c r="CN45" i="52"/>
  <c r="CN46" i="52"/>
  <c r="CN47" i="52"/>
  <c r="CN48" i="52"/>
  <c r="CN49" i="52"/>
  <c r="CN50" i="52"/>
  <c r="CN51" i="52"/>
  <c r="CN52" i="52"/>
  <c r="CN53" i="52"/>
  <c r="CN54" i="52"/>
  <c r="CN55" i="52"/>
  <c r="CN56" i="52"/>
  <c r="CN57" i="52"/>
  <c r="CN58" i="52"/>
  <c r="CN59" i="52"/>
  <c r="CN60" i="52"/>
  <c r="CN61" i="52"/>
  <c r="CN62" i="52"/>
  <c r="CN63" i="52"/>
  <c r="CN64" i="52"/>
  <c r="CN68" i="52"/>
  <c r="DB27" i="52"/>
  <c r="DB30" i="52" a="1"/>
  <c r="DB30" i="52"/>
  <c r="DB31" i="52" a="1"/>
  <c r="DB31" i="52"/>
  <c r="DB32" i="52" a="1"/>
  <c r="DB33" i="52" a="1"/>
  <c r="DB34" i="52" a="1"/>
  <c r="DB35" i="52" a="1"/>
  <c r="DB36" i="52" a="1"/>
  <c r="DB37" i="52" a="1"/>
  <c r="DB38" i="52" a="1"/>
  <c r="DB39" i="52" a="1"/>
  <c r="DB40" i="52" a="1"/>
  <c r="DB41" i="52" a="1"/>
  <c r="DB42" i="52" a="1"/>
  <c r="DB43" i="52" a="1"/>
  <c r="DB44" i="52" a="1"/>
  <c r="DB45" i="52" a="1"/>
  <c r="DB46" i="52" a="1"/>
  <c r="DB47" i="52" a="1"/>
  <c r="DB48" i="52" a="1"/>
  <c r="DB49" i="52" a="1"/>
  <c r="DB50" i="52" a="1"/>
  <c r="DB51" i="52" a="1"/>
  <c r="DB52" i="52" a="1"/>
  <c r="DB53" i="52" a="1"/>
  <c r="DB54" i="52" a="1"/>
  <c r="DB55" i="52" a="1"/>
  <c r="DB56" i="52" a="1"/>
  <c r="DB57" i="52" a="1"/>
  <c r="DB58" i="52" a="1"/>
  <c r="DB59" i="52" a="1"/>
  <c r="DB60" i="52" a="1"/>
  <c r="DB61" i="52" a="1"/>
  <c r="DB62" i="52" a="1"/>
  <c r="DB63" i="52" a="1"/>
  <c r="DB64" i="52" a="1"/>
  <c r="DB32" i="52"/>
  <c r="DB33" i="52"/>
  <c r="DB34" i="52"/>
  <c r="DB35" i="52"/>
  <c r="DB36" i="52"/>
  <c r="DB37" i="52"/>
  <c r="DB38" i="52"/>
  <c r="DB39" i="52"/>
  <c r="DB40" i="52"/>
  <c r="DB41" i="52"/>
  <c r="DB42" i="52"/>
  <c r="DB43" i="52"/>
  <c r="DB44" i="52"/>
  <c r="DB45" i="52"/>
  <c r="DB46" i="52"/>
  <c r="DB47" i="52"/>
  <c r="DB48" i="52"/>
  <c r="DB49" i="52"/>
  <c r="DB50" i="52"/>
  <c r="DB51" i="52"/>
  <c r="DB52" i="52"/>
  <c r="DB53" i="52"/>
  <c r="DB54" i="52"/>
  <c r="DB55" i="52"/>
  <c r="DB56" i="52"/>
  <c r="DB57" i="52"/>
  <c r="DB58" i="52"/>
  <c r="DB59" i="52"/>
  <c r="DB60" i="52"/>
  <c r="DB61" i="52"/>
  <c r="DB62" i="52"/>
  <c r="DB63" i="52"/>
  <c r="DB64" i="52"/>
  <c r="DB68" i="52"/>
  <c r="BN71" i="52"/>
  <c r="BM27" i="52"/>
  <c r="BM30" i="52" a="1"/>
  <c r="BM30" i="52"/>
  <c r="BM31" i="52" a="1"/>
  <c r="BM31" i="52"/>
  <c r="BM32" i="52" a="1"/>
  <c r="BM33" i="52" a="1"/>
  <c r="BM34" i="52" a="1"/>
  <c r="BM35" i="52" a="1"/>
  <c r="BM36" i="52" a="1"/>
  <c r="BM37" i="52" a="1"/>
  <c r="BM38" i="52" a="1"/>
  <c r="BM39" i="52" a="1"/>
  <c r="BM40" i="52" a="1"/>
  <c r="BM41" i="52" a="1"/>
  <c r="BM42" i="52" a="1"/>
  <c r="BM43" i="52" a="1"/>
  <c r="BM44" i="52" a="1"/>
  <c r="BM45" i="52" a="1"/>
  <c r="BM46" i="52" a="1"/>
  <c r="BM47" i="52" a="1"/>
  <c r="BM48" i="52" a="1"/>
  <c r="BM49" i="52" a="1"/>
  <c r="BM50" i="52" a="1"/>
  <c r="BM51" i="52" a="1"/>
  <c r="BM52" i="52" a="1"/>
  <c r="BM53" i="52" a="1"/>
  <c r="BM54" i="52" a="1"/>
  <c r="BM55" i="52" a="1"/>
  <c r="BM56" i="52" a="1"/>
  <c r="BM57" i="52" a="1"/>
  <c r="BM58" i="52" a="1"/>
  <c r="BM59" i="52" a="1"/>
  <c r="BM60" i="52" a="1"/>
  <c r="BM61" i="52" a="1"/>
  <c r="BM62" i="52" a="1"/>
  <c r="BM63" i="52" a="1"/>
  <c r="BM64" i="52" a="1"/>
  <c r="BM32" i="52"/>
  <c r="BM33" i="52"/>
  <c r="BM34" i="52"/>
  <c r="BM35" i="52"/>
  <c r="BM36" i="52"/>
  <c r="BM37" i="52"/>
  <c r="BM38" i="52"/>
  <c r="BM39" i="52"/>
  <c r="BM40" i="52"/>
  <c r="BM41" i="52"/>
  <c r="BM42" i="52"/>
  <c r="BM43" i="52"/>
  <c r="BM44" i="52"/>
  <c r="BM45" i="52"/>
  <c r="BM46" i="52"/>
  <c r="BM47" i="52"/>
  <c r="BM48" i="52"/>
  <c r="BM49" i="52"/>
  <c r="BM50" i="52"/>
  <c r="BM51" i="52"/>
  <c r="BM52" i="52"/>
  <c r="BM53" i="52"/>
  <c r="BM54" i="52"/>
  <c r="BM55" i="52"/>
  <c r="BM56" i="52"/>
  <c r="BM57" i="52"/>
  <c r="BM58" i="52"/>
  <c r="BM59" i="52"/>
  <c r="BM60" i="52"/>
  <c r="BM61" i="52"/>
  <c r="BM62" i="52"/>
  <c r="BM63" i="52"/>
  <c r="BM64" i="52"/>
  <c r="BM68" i="52"/>
  <c r="CA27" i="52"/>
  <c r="CA30" i="52" a="1"/>
  <c r="CA30" i="52"/>
  <c r="CA31" i="52" a="1"/>
  <c r="CA31" i="52"/>
  <c r="CA32" i="52" a="1"/>
  <c r="CA33" i="52" a="1"/>
  <c r="CA34" i="52" a="1"/>
  <c r="CA35" i="52" a="1"/>
  <c r="CA36" i="52" a="1"/>
  <c r="CA37" i="52" a="1"/>
  <c r="CA38" i="52" a="1"/>
  <c r="CA39" i="52" a="1"/>
  <c r="CA40" i="52" a="1"/>
  <c r="CA41" i="52" a="1"/>
  <c r="CA42" i="52" a="1"/>
  <c r="CA43" i="52" a="1"/>
  <c r="CA44" i="52" a="1"/>
  <c r="CA45" i="52" a="1"/>
  <c r="CA46" i="52" a="1"/>
  <c r="CA47" i="52" a="1"/>
  <c r="CA48" i="52" a="1"/>
  <c r="CA49" i="52" a="1"/>
  <c r="CA50" i="52" a="1"/>
  <c r="CA51" i="52" a="1"/>
  <c r="CA52" i="52" a="1"/>
  <c r="CA53" i="52" a="1"/>
  <c r="CA54" i="52" a="1"/>
  <c r="CA55" i="52" a="1"/>
  <c r="CA56" i="52" a="1"/>
  <c r="CA57" i="52" a="1"/>
  <c r="CA58" i="52" a="1"/>
  <c r="CA59" i="52" a="1"/>
  <c r="CA60" i="52" a="1"/>
  <c r="CA61" i="52" a="1"/>
  <c r="CA62" i="52" a="1"/>
  <c r="CA63" i="52" a="1"/>
  <c r="CA64" i="52" a="1"/>
  <c r="CA32" i="52"/>
  <c r="CA33" i="52"/>
  <c r="CA34" i="52"/>
  <c r="CA35" i="52"/>
  <c r="CA36" i="52"/>
  <c r="CA37" i="52"/>
  <c r="CA38" i="52"/>
  <c r="CA39" i="52"/>
  <c r="CA40" i="52"/>
  <c r="CA41" i="52"/>
  <c r="CA42" i="52"/>
  <c r="CA43" i="52"/>
  <c r="CA44" i="52"/>
  <c r="CA45" i="52"/>
  <c r="CA46" i="52"/>
  <c r="CA47" i="52"/>
  <c r="CA48" i="52"/>
  <c r="CA49" i="52"/>
  <c r="CA50" i="52"/>
  <c r="CA51" i="52"/>
  <c r="CA52" i="52"/>
  <c r="CA53" i="52"/>
  <c r="CA54" i="52"/>
  <c r="CA55" i="52"/>
  <c r="CA56" i="52"/>
  <c r="CA57" i="52"/>
  <c r="CA58" i="52"/>
  <c r="CA59" i="52"/>
  <c r="CA60" i="52"/>
  <c r="CA61" i="52"/>
  <c r="CA62" i="52"/>
  <c r="CA63" i="52"/>
  <c r="CA64" i="52"/>
  <c r="CA68" i="52"/>
  <c r="DA27" i="52"/>
  <c r="DA30" i="52" a="1"/>
  <c r="DA30" i="52"/>
  <c r="DA31" i="52" a="1"/>
  <c r="DA31" i="52"/>
  <c r="DA32" i="52" a="1"/>
  <c r="DA33" i="52" a="1"/>
  <c r="DA34" i="52" a="1"/>
  <c r="DA35" i="52" a="1"/>
  <c r="DA36" i="52" a="1"/>
  <c r="DA37" i="52" a="1"/>
  <c r="DA38" i="52" a="1"/>
  <c r="DA39" i="52" a="1"/>
  <c r="DA40" i="52" a="1"/>
  <c r="DA41" i="52" a="1"/>
  <c r="DA42" i="52" a="1"/>
  <c r="DA43" i="52" a="1"/>
  <c r="DA44" i="52" a="1"/>
  <c r="DA45" i="52" a="1"/>
  <c r="DA46" i="52" a="1"/>
  <c r="DA47" i="52" a="1"/>
  <c r="DA48" i="52" a="1"/>
  <c r="DA49" i="52" a="1"/>
  <c r="DA50" i="52" a="1"/>
  <c r="DA51" i="52" a="1"/>
  <c r="DA52" i="52" a="1"/>
  <c r="DA53" i="52" a="1"/>
  <c r="DA54" i="52" a="1"/>
  <c r="DA55" i="52" a="1"/>
  <c r="DA56" i="52" a="1"/>
  <c r="DA57" i="52" a="1"/>
  <c r="DA58" i="52" a="1"/>
  <c r="DA59" i="52" a="1"/>
  <c r="DA60" i="52" a="1"/>
  <c r="DA61" i="52" a="1"/>
  <c r="DA62" i="52" a="1"/>
  <c r="DA63" i="52" a="1"/>
  <c r="DA64" i="52" a="1"/>
  <c r="DA32" i="52"/>
  <c r="DA33" i="52"/>
  <c r="DA34" i="52"/>
  <c r="DA35" i="52"/>
  <c r="DA36" i="52"/>
  <c r="DA37" i="52"/>
  <c r="DA38" i="52"/>
  <c r="DA39" i="52"/>
  <c r="DA40" i="52"/>
  <c r="DA41" i="52"/>
  <c r="DA42" i="52"/>
  <c r="DA43" i="52"/>
  <c r="DA44" i="52"/>
  <c r="DA45" i="52"/>
  <c r="DA46" i="52"/>
  <c r="DA47" i="52"/>
  <c r="DA48" i="52"/>
  <c r="DA49" i="52"/>
  <c r="DA50" i="52"/>
  <c r="DA51" i="52"/>
  <c r="DA52" i="52"/>
  <c r="DA53" i="52"/>
  <c r="DA54" i="52"/>
  <c r="DA55" i="52"/>
  <c r="DA56" i="52"/>
  <c r="DA57" i="52"/>
  <c r="DA58" i="52"/>
  <c r="DA59" i="52"/>
  <c r="DA60" i="52"/>
  <c r="DA61" i="52"/>
  <c r="DA62" i="52"/>
  <c r="DA63" i="52"/>
  <c r="DA64" i="52"/>
  <c r="DA68" i="52"/>
  <c r="BM71" i="52"/>
  <c r="BZ70" i="52"/>
  <c r="BY70" i="52"/>
  <c r="BX70" i="52"/>
  <c r="BW70" i="52"/>
  <c r="BV70" i="52"/>
  <c r="BU70" i="52"/>
  <c r="BT70" i="52"/>
  <c r="BS70" i="52"/>
  <c r="BR70" i="52"/>
  <c r="BQ70" i="52"/>
  <c r="BP70" i="52"/>
  <c r="BO70" i="52"/>
  <c r="BN70" i="52"/>
  <c r="BM70" i="52"/>
  <c r="EB30" i="52"/>
  <c r="EB31" i="52"/>
  <c r="EB32" i="52"/>
  <c r="EB33" i="52"/>
  <c r="EB34" i="52"/>
  <c r="EB35" i="52"/>
  <c r="EB36" i="52"/>
  <c r="EB37" i="52"/>
  <c r="EB38" i="52"/>
  <c r="EB39" i="52"/>
  <c r="EB40" i="52"/>
  <c r="EB41" i="52"/>
  <c r="EB42" i="52"/>
  <c r="EB43" i="52"/>
  <c r="EB44" i="52"/>
  <c r="EB45" i="52"/>
  <c r="EB46" i="52"/>
  <c r="EB47" i="52"/>
  <c r="EB48" i="52"/>
  <c r="EB49" i="52"/>
  <c r="EB50" i="52"/>
  <c r="EB51" i="52"/>
  <c r="EB52" i="52"/>
  <c r="EB53" i="52"/>
  <c r="EB54" i="52"/>
  <c r="EB55" i="52"/>
  <c r="EB56" i="52"/>
  <c r="EB57" i="52"/>
  <c r="EB58" i="52"/>
  <c r="EB59" i="52"/>
  <c r="EB60" i="52"/>
  <c r="EB61" i="52"/>
  <c r="EB62" i="52"/>
  <c r="EB63" i="52"/>
  <c r="EB64" i="52"/>
  <c r="EB68" i="52"/>
  <c r="DF69" i="52"/>
  <c r="DT30" i="52"/>
  <c r="DT31" i="52"/>
  <c r="DT32" i="52"/>
  <c r="DT33" i="52"/>
  <c r="DT34" i="52"/>
  <c r="DT35" i="52"/>
  <c r="DT36" i="52"/>
  <c r="DT37" i="52"/>
  <c r="DT38" i="52"/>
  <c r="DT39" i="52"/>
  <c r="DT40" i="52"/>
  <c r="DT41" i="52"/>
  <c r="DT42" i="52"/>
  <c r="DT43" i="52"/>
  <c r="DT44" i="52"/>
  <c r="DT45" i="52"/>
  <c r="DT46" i="52"/>
  <c r="DT47" i="52"/>
  <c r="DT48" i="52"/>
  <c r="DT49" i="52"/>
  <c r="DT50" i="52"/>
  <c r="DT51" i="52"/>
  <c r="DT52" i="52"/>
  <c r="DT53" i="52"/>
  <c r="DT54" i="52"/>
  <c r="DT55" i="52"/>
  <c r="DT56" i="52"/>
  <c r="DT57" i="52"/>
  <c r="DT58" i="52"/>
  <c r="DT59" i="52"/>
  <c r="DT60" i="52"/>
  <c r="DT61" i="52"/>
  <c r="DT62" i="52"/>
  <c r="DT63" i="52"/>
  <c r="DT64" i="52"/>
  <c r="DT68" i="52"/>
  <c r="CZ69" i="52"/>
  <c r="DU30" i="52"/>
  <c r="DU31" i="52"/>
  <c r="DU32" i="52"/>
  <c r="DU33" i="52"/>
  <c r="DU34" i="52"/>
  <c r="DU35" i="52"/>
  <c r="DU36" i="52"/>
  <c r="DU37" i="52"/>
  <c r="DU38" i="52"/>
  <c r="DU39" i="52"/>
  <c r="DU40" i="52"/>
  <c r="DU41" i="52"/>
  <c r="DU42" i="52"/>
  <c r="DU43" i="52"/>
  <c r="DU44" i="52"/>
  <c r="DU45" i="52"/>
  <c r="DU46" i="52"/>
  <c r="DU47" i="52"/>
  <c r="DU48" i="52"/>
  <c r="DU49" i="52"/>
  <c r="DU50" i="52"/>
  <c r="DU51" i="52"/>
  <c r="DU52" i="52"/>
  <c r="DU53" i="52"/>
  <c r="DU54" i="52"/>
  <c r="DU55" i="52"/>
  <c r="DU56" i="52"/>
  <c r="DU57" i="52"/>
  <c r="DU58" i="52"/>
  <c r="DU59" i="52"/>
  <c r="DU60" i="52"/>
  <c r="DU61" i="52"/>
  <c r="DU62" i="52"/>
  <c r="DU63" i="52"/>
  <c r="DU64" i="52"/>
  <c r="DU68" i="52"/>
  <c r="CY69" i="52"/>
  <c r="CX69" i="52"/>
  <c r="DS30" i="52"/>
  <c r="DS31" i="52"/>
  <c r="DS32" i="52"/>
  <c r="DS33" i="52"/>
  <c r="DS34" i="52"/>
  <c r="DS35" i="52"/>
  <c r="DS36" i="52"/>
  <c r="DS37" i="52"/>
  <c r="DS38" i="52"/>
  <c r="DS39" i="52"/>
  <c r="DS40" i="52"/>
  <c r="DS41" i="52"/>
  <c r="DS42" i="52"/>
  <c r="DS43" i="52"/>
  <c r="DS44" i="52"/>
  <c r="DS45" i="52"/>
  <c r="DS46" i="52"/>
  <c r="DS47" i="52"/>
  <c r="DS48" i="52"/>
  <c r="DS49" i="52"/>
  <c r="DS50" i="52"/>
  <c r="DS51" i="52"/>
  <c r="DS52" i="52"/>
  <c r="DS53" i="52"/>
  <c r="DS54" i="52"/>
  <c r="DS55" i="52"/>
  <c r="DS56" i="52"/>
  <c r="DS57" i="52"/>
  <c r="DS58" i="52"/>
  <c r="DS59" i="52"/>
  <c r="DS60" i="52"/>
  <c r="DS61" i="52"/>
  <c r="DS62" i="52"/>
  <c r="DS63" i="52"/>
  <c r="DS64" i="52"/>
  <c r="DS68" i="52"/>
  <c r="CW69" i="52"/>
  <c r="DR30" i="52"/>
  <c r="DR31" i="52"/>
  <c r="DR32" i="52"/>
  <c r="DR33" i="52"/>
  <c r="DR34" i="52"/>
  <c r="DR35" i="52"/>
  <c r="DR36" i="52"/>
  <c r="DR37" i="52"/>
  <c r="DR38" i="52"/>
  <c r="DR39" i="52"/>
  <c r="DR40" i="52"/>
  <c r="DR41" i="52"/>
  <c r="DR42" i="52"/>
  <c r="DR43" i="52"/>
  <c r="DR44" i="52"/>
  <c r="DR45" i="52"/>
  <c r="DR46" i="52"/>
  <c r="DR47" i="52"/>
  <c r="DR48" i="52"/>
  <c r="DR49" i="52"/>
  <c r="DR50" i="52"/>
  <c r="DR51" i="52"/>
  <c r="DR52" i="52"/>
  <c r="DR53" i="52"/>
  <c r="DR54" i="52"/>
  <c r="DR55" i="52"/>
  <c r="DR56" i="52"/>
  <c r="DR57" i="52"/>
  <c r="DR58" i="52"/>
  <c r="DR59" i="52"/>
  <c r="DR60" i="52"/>
  <c r="DR61" i="52"/>
  <c r="DR62" i="52"/>
  <c r="DR63" i="52"/>
  <c r="DR64" i="52"/>
  <c r="DR68" i="52"/>
  <c r="CV69" i="52"/>
  <c r="DQ30" i="52"/>
  <c r="DQ31" i="52"/>
  <c r="DQ32" i="52"/>
  <c r="DQ33" i="52"/>
  <c r="DQ34" i="52"/>
  <c r="DQ35" i="52"/>
  <c r="DQ36" i="52"/>
  <c r="DQ37" i="52"/>
  <c r="DQ38" i="52"/>
  <c r="DQ39" i="52"/>
  <c r="DQ40" i="52"/>
  <c r="DQ41" i="52"/>
  <c r="DQ42" i="52"/>
  <c r="DQ43" i="52"/>
  <c r="DQ44" i="52"/>
  <c r="DQ45" i="52"/>
  <c r="DQ46" i="52"/>
  <c r="DQ47" i="52"/>
  <c r="DQ48" i="52"/>
  <c r="DQ49" i="52"/>
  <c r="DQ50" i="52"/>
  <c r="DQ51" i="52"/>
  <c r="DQ52" i="52"/>
  <c r="DQ53" i="52"/>
  <c r="DQ54" i="52"/>
  <c r="DQ55" i="52"/>
  <c r="DQ56" i="52"/>
  <c r="DQ57" i="52"/>
  <c r="DQ58" i="52"/>
  <c r="DQ59" i="52"/>
  <c r="DQ60" i="52"/>
  <c r="DQ61" i="52"/>
  <c r="DQ62" i="52"/>
  <c r="DQ63" i="52"/>
  <c r="DQ64" i="52"/>
  <c r="DQ68" i="52"/>
  <c r="CU69" i="52"/>
  <c r="DP30" i="52"/>
  <c r="DP31" i="52"/>
  <c r="DP32" i="52"/>
  <c r="DP33" i="52"/>
  <c r="DP34" i="52"/>
  <c r="DP35" i="52"/>
  <c r="DP36" i="52"/>
  <c r="DP37" i="52"/>
  <c r="DP38" i="52"/>
  <c r="DP39" i="52"/>
  <c r="DP40" i="52"/>
  <c r="DP41" i="52"/>
  <c r="DP42" i="52"/>
  <c r="DP43" i="52"/>
  <c r="DP44" i="52"/>
  <c r="DP45" i="52"/>
  <c r="DP46" i="52"/>
  <c r="DP47" i="52"/>
  <c r="DP48" i="52"/>
  <c r="DP49" i="52"/>
  <c r="DP50" i="52"/>
  <c r="DP51" i="52"/>
  <c r="DP52" i="52"/>
  <c r="DP53" i="52"/>
  <c r="DP54" i="52"/>
  <c r="DP55" i="52"/>
  <c r="DP56" i="52"/>
  <c r="DP57" i="52"/>
  <c r="DP58" i="52"/>
  <c r="DP59" i="52"/>
  <c r="DP60" i="52"/>
  <c r="DP61" i="52"/>
  <c r="DP62" i="52"/>
  <c r="DP63" i="52"/>
  <c r="DP64" i="52"/>
  <c r="DP68" i="52"/>
  <c r="CT69" i="52"/>
  <c r="DO30" i="52"/>
  <c r="DO31" i="52"/>
  <c r="DO32" i="52"/>
  <c r="DO33" i="52"/>
  <c r="DO34" i="52"/>
  <c r="DO35" i="52"/>
  <c r="DO36" i="52"/>
  <c r="DO37" i="52"/>
  <c r="DO38" i="52"/>
  <c r="DO39" i="52"/>
  <c r="DO40" i="52"/>
  <c r="DO41" i="52"/>
  <c r="DO42" i="52"/>
  <c r="DO43" i="52"/>
  <c r="DO44" i="52"/>
  <c r="DO45" i="52"/>
  <c r="DO46" i="52"/>
  <c r="DO47" i="52"/>
  <c r="DO48" i="52"/>
  <c r="DO49" i="52"/>
  <c r="DO50" i="52"/>
  <c r="DO51" i="52"/>
  <c r="DO52" i="52"/>
  <c r="DO53" i="52"/>
  <c r="DO54" i="52"/>
  <c r="DO55" i="52"/>
  <c r="DO56" i="52"/>
  <c r="DO57" i="52"/>
  <c r="DO58" i="52"/>
  <c r="DO59" i="52"/>
  <c r="DO60" i="52"/>
  <c r="DO61" i="52"/>
  <c r="DO62" i="52"/>
  <c r="DO63" i="52"/>
  <c r="DO64" i="52"/>
  <c r="DO68" i="52"/>
  <c r="CS69" i="52"/>
  <c r="BZ69" i="52"/>
  <c r="BY69" i="52"/>
  <c r="BX69" i="52"/>
  <c r="BW69" i="52"/>
  <c r="BV69" i="52"/>
  <c r="BU69" i="52"/>
  <c r="BT69" i="52"/>
  <c r="BS69" i="52"/>
  <c r="BR69" i="52"/>
  <c r="BQ69" i="52"/>
  <c r="BP69" i="52"/>
  <c r="BO69" i="52"/>
  <c r="BN69" i="52"/>
  <c r="BM69" i="52"/>
  <c r="EA30" i="52"/>
  <c r="EA31" i="52"/>
  <c r="EA32" i="52"/>
  <c r="EA33" i="52"/>
  <c r="EA34" i="52"/>
  <c r="EA35" i="52"/>
  <c r="EA36" i="52"/>
  <c r="EA37" i="52"/>
  <c r="EA38" i="52"/>
  <c r="EA39" i="52"/>
  <c r="EA40" i="52"/>
  <c r="EA41" i="52"/>
  <c r="EA42" i="52"/>
  <c r="EA43" i="52"/>
  <c r="EA44" i="52"/>
  <c r="EA45" i="52"/>
  <c r="EA46" i="52"/>
  <c r="EA47" i="52"/>
  <c r="EA48" i="52"/>
  <c r="EA49" i="52"/>
  <c r="EA50" i="52"/>
  <c r="EA51" i="52"/>
  <c r="EA52" i="52"/>
  <c r="EA53" i="52"/>
  <c r="EA54" i="52"/>
  <c r="EA55" i="52"/>
  <c r="EA56" i="52"/>
  <c r="EA57" i="52"/>
  <c r="EA58" i="52"/>
  <c r="EA59" i="52"/>
  <c r="EA60" i="52"/>
  <c r="EA61" i="52"/>
  <c r="EA62" i="52"/>
  <c r="EA63" i="52"/>
  <c r="EA64" i="52"/>
  <c r="EA68" i="52"/>
  <c r="DZ30" i="52"/>
  <c r="DZ31" i="52"/>
  <c r="DZ32" i="52"/>
  <c r="DZ33" i="52"/>
  <c r="DZ34" i="52"/>
  <c r="DZ35" i="52"/>
  <c r="DZ36" i="52"/>
  <c r="DZ37" i="52"/>
  <c r="DZ38" i="52"/>
  <c r="DZ39" i="52"/>
  <c r="DZ40" i="52"/>
  <c r="DZ41" i="52"/>
  <c r="DZ42" i="52"/>
  <c r="DZ43" i="52"/>
  <c r="DZ44" i="52"/>
  <c r="DZ45" i="52"/>
  <c r="DZ46" i="52"/>
  <c r="DZ47" i="52"/>
  <c r="DZ48" i="52"/>
  <c r="DZ49" i="52"/>
  <c r="DZ50" i="52"/>
  <c r="DZ51" i="52"/>
  <c r="DZ52" i="52"/>
  <c r="DZ53" i="52"/>
  <c r="DZ54" i="52"/>
  <c r="DZ55" i="52"/>
  <c r="DZ56" i="52"/>
  <c r="DZ57" i="52"/>
  <c r="DZ58" i="52"/>
  <c r="DZ59" i="52"/>
  <c r="DZ60" i="52"/>
  <c r="DZ61" i="52"/>
  <c r="DZ62" i="52"/>
  <c r="DZ63" i="52"/>
  <c r="DZ64" i="52"/>
  <c r="DZ68" i="52"/>
  <c r="DY30" i="52"/>
  <c r="DY31" i="52"/>
  <c r="DY32" i="52"/>
  <c r="DY33" i="52"/>
  <c r="DY34" i="52"/>
  <c r="DY35" i="52"/>
  <c r="DY36" i="52"/>
  <c r="DY37" i="52"/>
  <c r="DY38" i="52"/>
  <c r="DY39" i="52"/>
  <c r="DY40" i="52"/>
  <c r="DY41" i="52"/>
  <c r="DY42" i="52"/>
  <c r="DY43" i="52"/>
  <c r="DY44" i="52"/>
  <c r="DY45" i="52"/>
  <c r="DY46" i="52"/>
  <c r="DY47" i="52"/>
  <c r="DY48" i="52"/>
  <c r="DY49" i="52"/>
  <c r="DY50" i="52"/>
  <c r="DY51" i="52"/>
  <c r="DY52" i="52"/>
  <c r="DY53" i="52"/>
  <c r="DY54" i="52"/>
  <c r="DY55" i="52"/>
  <c r="DY56" i="52"/>
  <c r="DY57" i="52"/>
  <c r="DY58" i="52"/>
  <c r="DY59" i="52"/>
  <c r="DY60" i="52"/>
  <c r="DY61" i="52"/>
  <c r="DY62" i="52"/>
  <c r="DY63" i="52"/>
  <c r="DY64" i="52"/>
  <c r="DY68" i="52"/>
  <c r="DX30" i="52"/>
  <c r="DX31" i="52"/>
  <c r="DX32" i="52"/>
  <c r="DX33" i="52"/>
  <c r="DX34" i="52"/>
  <c r="DX35" i="52"/>
  <c r="DX36" i="52"/>
  <c r="DX37" i="52"/>
  <c r="DX38" i="52"/>
  <c r="DX39" i="52"/>
  <c r="DX40" i="52"/>
  <c r="DX41" i="52"/>
  <c r="DX42" i="52"/>
  <c r="DX43" i="52"/>
  <c r="DX44" i="52"/>
  <c r="DX45" i="52"/>
  <c r="DX46" i="52"/>
  <c r="DX47" i="52"/>
  <c r="DX48" i="52"/>
  <c r="DX49" i="52"/>
  <c r="DX50" i="52"/>
  <c r="DX51" i="52"/>
  <c r="DX52" i="52"/>
  <c r="DX53" i="52"/>
  <c r="DX54" i="52"/>
  <c r="DX55" i="52"/>
  <c r="DX56" i="52"/>
  <c r="DX57" i="52"/>
  <c r="DX58" i="52"/>
  <c r="DX59" i="52"/>
  <c r="DX60" i="52"/>
  <c r="DX61" i="52"/>
  <c r="DX62" i="52"/>
  <c r="DX63" i="52"/>
  <c r="DX64" i="52"/>
  <c r="DX68" i="52"/>
  <c r="DW30" i="52"/>
  <c r="DW31" i="52"/>
  <c r="DW32" i="52"/>
  <c r="DW33" i="52"/>
  <c r="DW34" i="52"/>
  <c r="DW35" i="52"/>
  <c r="DW36" i="52"/>
  <c r="DW37" i="52"/>
  <c r="DW38" i="52"/>
  <c r="DW39" i="52"/>
  <c r="DW40" i="52"/>
  <c r="DW41" i="52"/>
  <c r="DW42" i="52"/>
  <c r="DW43" i="52"/>
  <c r="DW44" i="52"/>
  <c r="DW45" i="52"/>
  <c r="DW46" i="52"/>
  <c r="DW47" i="52"/>
  <c r="DW48" i="52"/>
  <c r="DW49" i="52"/>
  <c r="DW50" i="52"/>
  <c r="DW51" i="52"/>
  <c r="DW52" i="52"/>
  <c r="DW53" i="52"/>
  <c r="DW54" i="52"/>
  <c r="DW55" i="52"/>
  <c r="DW56" i="52"/>
  <c r="DW57" i="52"/>
  <c r="DW58" i="52"/>
  <c r="DW59" i="52"/>
  <c r="DW60" i="52"/>
  <c r="DW61" i="52"/>
  <c r="DW62" i="52"/>
  <c r="DW63" i="52"/>
  <c r="DW64" i="52"/>
  <c r="DW68" i="52"/>
  <c r="DV30" i="52"/>
  <c r="DV31" i="52"/>
  <c r="DV32" i="52"/>
  <c r="DV33" i="52"/>
  <c r="DV34" i="52"/>
  <c r="DV35" i="52"/>
  <c r="DV36" i="52"/>
  <c r="DV37" i="52"/>
  <c r="DV38" i="52"/>
  <c r="DV39" i="52"/>
  <c r="DV40" i="52"/>
  <c r="DV41" i="52"/>
  <c r="DV42" i="52"/>
  <c r="DV43" i="52"/>
  <c r="DV44" i="52"/>
  <c r="DV45" i="52"/>
  <c r="DV46" i="52"/>
  <c r="DV47" i="52"/>
  <c r="DV48" i="52"/>
  <c r="DV49" i="52"/>
  <c r="DV50" i="52"/>
  <c r="DV51" i="52"/>
  <c r="DV52" i="52"/>
  <c r="DV53" i="52"/>
  <c r="DV54" i="52"/>
  <c r="DV55" i="52"/>
  <c r="DV56" i="52"/>
  <c r="DV57" i="52"/>
  <c r="DV58" i="52"/>
  <c r="DV59" i="52"/>
  <c r="DV60" i="52"/>
  <c r="DV61" i="52"/>
  <c r="DV62" i="52"/>
  <c r="DV63" i="52"/>
  <c r="DV64" i="52"/>
  <c r="DV68" i="52"/>
  <c r="AU30" i="52"/>
  <c r="BK30" i="52"/>
  <c r="AU31" i="52"/>
  <c r="BK31" i="52"/>
  <c r="AU32" i="52"/>
  <c r="BK32" i="52"/>
  <c r="BK27" i="52"/>
  <c r="D33" i="52"/>
  <c r="AU33" i="52"/>
  <c r="BK33" i="52" a="1"/>
  <c r="BK33" i="52"/>
  <c r="D34" i="52"/>
  <c r="AU34" i="52"/>
  <c r="BK34" i="52" a="1"/>
  <c r="D35" i="52"/>
  <c r="AU35" i="52"/>
  <c r="BK35" i="52" a="1"/>
  <c r="D36" i="52"/>
  <c r="AU36" i="52"/>
  <c r="BK36" i="52" a="1"/>
  <c r="D37" i="52"/>
  <c r="AU37" i="52"/>
  <c r="BK37" i="52" a="1"/>
  <c r="D38" i="52"/>
  <c r="AU38" i="52"/>
  <c r="BK38" i="52" a="1"/>
  <c r="D39" i="52"/>
  <c r="AU39" i="52"/>
  <c r="BK39" i="52" a="1"/>
  <c r="D40" i="52"/>
  <c r="AU40" i="52"/>
  <c r="BK40" i="52" a="1"/>
  <c r="D41" i="52"/>
  <c r="AU41" i="52"/>
  <c r="BK41" i="52" a="1"/>
  <c r="AU42" i="52"/>
  <c r="BK42" i="52" a="1"/>
  <c r="AU43" i="52"/>
  <c r="BK43" i="52" a="1"/>
  <c r="AU44" i="52"/>
  <c r="BK44" i="52" a="1"/>
  <c r="AU45" i="52"/>
  <c r="BK45" i="52" a="1"/>
  <c r="AU46" i="52"/>
  <c r="BK46" i="52" a="1"/>
  <c r="AU47" i="52"/>
  <c r="BK47" i="52" a="1"/>
  <c r="AU48" i="52"/>
  <c r="BK48" i="52" a="1"/>
  <c r="D49" i="52"/>
  <c r="AU49" i="52"/>
  <c r="BK49" i="52" a="1"/>
  <c r="D50" i="52"/>
  <c r="AU50" i="52"/>
  <c r="BK50" i="52" a="1"/>
  <c r="D51" i="52"/>
  <c r="AU51" i="52"/>
  <c r="BK51" i="52" a="1"/>
  <c r="D52" i="52"/>
  <c r="AU52" i="52"/>
  <c r="BK52" i="52" a="1"/>
  <c r="D53" i="52"/>
  <c r="AU53" i="52"/>
  <c r="BK53" i="52" a="1"/>
  <c r="D54" i="52"/>
  <c r="AU54" i="52"/>
  <c r="BK54" i="52" a="1"/>
  <c r="D55" i="52"/>
  <c r="AU55" i="52"/>
  <c r="BK55" i="52" a="1"/>
  <c r="D56" i="52"/>
  <c r="AU56" i="52"/>
  <c r="BK56" i="52" a="1"/>
  <c r="D57" i="52"/>
  <c r="AU57" i="52"/>
  <c r="BK57" i="52" a="1"/>
  <c r="D58" i="52"/>
  <c r="AU58" i="52"/>
  <c r="BK58" i="52" a="1"/>
  <c r="AU59" i="52"/>
  <c r="BK59" i="52" a="1"/>
  <c r="AU60" i="52"/>
  <c r="BK60" i="52" a="1"/>
  <c r="D61" i="52"/>
  <c r="AU61" i="52"/>
  <c r="BK61" i="52" a="1"/>
  <c r="D62" i="52"/>
  <c r="AU62" i="52"/>
  <c r="BK62" i="52" a="1"/>
  <c r="D63" i="52"/>
  <c r="AU63" i="52"/>
  <c r="BK63" i="52" a="1"/>
  <c r="AU64" i="52"/>
  <c r="BK64" i="52" a="1"/>
  <c r="BK34" i="52"/>
  <c r="BK35" i="52"/>
  <c r="BK36" i="52"/>
  <c r="BK37" i="52"/>
  <c r="BK38" i="52"/>
  <c r="BK39" i="52"/>
  <c r="BK40" i="52"/>
  <c r="BK41" i="52"/>
  <c r="BK42" i="52"/>
  <c r="BK43" i="52"/>
  <c r="BK44" i="52"/>
  <c r="BK45" i="52"/>
  <c r="BK46" i="52"/>
  <c r="BK47" i="52"/>
  <c r="BK48" i="52"/>
  <c r="BK49" i="52"/>
  <c r="BK50" i="52"/>
  <c r="BK51" i="52"/>
  <c r="BK52" i="52"/>
  <c r="BK53" i="52"/>
  <c r="BK54" i="52"/>
  <c r="BK55" i="52"/>
  <c r="BK56" i="52"/>
  <c r="BK57" i="52"/>
  <c r="BK58" i="52"/>
  <c r="BK59" i="52"/>
  <c r="BK60" i="52"/>
  <c r="BK61" i="52"/>
  <c r="BK62" i="52"/>
  <c r="BK63" i="52"/>
  <c r="BK64" i="52"/>
  <c r="D66" i="52"/>
  <c r="F66" i="52"/>
  <c r="E66" i="52"/>
  <c r="AP66" i="52"/>
  <c r="AQ66" i="52"/>
  <c r="AM66" i="52"/>
  <c r="AO66" i="52"/>
  <c r="AR66" i="52"/>
  <c r="AT66" i="52"/>
  <c r="AU66" i="52"/>
  <c r="BK66" i="52" a="1"/>
  <c r="BK66" i="52"/>
  <c r="BK68" i="52"/>
  <c r="BJ30" i="52"/>
  <c r="BJ31" i="52"/>
  <c r="BJ32" i="52"/>
  <c r="BJ27" i="52"/>
  <c r="BJ33" i="52" a="1"/>
  <c r="BJ33" i="52"/>
  <c r="BJ34" i="52" a="1"/>
  <c r="BJ35" i="52" a="1"/>
  <c r="BJ36" i="52" a="1"/>
  <c r="BJ37" i="52" a="1"/>
  <c r="BJ38" i="52" a="1"/>
  <c r="BJ39" i="52" a="1"/>
  <c r="BJ40" i="52" a="1"/>
  <c r="BJ41" i="52" a="1"/>
  <c r="BJ42" i="52" a="1"/>
  <c r="BJ43" i="52" a="1"/>
  <c r="BJ44" i="52" a="1"/>
  <c r="BJ45" i="52" a="1"/>
  <c r="BJ46" i="52" a="1"/>
  <c r="BJ47" i="52" a="1"/>
  <c r="BJ48" i="52" a="1"/>
  <c r="BJ49" i="52" a="1"/>
  <c r="BJ50" i="52" a="1"/>
  <c r="BJ51" i="52" a="1"/>
  <c r="BJ52" i="52" a="1"/>
  <c r="BJ53" i="52" a="1"/>
  <c r="BJ54" i="52" a="1"/>
  <c r="BJ55" i="52" a="1"/>
  <c r="BJ56" i="52" a="1"/>
  <c r="BJ57" i="52" a="1"/>
  <c r="BJ58" i="52" a="1"/>
  <c r="BJ59" i="52" a="1"/>
  <c r="BJ60" i="52" a="1"/>
  <c r="BJ61" i="52" a="1"/>
  <c r="BJ62" i="52" a="1"/>
  <c r="BJ63" i="52" a="1"/>
  <c r="BJ64" i="52" a="1"/>
  <c r="BJ34" i="52"/>
  <c r="BJ35" i="52"/>
  <c r="BJ36" i="52"/>
  <c r="BJ37" i="52"/>
  <c r="BJ38" i="52"/>
  <c r="BJ39" i="52"/>
  <c r="BJ40" i="52"/>
  <c r="BJ41" i="52"/>
  <c r="BJ42" i="52"/>
  <c r="BJ43" i="52"/>
  <c r="BJ44" i="52"/>
  <c r="BJ45" i="52"/>
  <c r="BJ46" i="52"/>
  <c r="BJ47" i="52"/>
  <c r="BJ48" i="52"/>
  <c r="BJ49" i="52"/>
  <c r="BJ50" i="52"/>
  <c r="BJ51" i="52"/>
  <c r="BJ52" i="52"/>
  <c r="BJ53" i="52"/>
  <c r="BJ54" i="52"/>
  <c r="BJ55" i="52"/>
  <c r="BJ56" i="52"/>
  <c r="BJ57" i="52"/>
  <c r="BJ58" i="52"/>
  <c r="BJ59" i="52"/>
  <c r="BJ60" i="52"/>
  <c r="BJ61" i="52"/>
  <c r="BJ62" i="52"/>
  <c r="BJ63" i="52"/>
  <c r="BJ64" i="52"/>
  <c r="BJ66" i="52" a="1"/>
  <c r="BJ66" i="52"/>
  <c r="BJ68" i="52"/>
  <c r="BI30" i="52"/>
  <c r="BI31" i="52"/>
  <c r="BI32" i="52"/>
  <c r="BI27" i="52"/>
  <c r="BI33" i="52" a="1"/>
  <c r="BI33" i="52"/>
  <c r="BI34" i="52" a="1"/>
  <c r="BI35" i="52" a="1"/>
  <c r="BI36" i="52" a="1"/>
  <c r="BI37" i="52" a="1"/>
  <c r="BI38" i="52" a="1"/>
  <c r="BI39" i="52" a="1"/>
  <c r="BI40" i="52" a="1"/>
  <c r="BI41" i="52" a="1"/>
  <c r="BI42" i="52" a="1"/>
  <c r="BI43" i="52" a="1"/>
  <c r="BI44" i="52" a="1"/>
  <c r="BI45" i="52" a="1"/>
  <c r="BI46" i="52" a="1"/>
  <c r="BI47" i="52" a="1"/>
  <c r="BI48" i="52" a="1"/>
  <c r="BI49" i="52" a="1"/>
  <c r="BI50" i="52" a="1"/>
  <c r="BI51" i="52" a="1"/>
  <c r="BI52" i="52" a="1"/>
  <c r="BI53" i="52" a="1"/>
  <c r="BI54" i="52" a="1"/>
  <c r="BI55" i="52" a="1"/>
  <c r="BI56" i="52" a="1"/>
  <c r="BI57" i="52" a="1"/>
  <c r="BI58" i="52" a="1"/>
  <c r="BI59" i="52" a="1"/>
  <c r="BI60" i="52" a="1"/>
  <c r="BI61" i="52" a="1"/>
  <c r="BI62" i="52" a="1"/>
  <c r="BI63" i="52" a="1"/>
  <c r="BI64" i="52" a="1"/>
  <c r="BI34" i="52"/>
  <c r="BI35" i="52"/>
  <c r="BI36" i="52"/>
  <c r="BI37" i="52"/>
  <c r="BI38" i="52"/>
  <c r="BI39" i="52"/>
  <c r="BI40" i="52"/>
  <c r="BI41" i="52"/>
  <c r="BI42" i="52"/>
  <c r="BI43" i="52"/>
  <c r="BI44" i="52"/>
  <c r="BI45" i="52"/>
  <c r="BI46" i="52"/>
  <c r="BI47" i="52"/>
  <c r="BI48" i="52"/>
  <c r="BI49" i="52"/>
  <c r="BI50" i="52"/>
  <c r="BI51" i="52"/>
  <c r="BI52" i="52"/>
  <c r="BI53" i="52"/>
  <c r="BI54" i="52"/>
  <c r="BI55" i="52"/>
  <c r="BI56" i="52"/>
  <c r="BI57" i="52"/>
  <c r="BI58" i="52"/>
  <c r="BI59" i="52"/>
  <c r="BI60" i="52"/>
  <c r="BI61" i="52"/>
  <c r="BI62" i="52"/>
  <c r="BI63" i="52"/>
  <c r="BI64" i="52"/>
  <c r="BI66" i="52" a="1"/>
  <c r="BI66" i="52"/>
  <c r="BI68" i="52"/>
  <c r="BH30" i="52"/>
  <c r="BH31" i="52"/>
  <c r="BH32" i="52"/>
  <c r="BH27" i="52"/>
  <c r="BH33" i="52" a="1"/>
  <c r="BH33" i="52"/>
  <c r="BH34" i="52" a="1"/>
  <c r="BH35" i="52" a="1"/>
  <c r="BH36" i="52" a="1"/>
  <c r="BH37" i="52" a="1"/>
  <c r="BH38" i="52" a="1"/>
  <c r="BH39" i="52" a="1"/>
  <c r="BH40" i="52" a="1"/>
  <c r="BH41" i="52" a="1"/>
  <c r="BH42" i="52" a="1"/>
  <c r="BH43" i="52" a="1"/>
  <c r="BH44" i="52" a="1"/>
  <c r="BH45" i="52" a="1"/>
  <c r="BH46" i="52" a="1"/>
  <c r="BH47" i="52" a="1"/>
  <c r="BH48" i="52" a="1"/>
  <c r="BH49" i="52" a="1"/>
  <c r="BH50" i="52" a="1"/>
  <c r="BH51" i="52" a="1"/>
  <c r="BH52" i="52" a="1"/>
  <c r="BH53" i="52" a="1"/>
  <c r="BH54" i="52" a="1"/>
  <c r="BH55" i="52" a="1"/>
  <c r="BH56" i="52" a="1"/>
  <c r="BH57" i="52" a="1"/>
  <c r="BH58" i="52" a="1"/>
  <c r="BH59" i="52" a="1"/>
  <c r="BH60" i="52" a="1"/>
  <c r="BH61" i="52" a="1"/>
  <c r="BH62" i="52" a="1"/>
  <c r="BH63" i="52" a="1"/>
  <c r="BH64" i="52" a="1"/>
  <c r="BH34" i="52"/>
  <c r="BH35" i="52"/>
  <c r="BH36" i="52"/>
  <c r="BH37" i="52"/>
  <c r="BH38" i="52"/>
  <c r="BH39" i="52"/>
  <c r="BH40" i="52"/>
  <c r="BH41" i="52"/>
  <c r="BH42" i="52"/>
  <c r="BH43" i="52"/>
  <c r="BH44" i="52"/>
  <c r="BH45" i="52"/>
  <c r="BH46" i="52"/>
  <c r="BH47" i="52"/>
  <c r="BH48" i="52"/>
  <c r="BH49" i="52"/>
  <c r="BH50" i="52"/>
  <c r="BH51" i="52"/>
  <c r="BH52" i="52"/>
  <c r="BH53" i="52"/>
  <c r="BH54" i="52"/>
  <c r="BH55" i="52"/>
  <c r="BH56" i="52"/>
  <c r="BH57" i="52"/>
  <c r="BH58" i="52"/>
  <c r="BH59" i="52"/>
  <c r="BH60" i="52"/>
  <c r="BH61" i="52"/>
  <c r="BH62" i="52"/>
  <c r="BH63" i="52"/>
  <c r="BH64" i="52"/>
  <c r="BH66" i="52" a="1"/>
  <c r="BH66" i="52"/>
  <c r="BH68" i="52"/>
  <c r="BG30" i="52"/>
  <c r="BG31" i="52"/>
  <c r="BG32" i="52"/>
  <c r="BG27" i="52"/>
  <c r="BG33" i="52" a="1"/>
  <c r="BG33" i="52"/>
  <c r="BG34" i="52" a="1"/>
  <c r="BG35" i="52" a="1"/>
  <c r="BG36" i="52" a="1"/>
  <c r="BG37" i="52" a="1"/>
  <c r="BG38" i="52" a="1"/>
  <c r="BG39" i="52" a="1"/>
  <c r="BG40" i="52" a="1"/>
  <c r="BG41" i="52" a="1"/>
  <c r="BG42" i="52" a="1"/>
  <c r="BG43" i="52" a="1"/>
  <c r="BG44" i="52" a="1"/>
  <c r="BG45" i="52" a="1"/>
  <c r="BG46" i="52" a="1"/>
  <c r="BG47" i="52" a="1"/>
  <c r="BG48" i="52" a="1"/>
  <c r="BG49" i="52" a="1"/>
  <c r="BG50" i="52" a="1"/>
  <c r="BG51" i="52" a="1"/>
  <c r="BG52" i="52" a="1"/>
  <c r="BG53" i="52" a="1"/>
  <c r="BG54" i="52" a="1"/>
  <c r="BG55" i="52" a="1"/>
  <c r="BG56" i="52" a="1"/>
  <c r="BG57" i="52" a="1"/>
  <c r="BG58" i="52" a="1"/>
  <c r="BG59" i="52" a="1"/>
  <c r="BG60" i="52" a="1"/>
  <c r="BG61" i="52" a="1"/>
  <c r="BG62" i="52" a="1"/>
  <c r="BG63" i="52" a="1"/>
  <c r="BG64" i="52" a="1"/>
  <c r="BG34" i="52"/>
  <c r="BG35" i="52"/>
  <c r="BG36" i="52"/>
  <c r="BG37" i="52"/>
  <c r="BG38" i="52"/>
  <c r="BG39" i="52"/>
  <c r="BG40" i="52"/>
  <c r="BG41" i="52"/>
  <c r="BG42" i="52"/>
  <c r="BG43" i="52"/>
  <c r="BG44" i="52"/>
  <c r="BG45" i="52"/>
  <c r="BG46" i="52"/>
  <c r="BG47" i="52"/>
  <c r="BG48" i="52"/>
  <c r="BG49" i="52"/>
  <c r="BG50" i="52"/>
  <c r="BG51" i="52"/>
  <c r="BG52" i="52"/>
  <c r="BG53" i="52"/>
  <c r="BG54" i="52"/>
  <c r="BG55" i="52"/>
  <c r="BG56" i="52"/>
  <c r="BG57" i="52"/>
  <c r="BG58" i="52"/>
  <c r="BG59" i="52"/>
  <c r="BG60" i="52"/>
  <c r="BG61" i="52"/>
  <c r="BG62" i="52"/>
  <c r="BG63" i="52"/>
  <c r="BG64" i="52"/>
  <c r="BG66" i="52" a="1"/>
  <c r="BG66" i="52"/>
  <c r="BG68" i="52"/>
  <c r="BF30" i="52"/>
  <c r="BF31" i="52"/>
  <c r="BF32" i="52"/>
  <c r="BF27" i="52"/>
  <c r="BF33" i="52" a="1"/>
  <c r="BF33" i="52"/>
  <c r="BF34" i="52" a="1"/>
  <c r="BF35" i="52" a="1"/>
  <c r="BF36" i="52" a="1"/>
  <c r="BF37" i="52" a="1"/>
  <c r="BF38" i="52" a="1"/>
  <c r="BF39" i="52" a="1"/>
  <c r="BF40" i="52" a="1"/>
  <c r="BF41" i="52" a="1"/>
  <c r="BF42" i="52" a="1"/>
  <c r="BF43" i="52" a="1"/>
  <c r="BF44" i="52" a="1"/>
  <c r="BF45" i="52" a="1"/>
  <c r="BF46" i="52" a="1"/>
  <c r="BF47" i="52" a="1"/>
  <c r="BF48" i="52" a="1"/>
  <c r="BF49" i="52" a="1"/>
  <c r="BF50" i="52" a="1"/>
  <c r="BF51" i="52" a="1"/>
  <c r="BF52" i="52" a="1"/>
  <c r="BF53" i="52" a="1"/>
  <c r="BF54" i="52" a="1"/>
  <c r="BF55" i="52" a="1"/>
  <c r="BF56" i="52" a="1"/>
  <c r="BF57" i="52" a="1"/>
  <c r="BF58" i="52" a="1"/>
  <c r="BF59" i="52" a="1"/>
  <c r="BF60" i="52" a="1"/>
  <c r="BF61" i="52" a="1"/>
  <c r="BF62" i="52" a="1"/>
  <c r="BF63" i="52" a="1"/>
  <c r="BF64" i="52" a="1"/>
  <c r="BF34" i="52"/>
  <c r="BF35" i="52"/>
  <c r="BF36" i="52"/>
  <c r="BF37" i="52"/>
  <c r="BF38" i="52"/>
  <c r="BF39" i="52"/>
  <c r="BF40" i="52"/>
  <c r="BF41" i="52"/>
  <c r="BF42" i="52"/>
  <c r="BF43" i="52"/>
  <c r="BF44" i="52"/>
  <c r="BF45" i="52"/>
  <c r="BF46" i="52"/>
  <c r="BF47" i="52"/>
  <c r="BF48" i="52"/>
  <c r="BF49" i="52"/>
  <c r="BF50" i="52"/>
  <c r="BF51" i="52"/>
  <c r="BF52" i="52"/>
  <c r="BF53" i="52"/>
  <c r="BF54" i="52"/>
  <c r="BF55" i="52"/>
  <c r="BF56" i="52"/>
  <c r="BF57" i="52"/>
  <c r="BF58" i="52"/>
  <c r="BF59" i="52"/>
  <c r="BF60" i="52"/>
  <c r="BF61" i="52"/>
  <c r="BF62" i="52"/>
  <c r="BF63" i="52"/>
  <c r="BF64" i="52"/>
  <c r="BF66" i="52" a="1"/>
  <c r="BF66" i="52"/>
  <c r="BF68" i="52"/>
  <c r="BE30" i="52"/>
  <c r="BE31" i="52"/>
  <c r="BE32" i="52"/>
  <c r="BE27" i="52"/>
  <c r="BE33" i="52" a="1"/>
  <c r="BE33" i="52"/>
  <c r="BE34" i="52" a="1"/>
  <c r="BE35" i="52" a="1"/>
  <c r="BE36" i="52" a="1"/>
  <c r="BE37" i="52" a="1"/>
  <c r="BE38" i="52" a="1"/>
  <c r="BE39" i="52" a="1"/>
  <c r="BE40" i="52" a="1"/>
  <c r="BE41" i="52" a="1"/>
  <c r="BE42" i="52" a="1"/>
  <c r="BE43" i="52" a="1"/>
  <c r="BE44" i="52" a="1"/>
  <c r="BE45" i="52" a="1"/>
  <c r="BE46" i="52" a="1"/>
  <c r="BE47" i="52" a="1"/>
  <c r="BE48" i="52" a="1"/>
  <c r="BE49" i="52" a="1"/>
  <c r="BE50" i="52" a="1"/>
  <c r="BE51" i="52" a="1"/>
  <c r="BE52" i="52" a="1"/>
  <c r="BE53" i="52" a="1"/>
  <c r="BE54" i="52" a="1"/>
  <c r="BE55" i="52" a="1"/>
  <c r="BE56" i="52" a="1"/>
  <c r="BE57" i="52" a="1"/>
  <c r="BE58" i="52" a="1"/>
  <c r="BE59" i="52" a="1"/>
  <c r="BE60" i="52" a="1"/>
  <c r="BE61" i="52" a="1"/>
  <c r="BE62" i="52" a="1"/>
  <c r="BE63" i="52" a="1"/>
  <c r="BE64" i="52" a="1"/>
  <c r="BE34" i="52"/>
  <c r="BE35" i="52"/>
  <c r="BE36" i="52"/>
  <c r="BE37" i="52"/>
  <c r="BE38" i="52"/>
  <c r="BE39" i="52"/>
  <c r="BE40" i="52"/>
  <c r="BE41" i="52"/>
  <c r="BE42" i="52"/>
  <c r="BE43" i="52"/>
  <c r="BE44" i="52"/>
  <c r="BE45" i="52"/>
  <c r="BE46" i="52"/>
  <c r="BE47" i="52"/>
  <c r="BE48" i="52"/>
  <c r="BE49" i="52"/>
  <c r="BE50" i="52"/>
  <c r="BE51" i="52"/>
  <c r="BE52" i="52"/>
  <c r="BE53" i="52"/>
  <c r="BE54" i="52"/>
  <c r="BE55" i="52"/>
  <c r="BE56" i="52"/>
  <c r="BE57" i="52"/>
  <c r="BE58" i="52"/>
  <c r="BE59" i="52"/>
  <c r="BE60" i="52"/>
  <c r="BE61" i="52"/>
  <c r="BE62" i="52"/>
  <c r="BE63" i="52"/>
  <c r="BE64" i="52"/>
  <c r="BE66" i="52" a="1"/>
  <c r="BE66" i="52"/>
  <c r="BE68" i="52"/>
  <c r="BD30" i="52"/>
  <c r="BD31" i="52"/>
  <c r="BD32" i="52"/>
  <c r="BD27" i="52"/>
  <c r="BD33" i="52" a="1"/>
  <c r="BD33" i="52"/>
  <c r="BD34" i="52" a="1"/>
  <c r="BD35" i="52" a="1"/>
  <c r="BD36" i="52" a="1"/>
  <c r="BD37" i="52" a="1"/>
  <c r="BD38" i="52" a="1"/>
  <c r="BD39" i="52" a="1"/>
  <c r="BD40" i="52" a="1"/>
  <c r="BD41" i="52" a="1"/>
  <c r="BD42" i="52" a="1"/>
  <c r="BD43" i="52" a="1"/>
  <c r="BD44" i="52" a="1"/>
  <c r="BD45" i="52" a="1"/>
  <c r="BD46" i="52" a="1"/>
  <c r="BD47" i="52" a="1"/>
  <c r="BD48" i="52" a="1"/>
  <c r="BD49" i="52" a="1"/>
  <c r="BD50" i="52" a="1"/>
  <c r="BD51" i="52" a="1"/>
  <c r="BD52" i="52" a="1"/>
  <c r="BD53" i="52" a="1"/>
  <c r="BD54" i="52" a="1"/>
  <c r="BD55" i="52" a="1"/>
  <c r="BD56" i="52" a="1"/>
  <c r="BD57" i="52" a="1"/>
  <c r="BD58" i="52" a="1"/>
  <c r="BD59" i="52" a="1"/>
  <c r="BD60" i="52" a="1"/>
  <c r="BD61" i="52" a="1"/>
  <c r="BD62" i="52" a="1"/>
  <c r="BD63" i="52" a="1"/>
  <c r="BD64" i="52" a="1"/>
  <c r="BD34" i="52"/>
  <c r="BD35" i="52"/>
  <c r="BD36" i="52"/>
  <c r="BD37" i="52"/>
  <c r="BD38" i="52"/>
  <c r="BD39" i="52"/>
  <c r="BD40" i="52"/>
  <c r="BD41" i="52"/>
  <c r="BD42" i="52"/>
  <c r="BD43" i="52"/>
  <c r="BD44" i="52"/>
  <c r="BD45" i="52"/>
  <c r="BD46" i="52"/>
  <c r="BD47" i="52"/>
  <c r="BD48" i="52"/>
  <c r="BD49" i="52"/>
  <c r="BD50" i="52"/>
  <c r="BD51" i="52"/>
  <c r="BD52" i="52"/>
  <c r="BD53" i="52"/>
  <c r="BD54" i="52"/>
  <c r="BD55" i="52"/>
  <c r="BD56" i="52"/>
  <c r="BD57" i="52"/>
  <c r="BD58" i="52"/>
  <c r="BD59" i="52"/>
  <c r="BD60" i="52"/>
  <c r="BD61" i="52"/>
  <c r="BD62" i="52"/>
  <c r="BD63" i="52"/>
  <c r="BD64" i="52"/>
  <c r="BD66" i="52" a="1"/>
  <c r="BD66" i="52"/>
  <c r="BD68" i="52"/>
  <c r="BC30" i="52"/>
  <c r="BC31" i="52"/>
  <c r="BC32" i="52"/>
  <c r="BC27" i="52"/>
  <c r="BC33" i="52" a="1"/>
  <c r="BC33" i="52"/>
  <c r="BC34" i="52" a="1"/>
  <c r="BC35" i="52" a="1"/>
  <c r="BC36" i="52" a="1"/>
  <c r="BC37" i="52" a="1"/>
  <c r="BC38" i="52" a="1"/>
  <c r="BC39" i="52" a="1"/>
  <c r="BC40" i="52" a="1"/>
  <c r="BC41" i="52" a="1"/>
  <c r="BC42" i="52" a="1"/>
  <c r="BC43" i="52" a="1"/>
  <c r="BC44" i="52" a="1"/>
  <c r="BC45" i="52" a="1"/>
  <c r="BC46" i="52" a="1"/>
  <c r="BC47" i="52" a="1"/>
  <c r="BC48" i="52" a="1"/>
  <c r="BC49" i="52" a="1"/>
  <c r="BC50" i="52" a="1"/>
  <c r="BC51" i="52" a="1"/>
  <c r="BC52" i="52" a="1"/>
  <c r="BC53" i="52" a="1"/>
  <c r="BC54" i="52" a="1"/>
  <c r="BC55" i="52" a="1"/>
  <c r="BC56" i="52" a="1"/>
  <c r="BC57" i="52" a="1"/>
  <c r="BC58" i="52" a="1"/>
  <c r="BC59" i="52" a="1"/>
  <c r="BC60" i="52" a="1"/>
  <c r="BC61" i="52" a="1"/>
  <c r="BC62" i="52" a="1"/>
  <c r="BC63" i="52" a="1"/>
  <c r="BC64" i="52" a="1"/>
  <c r="BC34" i="52"/>
  <c r="BC35" i="52"/>
  <c r="BC36" i="52"/>
  <c r="BC37" i="52"/>
  <c r="BC38" i="52"/>
  <c r="BC39" i="52"/>
  <c r="BC40" i="52"/>
  <c r="BC41" i="52"/>
  <c r="BC42" i="52"/>
  <c r="BC43" i="52"/>
  <c r="BC44" i="52"/>
  <c r="BC45" i="52"/>
  <c r="BC46" i="52"/>
  <c r="BC47" i="52"/>
  <c r="BC48" i="52"/>
  <c r="BC49" i="52"/>
  <c r="BC50" i="52"/>
  <c r="BC51" i="52"/>
  <c r="BC52" i="52"/>
  <c r="BC53" i="52"/>
  <c r="BC54" i="52"/>
  <c r="BC55" i="52"/>
  <c r="BC56" i="52"/>
  <c r="BC57" i="52"/>
  <c r="BC58" i="52"/>
  <c r="BC59" i="52"/>
  <c r="BC60" i="52"/>
  <c r="BC61" i="52"/>
  <c r="BC62" i="52"/>
  <c r="BC63" i="52"/>
  <c r="BC64" i="52"/>
  <c r="BC66" i="52" a="1"/>
  <c r="BC66" i="52"/>
  <c r="BC68" i="52"/>
  <c r="BB30" i="52"/>
  <c r="BB31" i="52"/>
  <c r="BB32" i="52"/>
  <c r="BB27" i="52"/>
  <c r="BB33" i="52" a="1"/>
  <c r="BB33" i="52"/>
  <c r="BB34" i="52" a="1"/>
  <c r="BB35" i="52" a="1"/>
  <c r="BB36" i="52" a="1"/>
  <c r="BB37" i="52" a="1"/>
  <c r="BB38" i="52" a="1"/>
  <c r="BB39" i="52" a="1"/>
  <c r="BB40" i="52" a="1"/>
  <c r="BB41" i="52" a="1"/>
  <c r="BB42" i="52" a="1"/>
  <c r="BB43" i="52" a="1"/>
  <c r="BB44" i="52" a="1"/>
  <c r="BB45" i="52" a="1"/>
  <c r="BB46" i="52" a="1"/>
  <c r="BB47" i="52" a="1"/>
  <c r="BB48" i="52" a="1"/>
  <c r="BB49" i="52" a="1"/>
  <c r="BB50" i="52" a="1"/>
  <c r="BB51" i="52" a="1"/>
  <c r="BB52" i="52" a="1"/>
  <c r="BB53" i="52" a="1"/>
  <c r="BB54" i="52" a="1"/>
  <c r="BB55" i="52" a="1"/>
  <c r="BB56" i="52" a="1"/>
  <c r="BB57" i="52" a="1"/>
  <c r="BB58" i="52" a="1"/>
  <c r="BB59" i="52" a="1"/>
  <c r="BB60" i="52" a="1"/>
  <c r="BB61" i="52" a="1"/>
  <c r="BB62" i="52" a="1"/>
  <c r="BB63" i="52" a="1"/>
  <c r="BB64" i="52" a="1"/>
  <c r="BB34" i="52"/>
  <c r="BB35" i="52"/>
  <c r="BB36" i="52"/>
  <c r="BB37" i="52"/>
  <c r="BB38" i="52"/>
  <c r="BB39" i="52"/>
  <c r="BB40" i="52"/>
  <c r="BB41" i="52"/>
  <c r="BB42" i="52"/>
  <c r="BB43" i="52"/>
  <c r="BB44" i="52"/>
  <c r="BB45" i="52"/>
  <c r="BB46" i="52"/>
  <c r="BB47" i="52"/>
  <c r="BB48" i="52"/>
  <c r="BB49" i="52"/>
  <c r="BB50" i="52"/>
  <c r="BB51" i="52"/>
  <c r="BB52" i="52"/>
  <c r="BB53" i="52"/>
  <c r="BB54" i="52"/>
  <c r="BB55" i="52"/>
  <c r="BB56" i="52"/>
  <c r="BB57" i="52"/>
  <c r="BB58" i="52"/>
  <c r="BB59" i="52"/>
  <c r="BB60" i="52"/>
  <c r="BB61" i="52"/>
  <c r="BB62" i="52"/>
  <c r="BB63" i="52"/>
  <c r="BB64" i="52"/>
  <c r="BB66" i="52" a="1"/>
  <c r="BB66" i="52"/>
  <c r="BB68" i="52"/>
  <c r="BA30" i="52"/>
  <c r="BA31" i="52"/>
  <c r="BA32" i="52"/>
  <c r="BA27" i="52"/>
  <c r="BA33" i="52" a="1"/>
  <c r="BA33" i="52"/>
  <c r="BA34" i="52" a="1"/>
  <c r="BA35" i="52" a="1"/>
  <c r="BA36" i="52" a="1"/>
  <c r="BA37" i="52" a="1"/>
  <c r="BA38" i="52" a="1"/>
  <c r="BA39" i="52" a="1"/>
  <c r="BA40" i="52" a="1"/>
  <c r="BA41" i="52" a="1"/>
  <c r="BA42" i="52" a="1"/>
  <c r="BA43" i="52" a="1"/>
  <c r="BA44" i="52" a="1"/>
  <c r="BA45" i="52" a="1"/>
  <c r="BA46" i="52" a="1"/>
  <c r="BA47" i="52" a="1"/>
  <c r="BA48" i="52" a="1"/>
  <c r="BA49" i="52" a="1"/>
  <c r="BA50" i="52" a="1"/>
  <c r="BA51" i="52" a="1"/>
  <c r="BA52" i="52" a="1"/>
  <c r="BA53" i="52" a="1"/>
  <c r="BA54" i="52" a="1"/>
  <c r="BA55" i="52" a="1"/>
  <c r="BA56" i="52" a="1"/>
  <c r="BA57" i="52" a="1"/>
  <c r="BA58" i="52" a="1"/>
  <c r="BA59" i="52" a="1"/>
  <c r="BA60" i="52" a="1"/>
  <c r="BA61" i="52" a="1"/>
  <c r="BA62" i="52" a="1"/>
  <c r="BA63" i="52" a="1"/>
  <c r="BA64" i="52" a="1"/>
  <c r="BA34" i="52"/>
  <c r="BA35" i="52"/>
  <c r="BA36" i="52"/>
  <c r="BA37" i="52"/>
  <c r="BA38" i="52"/>
  <c r="BA39" i="52"/>
  <c r="BA40" i="52"/>
  <c r="BA41" i="52"/>
  <c r="BA42" i="52"/>
  <c r="BA43" i="52"/>
  <c r="BA44" i="52"/>
  <c r="BA45" i="52"/>
  <c r="BA46" i="52"/>
  <c r="BA47" i="52"/>
  <c r="BA48" i="52"/>
  <c r="BA49" i="52"/>
  <c r="BA50" i="52"/>
  <c r="BA51" i="52"/>
  <c r="BA52" i="52"/>
  <c r="BA53" i="52"/>
  <c r="BA54" i="52"/>
  <c r="BA55" i="52"/>
  <c r="BA56" i="52"/>
  <c r="BA57" i="52"/>
  <c r="BA58" i="52"/>
  <c r="BA59" i="52"/>
  <c r="BA60" i="52"/>
  <c r="BA61" i="52"/>
  <c r="BA62" i="52"/>
  <c r="BA63" i="52"/>
  <c r="BA64" i="52"/>
  <c r="BA66" i="52" a="1"/>
  <c r="BA66" i="52"/>
  <c r="BA68" i="52"/>
  <c r="AZ30" i="52"/>
  <c r="AZ31" i="52"/>
  <c r="AZ32" i="52"/>
  <c r="AZ27" i="52"/>
  <c r="AZ33" i="52" a="1"/>
  <c r="AZ33" i="52"/>
  <c r="AZ34" i="52" a="1"/>
  <c r="AZ35" i="52" a="1"/>
  <c r="AZ36" i="52" a="1"/>
  <c r="AZ37" i="52" a="1"/>
  <c r="AZ38" i="52" a="1"/>
  <c r="AZ39" i="52" a="1"/>
  <c r="AZ40" i="52" a="1"/>
  <c r="AZ41" i="52" a="1"/>
  <c r="AZ42" i="52" a="1"/>
  <c r="AZ43" i="52" a="1"/>
  <c r="AZ44" i="52" a="1"/>
  <c r="AZ45" i="52" a="1"/>
  <c r="AZ46" i="52" a="1"/>
  <c r="AZ47" i="52" a="1"/>
  <c r="AZ48" i="52" a="1"/>
  <c r="AZ49" i="52" a="1"/>
  <c r="AZ50" i="52" a="1"/>
  <c r="AZ51" i="52" a="1"/>
  <c r="AZ52" i="52" a="1"/>
  <c r="AZ53" i="52" a="1"/>
  <c r="AZ54" i="52" a="1"/>
  <c r="AZ55" i="52" a="1"/>
  <c r="AZ56" i="52" a="1"/>
  <c r="AZ57" i="52" a="1"/>
  <c r="AZ58" i="52" a="1"/>
  <c r="AZ59" i="52" a="1"/>
  <c r="AZ60" i="52" a="1"/>
  <c r="AZ61" i="52" a="1"/>
  <c r="AZ62" i="52" a="1"/>
  <c r="AZ63" i="52" a="1"/>
  <c r="AZ64" i="52" a="1"/>
  <c r="AZ34" i="52"/>
  <c r="AZ35" i="52"/>
  <c r="AZ36" i="52"/>
  <c r="AZ37" i="52"/>
  <c r="AZ38" i="52"/>
  <c r="AZ39" i="52"/>
  <c r="AZ40" i="52"/>
  <c r="AZ41" i="52"/>
  <c r="AZ42" i="52"/>
  <c r="AZ43" i="52"/>
  <c r="AZ44" i="52"/>
  <c r="AZ45" i="52"/>
  <c r="AZ46" i="52"/>
  <c r="AZ47" i="52"/>
  <c r="AZ48" i="52"/>
  <c r="AZ49" i="52"/>
  <c r="AZ50" i="52"/>
  <c r="AZ51" i="52"/>
  <c r="AZ52" i="52"/>
  <c r="AZ53" i="52"/>
  <c r="AZ54" i="52"/>
  <c r="AZ55" i="52"/>
  <c r="AZ56" i="52"/>
  <c r="AZ57" i="52"/>
  <c r="AZ58" i="52"/>
  <c r="AZ59" i="52"/>
  <c r="AZ60" i="52"/>
  <c r="AZ61" i="52"/>
  <c r="AZ62" i="52"/>
  <c r="AZ63" i="52"/>
  <c r="AZ64" i="52"/>
  <c r="AZ66" i="52" a="1"/>
  <c r="AZ66" i="52"/>
  <c r="AZ68" i="52"/>
  <c r="AY30" i="52"/>
  <c r="AY31" i="52"/>
  <c r="AY32" i="52"/>
  <c r="AY27" i="52"/>
  <c r="AY33" i="52" a="1"/>
  <c r="AY33" i="52"/>
  <c r="AY34" i="52" a="1"/>
  <c r="AY35" i="52" a="1"/>
  <c r="AY36" i="52" a="1"/>
  <c r="AY37" i="52" a="1"/>
  <c r="AY38" i="52" a="1"/>
  <c r="AY39" i="52" a="1"/>
  <c r="AY40" i="52" a="1"/>
  <c r="AY41" i="52" a="1"/>
  <c r="AY42" i="52" a="1"/>
  <c r="AY43" i="52" a="1"/>
  <c r="AY44" i="52" a="1"/>
  <c r="AY45" i="52" a="1"/>
  <c r="AY46" i="52" a="1"/>
  <c r="AY47" i="52" a="1"/>
  <c r="AY48" i="52" a="1"/>
  <c r="AY49" i="52" a="1"/>
  <c r="AY50" i="52" a="1"/>
  <c r="AY51" i="52" a="1"/>
  <c r="AY52" i="52" a="1"/>
  <c r="AY53" i="52" a="1"/>
  <c r="AY54" i="52" a="1"/>
  <c r="AY55" i="52" a="1"/>
  <c r="AY56" i="52" a="1"/>
  <c r="AY57" i="52" a="1"/>
  <c r="AY58" i="52" a="1"/>
  <c r="AY59" i="52" a="1"/>
  <c r="AY60" i="52" a="1"/>
  <c r="AY61" i="52" a="1"/>
  <c r="AY62" i="52" a="1"/>
  <c r="AY63" i="52" a="1"/>
  <c r="AY64" i="52" a="1"/>
  <c r="AY34" i="52"/>
  <c r="AY35" i="52"/>
  <c r="AY36" i="52"/>
  <c r="AY37" i="52"/>
  <c r="AY38" i="52"/>
  <c r="AY39" i="52"/>
  <c r="AY40" i="52"/>
  <c r="AY41" i="52"/>
  <c r="AY42" i="52"/>
  <c r="AY43" i="52"/>
  <c r="AY44" i="52"/>
  <c r="AY45" i="52"/>
  <c r="AY46" i="52"/>
  <c r="AY47" i="52"/>
  <c r="AY48" i="52"/>
  <c r="AY49" i="52"/>
  <c r="AY50" i="52"/>
  <c r="AY51" i="52"/>
  <c r="AY52" i="52"/>
  <c r="AY53" i="52"/>
  <c r="AY54" i="52"/>
  <c r="AY55" i="52"/>
  <c r="AY56" i="52"/>
  <c r="AY57" i="52"/>
  <c r="AY58" i="52"/>
  <c r="AY59" i="52"/>
  <c r="AY60" i="52"/>
  <c r="AY61" i="52"/>
  <c r="AY62" i="52"/>
  <c r="AY63" i="52"/>
  <c r="AY64" i="52"/>
  <c r="AY66" i="52" a="1"/>
  <c r="AY66" i="52"/>
  <c r="AY68" i="52"/>
  <c r="AX30" i="52"/>
  <c r="AX31" i="52"/>
  <c r="AX32" i="52"/>
  <c r="AX27" i="52"/>
  <c r="AX33" i="52" a="1"/>
  <c r="AX33" i="52"/>
  <c r="AX34" i="52" a="1"/>
  <c r="AX35" i="52" a="1"/>
  <c r="AX36" i="52" a="1"/>
  <c r="AX37" i="52" a="1"/>
  <c r="AX38" i="52" a="1"/>
  <c r="AX39" i="52" a="1"/>
  <c r="AX40" i="52" a="1"/>
  <c r="AX41" i="52" a="1"/>
  <c r="AX42" i="52" a="1"/>
  <c r="AX43" i="52" a="1"/>
  <c r="AX44" i="52" a="1"/>
  <c r="AX45" i="52" a="1"/>
  <c r="AX46" i="52" a="1"/>
  <c r="AX47" i="52" a="1"/>
  <c r="AX48" i="52" a="1"/>
  <c r="AX49" i="52" a="1"/>
  <c r="AX50" i="52" a="1"/>
  <c r="AX51" i="52" a="1"/>
  <c r="AX52" i="52" a="1"/>
  <c r="AX53" i="52" a="1"/>
  <c r="AX54" i="52" a="1"/>
  <c r="AX55" i="52" a="1"/>
  <c r="AX56" i="52" a="1"/>
  <c r="AX57" i="52" a="1"/>
  <c r="AX58" i="52" a="1"/>
  <c r="AX59" i="52" a="1"/>
  <c r="AX60" i="52" a="1"/>
  <c r="AX61" i="52" a="1"/>
  <c r="AX62" i="52" a="1"/>
  <c r="AX63" i="52" a="1"/>
  <c r="AX64" i="52" a="1"/>
  <c r="AX34" i="52"/>
  <c r="AX35" i="52"/>
  <c r="AX36" i="52"/>
  <c r="AX37" i="52"/>
  <c r="AX38" i="52"/>
  <c r="AX39" i="52"/>
  <c r="AX40" i="52"/>
  <c r="AX41" i="52"/>
  <c r="AX42" i="52"/>
  <c r="AX43" i="52"/>
  <c r="AX44" i="52"/>
  <c r="AX45" i="52"/>
  <c r="AX46" i="52"/>
  <c r="AX47" i="52"/>
  <c r="AX48" i="52"/>
  <c r="AX49" i="52"/>
  <c r="AX50" i="52"/>
  <c r="AX51" i="52"/>
  <c r="AX52" i="52"/>
  <c r="AX53" i="52"/>
  <c r="AX54" i="52"/>
  <c r="AX55" i="52"/>
  <c r="AX56" i="52"/>
  <c r="AX57" i="52"/>
  <c r="AX58" i="52"/>
  <c r="AX59" i="52"/>
  <c r="AX60" i="52"/>
  <c r="AX61" i="52"/>
  <c r="AX62" i="52"/>
  <c r="AX63" i="52"/>
  <c r="AX64" i="52"/>
  <c r="AX66" i="52" a="1"/>
  <c r="AX66" i="52"/>
  <c r="AX68" i="52"/>
  <c r="AU65" i="52"/>
  <c r="AU68" i="52"/>
  <c r="AT68" i="52"/>
  <c r="H68" i="52"/>
  <c r="AO16" i="52"/>
  <c r="D67" i="52"/>
  <c r="E67" i="52"/>
  <c r="AP67" i="52"/>
  <c r="AQ67" i="52"/>
  <c r="AM67" i="52"/>
  <c r="AO67" i="52"/>
  <c r="AR67" i="52"/>
  <c r="AT67" i="52"/>
  <c r="AU67" i="52"/>
  <c r="BK67" i="52" a="1"/>
  <c r="BK67" i="52"/>
  <c r="BJ67" i="52" a="1"/>
  <c r="BJ67" i="52"/>
  <c r="BI67" i="52" a="1"/>
  <c r="BI67" i="52"/>
  <c r="BH67" i="52" a="1"/>
  <c r="BH67" i="52"/>
  <c r="BG67" i="52" a="1"/>
  <c r="BG67" i="52"/>
  <c r="BF67" i="52" a="1"/>
  <c r="BF67" i="52"/>
  <c r="BE67" i="52" a="1"/>
  <c r="BE67" i="52"/>
  <c r="BD67" i="52" a="1"/>
  <c r="BD67" i="52"/>
  <c r="BC67" i="52" a="1"/>
  <c r="BC67" i="52"/>
  <c r="BB67" i="52" a="1"/>
  <c r="BB67" i="52"/>
  <c r="BA67" i="52" a="1"/>
  <c r="BA67" i="52"/>
  <c r="AZ67" i="52" a="1"/>
  <c r="AZ67" i="52"/>
  <c r="AY67" i="52" a="1"/>
  <c r="AY67" i="52"/>
  <c r="AX67" i="52" a="1"/>
  <c r="AX67" i="52"/>
  <c r="AW67" i="52"/>
  <c r="AS67" i="52"/>
  <c r="X67" i="52"/>
  <c r="Y67" i="52"/>
  <c r="C67" i="52"/>
  <c r="B67" i="52"/>
  <c r="AW66" i="52"/>
  <c r="AV66" i="52"/>
  <c r="AS66" i="52"/>
  <c r="X66" i="52"/>
  <c r="Y66" i="52"/>
  <c r="H66" i="52"/>
  <c r="G66" i="52"/>
  <c r="C66" i="52"/>
  <c r="B66" i="52"/>
  <c r="BK65" i="52" a="1"/>
  <c r="BK65" i="52"/>
  <c r="BJ65" i="52" a="1"/>
  <c r="BJ65" i="52"/>
  <c r="BI65" i="52" a="1"/>
  <c r="BI65" i="52"/>
  <c r="BH65" i="52" a="1"/>
  <c r="BH65" i="52"/>
  <c r="BG65" i="52" a="1"/>
  <c r="BG65" i="52"/>
  <c r="BF65" i="52" a="1"/>
  <c r="BF65" i="52"/>
  <c r="BE65" i="52" a="1"/>
  <c r="BE65" i="52"/>
  <c r="BD65" i="52" a="1"/>
  <c r="BD65" i="52"/>
  <c r="BC65" i="52" a="1"/>
  <c r="BC65" i="52"/>
  <c r="BB65" i="52" a="1"/>
  <c r="BB65" i="52"/>
  <c r="BA65" i="52" a="1"/>
  <c r="BA65" i="52"/>
  <c r="AZ65" i="52" a="1"/>
  <c r="AZ65" i="52"/>
  <c r="AY65" i="52" a="1"/>
  <c r="AY65" i="52"/>
  <c r="AX65" i="52" a="1"/>
  <c r="AX65" i="52"/>
  <c r="AW65" i="52"/>
  <c r="AS65" i="52"/>
  <c r="X65" i="52"/>
  <c r="Y65" i="52"/>
  <c r="I65" i="52"/>
  <c r="H65" i="52"/>
  <c r="C65" i="52"/>
  <c r="B65" i="52"/>
  <c r="AW64" i="52"/>
  <c r="AS64" i="52"/>
  <c r="AG64" i="52"/>
  <c r="I64" i="52"/>
  <c r="H64" i="52"/>
  <c r="C64" i="52"/>
  <c r="B64" i="52"/>
  <c r="AM63" i="52"/>
  <c r="AW63" i="52"/>
  <c r="AS63" i="52"/>
  <c r="AO63" i="52"/>
  <c r="AG63" i="52"/>
  <c r="I63" i="52"/>
  <c r="H63" i="52"/>
  <c r="C63" i="52"/>
  <c r="B63" i="52"/>
  <c r="AM62" i="52"/>
  <c r="AW62" i="52"/>
  <c r="AS62" i="52"/>
  <c r="AO62" i="52"/>
  <c r="AG62" i="52"/>
  <c r="I62" i="52"/>
  <c r="H62" i="52"/>
  <c r="C62" i="52"/>
  <c r="B62" i="52"/>
  <c r="AM61" i="52"/>
  <c r="AW61" i="52"/>
  <c r="AS61" i="52"/>
  <c r="AO61" i="52"/>
  <c r="AG61" i="52"/>
  <c r="I61" i="52"/>
  <c r="H61" i="52"/>
  <c r="C61" i="52"/>
  <c r="B61" i="52"/>
  <c r="AW60" i="52"/>
  <c r="AS60" i="52"/>
  <c r="AG60" i="52"/>
  <c r="I60" i="52"/>
  <c r="H60" i="52"/>
  <c r="C60" i="52"/>
  <c r="B60" i="52"/>
  <c r="AW59" i="52"/>
  <c r="AS59" i="52"/>
  <c r="AG59" i="52"/>
  <c r="I59" i="52"/>
  <c r="H59" i="52"/>
  <c r="C59" i="52"/>
  <c r="B59" i="52"/>
  <c r="AM58" i="52"/>
  <c r="AW58" i="52"/>
  <c r="AS58" i="52"/>
  <c r="AO58" i="52"/>
  <c r="AG58" i="52"/>
  <c r="I58" i="52"/>
  <c r="H58" i="52"/>
  <c r="C58" i="52"/>
  <c r="B58" i="52"/>
  <c r="AM57" i="52"/>
  <c r="AW57" i="52"/>
  <c r="AS57" i="52"/>
  <c r="AO57" i="52"/>
  <c r="AG57" i="52"/>
  <c r="I57" i="52"/>
  <c r="H57" i="52"/>
  <c r="C57" i="52"/>
  <c r="B57" i="52"/>
  <c r="AM56" i="52"/>
  <c r="AW56" i="52"/>
  <c r="AS56" i="52"/>
  <c r="AO56" i="52"/>
  <c r="AG56" i="52"/>
  <c r="I56" i="52"/>
  <c r="H56" i="52"/>
  <c r="C56" i="52"/>
  <c r="B56" i="52"/>
  <c r="AM55" i="52"/>
  <c r="AW55" i="52"/>
  <c r="AS55" i="52"/>
  <c r="AO55" i="52"/>
  <c r="AG55" i="52"/>
  <c r="I55" i="52"/>
  <c r="H55" i="52"/>
  <c r="C55" i="52"/>
  <c r="B55" i="52"/>
  <c r="AM54" i="52"/>
  <c r="AW54" i="52"/>
  <c r="AS54" i="52"/>
  <c r="AO54" i="52"/>
  <c r="AG54" i="52"/>
  <c r="I54" i="52"/>
  <c r="H54" i="52"/>
  <c r="C54" i="52"/>
  <c r="B54" i="52"/>
  <c r="AM53" i="52"/>
  <c r="AW53" i="52"/>
  <c r="AS53" i="52"/>
  <c r="AO53" i="52"/>
  <c r="AG53" i="52"/>
  <c r="I53" i="52"/>
  <c r="H53" i="52"/>
  <c r="C53" i="52"/>
  <c r="B53" i="52"/>
  <c r="AM52" i="52"/>
  <c r="AW52" i="52"/>
  <c r="AS52" i="52"/>
  <c r="AO52" i="52"/>
  <c r="AG52" i="52"/>
  <c r="I52" i="52"/>
  <c r="H52" i="52"/>
  <c r="C52" i="52"/>
  <c r="B52" i="52"/>
  <c r="AM51" i="52"/>
  <c r="AW51" i="52"/>
  <c r="AS51" i="52"/>
  <c r="AO51" i="52"/>
  <c r="AG51" i="52"/>
  <c r="I51" i="52"/>
  <c r="H51" i="52"/>
  <c r="C51" i="52"/>
  <c r="B51" i="52"/>
  <c r="AM50" i="52"/>
  <c r="AW50" i="52"/>
  <c r="AS50" i="52"/>
  <c r="AO50" i="52"/>
  <c r="AG50" i="52"/>
  <c r="I50" i="52"/>
  <c r="H50" i="52"/>
  <c r="C50" i="52"/>
  <c r="B50" i="52"/>
  <c r="AM49" i="52"/>
  <c r="AW49" i="52"/>
  <c r="AS49" i="52"/>
  <c r="AO49" i="52"/>
  <c r="AG49" i="52"/>
  <c r="I49" i="52"/>
  <c r="H49" i="52"/>
  <c r="C49" i="52"/>
  <c r="B49" i="52"/>
  <c r="AW48" i="52"/>
  <c r="AS48" i="52"/>
  <c r="AG48" i="52"/>
  <c r="I48" i="52"/>
  <c r="H48" i="52"/>
  <c r="C48" i="52"/>
  <c r="B48" i="52"/>
  <c r="AW47" i="52"/>
  <c r="AS47" i="52"/>
  <c r="AG47" i="52"/>
  <c r="I47" i="52"/>
  <c r="H47" i="52"/>
  <c r="C47" i="52"/>
  <c r="B47" i="52"/>
  <c r="AW46" i="52"/>
  <c r="AS46" i="52"/>
  <c r="AG46" i="52"/>
  <c r="I46" i="52"/>
  <c r="H46" i="52"/>
  <c r="C46" i="52"/>
  <c r="B46" i="52"/>
  <c r="AW45" i="52"/>
  <c r="AS45" i="52"/>
  <c r="AG45" i="52"/>
  <c r="I45" i="52"/>
  <c r="H45" i="52"/>
  <c r="C45" i="52"/>
  <c r="B45" i="52"/>
  <c r="AW44" i="52"/>
  <c r="AS44" i="52"/>
  <c r="AG44" i="52"/>
  <c r="I44" i="52"/>
  <c r="H44" i="52"/>
  <c r="C44" i="52"/>
  <c r="B44" i="52"/>
  <c r="AW43" i="52"/>
  <c r="AS43" i="52"/>
  <c r="AG43" i="52"/>
  <c r="I43" i="52"/>
  <c r="H43" i="52"/>
  <c r="C43" i="52"/>
  <c r="B43" i="52"/>
  <c r="AW42" i="52"/>
  <c r="AS42" i="52"/>
  <c r="AG42" i="52"/>
  <c r="I42" i="52"/>
  <c r="H42" i="52"/>
  <c r="C42" i="52"/>
  <c r="B42" i="52"/>
  <c r="AM41" i="52"/>
  <c r="AW41" i="52"/>
  <c r="AS41" i="52"/>
  <c r="AO41" i="52"/>
  <c r="AG41" i="52"/>
  <c r="I41" i="52"/>
  <c r="H41" i="52"/>
  <c r="C41" i="52"/>
  <c r="B41" i="52"/>
  <c r="AM40" i="52"/>
  <c r="AW40" i="52"/>
  <c r="AS40" i="52"/>
  <c r="AO40" i="52"/>
  <c r="AG40" i="52"/>
  <c r="I40" i="52"/>
  <c r="H40" i="52"/>
  <c r="C40" i="52"/>
  <c r="B40" i="52"/>
  <c r="AM39" i="52"/>
  <c r="AW39" i="52"/>
  <c r="AS39" i="52"/>
  <c r="AO39" i="52"/>
  <c r="AG39" i="52"/>
  <c r="I39" i="52"/>
  <c r="H39" i="52"/>
  <c r="C39" i="52"/>
  <c r="B39" i="52"/>
  <c r="AM38" i="52"/>
  <c r="AW38" i="52"/>
  <c r="AS38" i="52"/>
  <c r="AO38" i="52"/>
  <c r="AG38" i="52"/>
  <c r="I38" i="52"/>
  <c r="H38" i="52"/>
  <c r="C38" i="52"/>
  <c r="B38" i="52"/>
  <c r="AM37" i="52"/>
  <c r="AW37" i="52"/>
  <c r="AS37" i="52"/>
  <c r="AO37" i="52"/>
  <c r="AG37" i="52"/>
  <c r="I37" i="52"/>
  <c r="H37" i="52"/>
  <c r="C37" i="52"/>
  <c r="B37" i="52"/>
  <c r="AM36" i="52"/>
  <c r="AW36" i="52"/>
  <c r="AS36" i="52"/>
  <c r="AO36" i="52"/>
  <c r="AG36" i="52"/>
  <c r="I36" i="52"/>
  <c r="H36" i="52"/>
  <c r="C36" i="52"/>
  <c r="B36" i="52"/>
  <c r="AM35" i="52"/>
  <c r="AW35" i="52"/>
  <c r="AS35" i="52"/>
  <c r="AO35" i="52"/>
  <c r="AG35" i="52"/>
  <c r="I35" i="52"/>
  <c r="H35" i="52"/>
  <c r="C35" i="52"/>
  <c r="B35" i="52"/>
  <c r="AM34" i="52"/>
  <c r="AW34" i="52"/>
  <c r="AS34" i="52"/>
  <c r="AO34" i="52"/>
  <c r="AG34" i="52"/>
  <c r="I34" i="52"/>
  <c r="H34" i="52"/>
  <c r="C34" i="52"/>
  <c r="B34" i="52"/>
  <c r="AM33" i="52"/>
  <c r="AW33" i="52"/>
  <c r="AS33" i="52"/>
  <c r="AO33" i="52"/>
  <c r="AG33" i="52"/>
  <c r="I33" i="52"/>
  <c r="H33" i="52"/>
  <c r="C33" i="52"/>
  <c r="B33" i="52"/>
  <c r="D32" i="52"/>
  <c r="AM32" i="52"/>
  <c r="AW32" i="52"/>
  <c r="AS32" i="52"/>
  <c r="AO32" i="52"/>
  <c r="AG32" i="52"/>
  <c r="I32" i="52"/>
  <c r="H32" i="52"/>
  <c r="C32" i="52"/>
  <c r="B32" i="52"/>
  <c r="D31" i="52"/>
  <c r="AM31" i="52"/>
  <c r="AW31" i="52"/>
  <c r="AS31" i="52"/>
  <c r="AO31" i="52"/>
  <c r="AG31" i="52"/>
  <c r="I31" i="52"/>
  <c r="H31" i="52"/>
  <c r="C31" i="52"/>
  <c r="B31" i="52"/>
  <c r="D30" i="52"/>
  <c r="AM30" i="52"/>
  <c r="AW30" i="52"/>
  <c r="AS30" i="52"/>
  <c r="AO30" i="52"/>
  <c r="AG30" i="52"/>
  <c r="I30" i="52"/>
  <c r="H30" i="52"/>
  <c r="C30" i="52"/>
  <c r="B30" i="52"/>
  <c r="EB28" i="52"/>
  <c r="DY28" i="52"/>
  <c r="DX28" i="52"/>
  <c r="DW28" i="52"/>
  <c r="DV28" i="52"/>
  <c r="DU28" i="52"/>
  <c r="DT28" i="52"/>
  <c r="DS28" i="52"/>
  <c r="DR28" i="52"/>
  <c r="DQ28" i="52"/>
  <c r="DP28" i="52"/>
  <c r="DO28" i="52"/>
  <c r="DN28" i="52"/>
  <c r="DK28" i="52"/>
  <c r="DJ28" i="52"/>
  <c r="DI28" i="52"/>
  <c r="DH28" i="52"/>
  <c r="DG28" i="52"/>
  <c r="DF28" i="52"/>
  <c r="DE28" i="52"/>
  <c r="DD28" i="52"/>
  <c r="DC28" i="52"/>
  <c r="DB28" i="52"/>
  <c r="DA28" i="52"/>
  <c r="CZ28" i="52"/>
  <c r="CW28" i="52"/>
  <c r="CV28" i="52"/>
  <c r="CU28" i="52"/>
  <c r="CT28" i="52"/>
  <c r="CS28" i="52"/>
  <c r="CR28" i="52"/>
  <c r="CQ28" i="52"/>
  <c r="CP28" i="52"/>
  <c r="CO28" i="52"/>
  <c r="CN28" i="52"/>
  <c r="CM28" i="52"/>
  <c r="CL28" i="52"/>
  <c r="CK28" i="52"/>
  <c r="CJ28" i="52"/>
  <c r="CI28" i="52"/>
  <c r="CH28" i="52"/>
  <c r="CG28" i="52"/>
  <c r="CF28" i="52"/>
  <c r="CE28" i="52"/>
  <c r="CD28" i="52"/>
  <c r="CC28" i="52"/>
  <c r="CB28" i="52"/>
  <c r="CA28" i="52"/>
  <c r="BZ28" i="52"/>
  <c r="BY28" i="52"/>
  <c r="BX28" i="52"/>
  <c r="BW28" i="52"/>
  <c r="BV28" i="52"/>
  <c r="BU28" i="52"/>
  <c r="BT28" i="52"/>
  <c r="BS28" i="52"/>
  <c r="BR28" i="52"/>
  <c r="BQ28" i="52"/>
  <c r="BP28" i="52"/>
  <c r="BO28" i="52"/>
  <c r="BN28" i="52"/>
  <c r="BM28" i="52"/>
  <c r="BK28" i="52"/>
  <c r="BJ28" i="52"/>
  <c r="BI28" i="52"/>
  <c r="BH28" i="52"/>
  <c r="BG28" i="52"/>
  <c r="BF28" i="52"/>
  <c r="BE28" i="52"/>
  <c r="BD28" i="52"/>
  <c r="BC28" i="52"/>
  <c r="BB28" i="52"/>
  <c r="BA28" i="52"/>
  <c r="AZ28" i="52"/>
  <c r="AY28" i="52"/>
  <c r="AX28" i="52"/>
  <c r="Z2" i="52"/>
  <c r="Y4" i="52"/>
  <c r="C28" i="52"/>
  <c r="EB27" i="52"/>
  <c r="DY27" i="52"/>
  <c r="DX27" i="52"/>
  <c r="DW27" i="52"/>
  <c r="DV27" i="52"/>
  <c r="DU27" i="52"/>
  <c r="DT27" i="52"/>
  <c r="DS27" i="52"/>
  <c r="DR27" i="52"/>
  <c r="DQ27" i="52"/>
  <c r="DP27" i="52"/>
  <c r="DO27" i="52"/>
  <c r="C23" i="52"/>
  <c r="C22" i="52"/>
  <c r="C21" i="52"/>
  <c r="C20" i="52"/>
  <c r="AQ18" i="52"/>
  <c r="D18" i="52"/>
  <c r="AM18" i="52"/>
  <c r="X18" i="52"/>
  <c r="Y18" i="52"/>
  <c r="W13" i="52"/>
  <c r="X13" i="52"/>
  <c r="B18" i="52"/>
  <c r="AY12" i="52"/>
  <c r="AX12" i="52"/>
  <c r="AX11" i="52"/>
  <c r="AX13" i="52"/>
  <c r="AX14" i="52"/>
  <c r="AX16" i="52"/>
  <c r="AY16" i="52"/>
  <c r="AN16" i="52"/>
  <c r="AM16" i="52"/>
  <c r="X16" i="52"/>
  <c r="B16" i="52"/>
  <c r="AX15" i="52"/>
  <c r="AY15" i="52"/>
  <c r="AY14" i="52"/>
  <c r="AW13" i="52"/>
  <c r="AZ12" i="52"/>
  <c r="AW12" i="52"/>
  <c r="W12" i="52"/>
  <c r="AY11" i="52"/>
  <c r="AW11" i="52"/>
  <c r="X11" i="52"/>
  <c r="W11" i="52"/>
  <c r="Y9" i="52"/>
  <c r="G11" i="52"/>
  <c r="AX10" i="52"/>
  <c r="AY10" i="52"/>
  <c r="AY9" i="52"/>
  <c r="AX9" i="52"/>
  <c r="C9" i="52"/>
  <c r="BK5" i="52"/>
  <c r="BY7" i="52"/>
  <c r="BY8" i="52"/>
  <c r="BJ5" i="52"/>
  <c r="BX7" i="52"/>
  <c r="BX8" i="52"/>
  <c r="BI5" i="52"/>
  <c r="BW7" i="52"/>
  <c r="BW8" i="52"/>
  <c r="BH5" i="52"/>
  <c r="BV7" i="52"/>
  <c r="BV8" i="52"/>
  <c r="BG5" i="52"/>
  <c r="BU7" i="52"/>
  <c r="BU8" i="52"/>
  <c r="BF5" i="52"/>
  <c r="BT7" i="52"/>
  <c r="BT8" i="52"/>
  <c r="BE5" i="52"/>
  <c r="BS7" i="52"/>
  <c r="BS8" i="52"/>
  <c r="BD5" i="52"/>
  <c r="BR7" i="52"/>
  <c r="BR8" i="52"/>
  <c r="BC5" i="52"/>
  <c r="BQ7" i="52"/>
  <c r="BQ8" i="52"/>
  <c r="BB5" i="52"/>
  <c r="BP7" i="52"/>
  <c r="BP8" i="52"/>
  <c r="BA5" i="52"/>
  <c r="BO7" i="52"/>
  <c r="BO8" i="52"/>
  <c r="AZ5" i="52"/>
  <c r="BN7" i="52"/>
  <c r="BN8" i="52"/>
  <c r="AY5" i="52"/>
  <c r="BM7" i="52"/>
  <c r="BM8" i="52"/>
  <c r="AX5" i="52"/>
  <c r="BL7" i="52"/>
  <c r="BL8" i="52"/>
  <c r="BK4" i="52"/>
  <c r="BK6" i="52"/>
  <c r="BK7" i="52"/>
  <c r="BK8" i="52"/>
  <c r="BJ4" i="52"/>
  <c r="BJ6" i="52"/>
  <c r="BJ7" i="52"/>
  <c r="BJ8" i="52"/>
  <c r="BI4" i="52"/>
  <c r="BI6" i="52"/>
  <c r="BI7" i="52"/>
  <c r="BI8" i="52"/>
  <c r="BH4" i="52"/>
  <c r="BH6" i="52"/>
  <c r="BH7" i="52"/>
  <c r="BH8" i="52"/>
  <c r="BG4" i="52"/>
  <c r="BG6" i="52"/>
  <c r="BG7" i="52"/>
  <c r="BG8" i="52"/>
  <c r="BF4" i="52"/>
  <c r="BF6" i="52"/>
  <c r="BF7" i="52"/>
  <c r="BF8" i="52"/>
  <c r="BE4" i="52"/>
  <c r="BE6" i="52"/>
  <c r="BE7" i="52"/>
  <c r="BE8" i="52"/>
  <c r="BD4" i="52"/>
  <c r="BD6" i="52"/>
  <c r="BD7" i="52"/>
  <c r="BD8" i="52"/>
  <c r="BC4" i="52"/>
  <c r="BC6" i="52"/>
  <c r="BC7" i="52"/>
  <c r="BC8" i="52"/>
  <c r="BB4" i="52"/>
  <c r="BB6" i="52"/>
  <c r="BB7" i="52"/>
  <c r="BB8" i="52"/>
  <c r="BA4" i="52"/>
  <c r="BA6" i="52"/>
  <c r="BA7" i="52"/>
  <c r="BA8" i="52"/>
  <c r="AZ4" i="52"/>
  <c r="AZ6" i="52"/>
  <c r="AZ7" i="52"/>
  <c r="AZ8" i="52"/>
  <c r="AY4" i="52"/>
  <c r="AY6" i="52"/>
  <c r="AY7" i="52"/>
  <c r="AY8" i="52"/>
  <c r="AX4" i="52"/>
  <c r="AX6" i="52"/>
  <c r="AX7" i="52"/>
  <c r="AX8" i="52"/>
  <c r="BY6" i="52"/>
  <c r="BX6" i="52"/>
  <c r="BW6" i="52"/>
  <c r="BV6" i="52"/>
  <c r="BU6" i="52"/>
  <c r="BT6" i="52"/>
  <c r="BS6" i="52"/>
  <c r="BR6" i="52"/>
  <c r="BQ6" i="52"/>
  <c r="BP6" i="52"/>
  <c r="BO6" i="52"/>
  <c r="BN6" i="52"/>
  <c r="BM6" i="52"/>
  <c r="BL6" i="52"/>
  <c r="C6" i="52"/>
  <c r="BY5" i="52"/>
  <c r="BX5" i="52"/>
  <c r="BW5" i="52"/>
  <c r="BV5" i="52"/>
  <c r="BU5" i="52"/>
  <c r="BT5" i="52"/>
  <c r="BS5" i="52"/>
  <c r="BR5" i="52"/>
  <c r="BQ5" i="52"/>
  <c r="BP5" i="52"/>
  <c r="BO5" i="52"/>
  <c r="BN5" i="52"/>
  <c r="BM5" i="52"/>
  <c r="BL5" i="52"/>
  <c r="BY4" i="52"/>
  <c r="BX4" i="52"/>
  <c r="BW4" i="52"/>
  <c r="BV4" i="52"/>
  <c r="BU4" i="52"/>
  <c r="BT4" i="52"/>
  <c r="BS4" i="52"/>
  <c r="BR4" i="52"/>
  <c r="BQ4" i="52"/>
  <c r="BP4" i="52"/>
  <c r="BO4" i="52"/>
  <c r="BN4" i="52"/>
  <c r="BM4" i="52"/>
  <c r="BL4" i="52"/>
  <c r="BY3" i="52"/>
  <c r="BX3" i="52"/>
  <c r="BV3" i="52"/>
  <c r="BU3" i="52"/>
  <c r="BT3" i="52"/>
  <c r="BS3" i="52"/>
  <c r="BR3" i="52"/>
  <c r="BQ3" i="52"/>
  <c r="BP3" i="52"/>
  <c r="BO3" i="52"/>
  <c r="BN3" i="52"/>
  <c r="BM3" i="52"/>
  <c r="BL3" i="52"/>
  <c r="BK3" i="52"/>
  <c r="BJ3" i="52"/>
  <c r="BI3" i="52"/>
  <c r="BH3" i="52"/>
  <c r="BG3" i="52"/>
  <c r="BF3" i="52"/>
  <c r="BE3" i="52"/>
  <c r="BD3" i="52"/>
  <c r="BC3" i="52"/>
  <c r="BB3" i="52"/>
  <c r="BA3" i="52"/>
  <c r="AZ3" i="52"/>
  <c r="AY3" i="52"/>
  <c r="AX3" i="52"/>
  <c r="Y3" i="52"/>
  <c r="C2" i="52"/>
  <c r="E16" i="51"/>
  <c r="AO15" i="51"/>
  <c r="BZ94" i="51"/>
  <c r="E97" i="51"/>
  <c r="AD18" i="51"/>
  <c r="E18" i="51"/>
  <c r="AN18" i="51"/>
  <c r="AE18" i="51"/>
  <c r="F18" i="51"/>
  <c r="AO18" i="51"/>
  <c r="AS18" i="51"/>
  <c r="AP18" i="51"/>
  <c r="AR18" i="51"/>
  <c r="AU18" i="51"/>
  <c r="AT18" i="51"/>
  <c r="G97" i="51"/>
  <c r="AP97" i="51"/>
  <c r="H97" i="51"/>
  <c r="AQ97" i="51"/>
  <c r="AT29" i="51"/>
  <c r="AR97" i="51"/>
  <c r="AT97" i="51"/>
  <c r="X97" i="51"/>
  <c r="Y97" i="51"/>
  <c r="AA97" i="51"/>
  <c r="AE97" i="51"/>
  <c r="AG27" i="51"/>
  <c r="AF97" i="51"/>
  <c r="AH97" i="51"/>
  <c r="BZ97" i="51" a="1"/>
  <c r="BZ97" i="51"/>
  <c r="E98" i="51"/>
  <c r="G98" i="51"/>
  <c r="AP98" i="51"/>
  <c r="H98" i="51"/>
  <c r="AQ98" i="51"/>
  <c r="AR98" i="51"/>
  <c r="AT98" i="51"/>
  <c r="X98" i="51"/>
  <c r="Y98" i="51"/>
  <c r="AA98" i="51"/>
  <c r="AE98" i="51"/>
  <c r="AF98" i="51"/>
  <c r="AH98" i="51"/>
  <c r="BZ98" i="51" a="1"/>
  <c r="BZ98" i="51"/>
  <c r="E99" i="51"/>
  <c r="G99" i="51"/>
  <c r="AP99" i="51"/>
  <c r="H99" i="51"/>
  <c r="AQ99" i="51"/>
  <c r="AR99" i="51"/>
  <c r="AT99" i="51"/>
  <c r="X99" i="51"/>
  <c r="Y99" i="51"/>
  <c r="AA99" i="51"/>
  <c r="AE99" i="51"/>
  <c r="AF99" i="51"/>
  <c r="AH99" i="51"/>
  <c r="BZ99" i="51" a="1"/>
  <c r="E100" i="51"/>
  <c r="G100" i="51"/>
  <c r="AP100" i="51"/>
  <c r="H100" i="51"/>
  <c r="AQ100" i="51"/>
  <c r="AR100" i="51"/>
  <c r="AT100" i="51"/>
  <c r="X100" i="51"/>
  <c r="Y100" i="51"/>
  <c r="AA100" i="51"/>
  <c r="AE100" i="51"/>
  <c r="AF100" i="51"/>
  <c r="AH100" i="51"/>
  <c r="BZ100" i="51" a="1"/>
  <c r="E101" i="51"/>
  <c r="G101" i="51"/>
  <c r="AP101" i="51"/>
  <c r="H101" i="51"/>
  <c r="AQ101" i="51"/>
  <c r="AR101" i="51"/>
  <c r="AT101" i="51"/>
  <c r="X101" i="51"/>
  <c r="Y101" i="51"/>
  <c r="AA101" i="51"/>
  <c r="AE101" i="51"/>
  <c r="AF101" i="51"/>
  <c r="AH101" i="51"/>
  <c r="BZ101" i="51" a="1"/>
  <c r="E102" i="51"/>
  <c r="G102" i="51"/>
  <c r="AP102" i="51"/>
  <c r="H102" i="51"/>
  <c r="AQ102" i="51"/>
  <c r="AR102" i="51"/>
  <c r="AT102" i="51"/>
  <c r="X102" i="51"/>
  <c r="Y102" i="51"/>
  <c r="AA102" i="51"/>
  <c r="AE102" i="51"/>
  <c r="AF102" i="51"/>
  <c r="AH102" i="51"/>
  <c r="BZ102" i="51" a="1"/>
  <c r="BZ99" i="51"/>
  <c r="BZ100" i="51"/>
  <c r="BZ101" i="51"/>
  <c r="BZ102" i="51"/>
  <c r="BZ103" i="51"/>
  <c r="CN94" i="51"/>
  <c r="AB97" i="51"/>
  <c r="AI97" i="51"/>
  <c r="CN97" i="51" a="1"/>
  <c r="CN97" i="51"/>
  <c r="AB98" i="51"/>
  <c r="AI98" i="51"/>
  <c r="CN98" i="51" a="1"/>
  <c r="CN98" i="51"/>
  <c r="AB99" i="51"/>
  <c r="AI99" i="51"/>
  <c r="CN99" i="51" a="1"/>
  <c r="AB100" i="51"/>
  <c r="AI100" i="51"/>
  <c r="CN100" i="51" a="1"/>
  <c r="AB101" i="51"/>
  <c r="AI101" i="51"/>
  <c r="CN101" i="51" a="1"/>
  <c r="AB102" i="51"/>
  <c r="AI102" i="51"/>
  <c r="CN102" i="51" a="1"/>
  <c r="CN99" i="51"/>
  <c r="CN100" i="51"/>
  <c r="CN101" i="51"/>
  <c r="CN102" i="51"/>
  <c r="CN103" i="51"/>
  <c r="DB94" i="51"/>
  <c r="DB97" i="51" a="1"/>
  <c r="DB97" i="51"/>
  <c r="DB98" i="51" a="1"/>
  <c r="DB98" i="51"/>
  <c r="DB99" i="51" a="1"/>
  <c r="DB100" i="51" a="1"/>
  <c r="DB101" i="51" a="1"/>
  <c r="DB102" i="51" a="1"/>
  <c r="DB99" i="51"/>
  <c r="DB100" i="51"/>
  <c r="DB101" i="51"/>
  <c r="DB102" i="51"/>
  <c r="DB103" i="51"/>
  <c r="DP94" i="51"/>
  <c r="DP97" i="51" a="1"/>
  <c r="DP97" i="51"/>
  <c r="DP98" i="51" a="1"/>
  <c r="DP98" i="51"/>
  <c r="DP99" i="51" a="1"/>
  <c r="DP100" i="51" a="1"/>
  <c r="DP101" i="51" a="1"/>
  <c r="DP102" i="51" a="1"/>
  <c r="DP99" i="51"/>
  <c r="DP100" i="51"/>
  <c r="DP101" i="51"/>
  <c r="DP102" i="51"/>
  <c r="DP103" i="51"/>
  <c r="BZ108" i="51"/>
  <c r="BY94" i="51"/>
  <c r="BY97" i="51" a="1"/>
  <c r="BY97" i="51"/>
  <c r="BY98" i="51" a="1"/>
  <c r="BY98" i="51"/>
  <c r="BY99" i="51" a="1"/>
  <c r="BY100" i="51" a="1"/>
  <c r="BY101" i="51" a="1"/>
  <c r="BY102" i="51" a="1"/>
  <c r="BY99" i="51"/>
  <c r="BY100" i="51"/>
  <c r="BY101" i="51"/>
  <c r="BY102" i="51"/>
  <c r="BY103" i="51"/>
  <c r="CM94" i="51"/>
  <c r="CM97" i="51" a="1"/>
  <c r="CM97" i="51"/>
  <c r="CM98" i="51" a="1"/>
  <c r="CM98" i="51"/>
  <c r="CM99" i="51" a="1"/>
  <c r="CM100" i="51" a="1"/>
  <c r="CM101" i="51" a="1"/>
  <c r="CM102" i="51" a="1"/>
  <c r="CM99" i="51"/>
  <c r="CM100" i="51"/>
  <c r="CM101" i="51"/>
  <c r="CM102" i="51"/>
  <c r="CM103" i="51"/>
  <c r="DA94" i="51"/>
  <c r="DA97" i="51" a="1"/>
  <c r="DA97" i="51"/>
  <c r="DA98" i="51" a="1"/>
  <c r="DA98" i="51"/>
  <c r="DA99" i="51" a="1"/>
  <c r="DA100" i="51" a="1"/>
  <c r="DA101" i="51" a="1"/>
  <c r="DA102" i="51" a="1"/>
  <c r="DA99" i="51"/>
  <c r="DA100" i="51"/>
  <c r="DA101" i="51"/>
  <c r="DA102" i="51"/>
  <c r="DA103" i="51"/>
  <c r="DO94" i="51"/>
  <c r="DO97" i="51" a="1"/>
  <c r="DO97" i="51"/>
  <c r="DO98" i="51" a="1"/>
  <c r="DO98" i="51"/>
  <c r="DO99" i="51" a="1"/>
  <c r="DO100" i="51" a="1"/>
  <c r="DO101" i="51" a="1"/>
  <c r="DO102" i="51" a="1"/>
  <c r="DO99" i="51"/>
  <c r="DO100" i="51"/>
  <c r="DO101" i="51"/>
  <c r="DO102" i="51"/>
  <c r="DO103" i="51"/>
  <c r="BY108" i="51"/>
  <c r="BX94" i="51"/>
  <c r="BX97" i="51" a="1"/>
  <c r="BX97" i="51"/>
  <c r="BX98" i="51" a="1"/>
  <c r="BX98" i="51"/>
  <c r="BX99" i="51" a="1"/>
  <c r="BX100" i="51" a="1"/>
  <c r="BX101" i="51" a="1"/>
  <c r="BX102" i="51" a="1"/>
  <c r="BX99" i="51"/>
  <c r="BX100" i="51"/>
  <c r="BX101" i="51"/>
  <c r="BX102" i="51"/>
  <c r="BX103" i="51"/>
  <c r="CL94" i="51"/>
  <c r="CL97" i="51" a="1"/>
  <c r="CL97" i="51"/>
  <c r="CL98" i="51" a="1"/>
  <c r="CL98" i="51"/>
  <c r="CL99" i="51" a="1"/>
  <c r="CL100" i="51" a="1"/>
  <c r="CL101" i="51" a="1"/>
  <c r="CL102" i="51" a="1"/>
  <c r="CL99" i="51"/>
  <c r="CL100" i="51"/>
  <c r="CL101" i="51"/>
  <c r="CL102" i="51"/>
  <c r="CL103" i="51"/>
  <c r="CZ94" i="51"/>
  <c r="CZ97" i="51" a="1"/>
  <c r="CZ97" i="51"/>
  <c r="CZ98" i="51" a="1"/>
  <c r="CZ98" i="51"/>
  <c r="CZ99" i="51" a="1"/>
  <c r="CZ100" i="51" a="1"/>
  <c r="CZ101" i="51" a="1"/>
  <c r="CZ102" i="51" a="1"/>
  <c r="CZ99" i="51"/>
  <c r="CZ100" i="51"/>
  <c r="CZ101" i="51"/>
  <c r="CZ102" i="51"/>
  <c r="CZ103" i="51"/>
  <c r="DN94" i="51"/>
  <c r="DN97" i="51" a="1"/>
  <c r="DN97" i="51"/>
  <c r="DN98" i="51" a="1"/>
  <c r="DN98" i="51"/>
  <c r="DN99" i="51" a="1"/>
  <c r="DN100" i="51" a="1"/>
  <c r="DN101" i="51" a="1"/>
  <c r="DN102" i="51" a="1"/>
  <c r="DN99" i="51"/>
  <c r="DN100" i="51"/>
  <c r="DN101" i="51"/>
  <c r="DN102" i="51"/>
  <c r="DN103" i="51"/>
  <c r="BX108" i="51"/>
  <c r="BW94" i="51"/>
  <c r="BW97" i="51" a="1"/>
  <c r="BW97" i="51"/>
  <c r="BW98" i="51" a="1"/>
  <c r="BW98" i="51"/>
  <c r="BW99" i="51" a="1"/>
  <c r="BW100" i="51" a="1"/>
  <c r="BW101" i="51" a="1"/>
  <c r="BW102" i="51" a="1"/>
  <c r="BW99" i="51"/>
  <c r="BW100" i="51"/>
  <c r="BW101" i="51"/>
  <c r="BW102" i="51"/>
  <c r="BW103" i="51"/>
  <c r="CK94" i="51"/>
  <c r="CK97" i="51" a="1"/>
  <c r="CK97" i="51"/>
  <c r="CK98" i="51" a="1"/>
  <c r="CK98" i="51"/>
  <c r="CK99" i="51" a="1"/>
  <c r="CK100" i="51" a="1"/>
  <c r="CK101" i="51" a="1"/>
  <c r="CK102" i="51" a="1"/>
  <c r="CK99" i="51"/>
  <c r="CK100" i="51"/>
  <c r="CK101" i="51"/>
  <c r="CK102" i="51"/>
  <c r="CK103" i="51"/>
  <c r="CY94" i="51"/>
  <c r="CY97" i="51" a="1"/>
  <c r="CY97" i="51"/>
  <c r="CY98" i="51" a="1"/>
  <c r="CY98" i="51"/>
  <c r="CY99" i="51" a="1"/>
  <c r="CY100" i="51" a="1"/>
  <c r="CY101" i="51" a="1"/>
  <c r="CY102" i="51" a="1"/>
  <c r="CY99" i="51"/>
  <c r="CY100" i="51"/>
  <c r="CY101" i="51"/>
  <c r="CY102" i="51"/>
  <c r="CY103" i="51"/>
  <c r="DM94" i="51"/>
  <c r="DM97" i="51" a="1"/>
  <c r="DM97" i="51"/>
  <c r="DM98" i="51" a="1"/>
  <c r="DM98" i="51"/>
  <c r="DM99" i="51" a="1"/>
  <c r="DM100" i="51" a="1"/>
  <c r="DM101" i="51" a="1"/>
  <c r="DM102" i="51" a="1"/>
  <c r="DM99" i="51"/>
  <c r="DM100" i="51"/>
  <c r="DM101" i="51"/>
  <c r="DM102" i="51"/>
  <c r="DM103" i="51"/>
  <c r="BW108" i="51"/>
  <c r="BV94" i="51"/>
  <c r="BV97" i="51" a="1"/>
  <c r="BV97" i="51"/>
  <c r="BV98" i="51" a="1"/>
  <c r="BV98" i="51"/>
  <c r="BV99" i="51" a="1"/>
  <c r="BV100" i="51" a="1"/>
  <c r="BV101" i="51" a="1"/>
  <c r="BV102" i="51" a="1"/>
  <c r="BV99" i="51"/>
  <c r="BV100" i="51"/>
  <c r="BV101" i="51"/>
  <c r="BV102" i="51"/>
  <c r="BV103" i="51"/>
  <c r="CJ94" i="51"/>
  <c r="CJ97" i="51" a="1"/>
  <c r="CJ97" i="51"/>
  <c r="CJ98" i="51" a="1"/>
  <c r="CJ98" i="51"/>
  <c r="CJ99" i="51" a="1"/>
  <c r="CJ100" i="51" a="1"/>
  <c r="CJ101" i="51" a="1"/>
  <c r="CJ102" i="51" a="1"/>
  <c r="CJ99" i="51"/>
  <c r="CJ100" i="51"/>
  <c r="CJ101" i="51"/>
  <c r="CJ102" i="51"/>
  <c r="CJ103" i="51"/>
  <c r="CX94" i="51"/>
  <c r="CX97" i="51" a="1"/>
  <c r="CX97" i="51"/>
  <c r="CX98" i="51" a="1"/>
  <c r="CX98" i="51"/>
  <c r="CX99" i="51" a="1"/>
  <c r="CX100" i="51" a="1"/>
  <c r="CX101" i="51" a="1"/>
  <c r="CX102" i="51" a="1"/>
  <c r="CX99" i="51"/>
  <c r="CX100" i="51"/>
  <c r="CX101" i="51"/>
  <c r="CX102" i="51"/>
  <c r="CX103" i="51"/>
  <c r="DL94" i="51"/>
  <c r="DL97" i="51" a="1"/>
  <c r="DL97" i="51"/>
  <c r="DL98" i="51" a="1"/>
  <c r="DL98" i="51"/>
  <c r="DL99" i="51" a="1"/>
  <c r="DL100" i="51" a="1"/>
  <c r="DL101" i="51" a="1"/>
  <c r="DL102" i="51" a="1"/>
  <c r="DL99" i="51"/>
  <c r="DL100" i="51"/>
  <c r="DL101" i="51"/>
  <c r="DL102" i="51"/>
  <c r="DL103" i="51"/>
  <c r="BV108" i="51"/>
  <c r="BU94" i="51"/>
  <c r="BU97" i="51" a="1"/>
  <c r="BU97" i="51"/>
  <c r="BU98" i="51" a="1"/>
  <c r="BU98" i="51"/>
  <c r="BU99" i="51" a="1"/>
  <c r="BU100" i="51" a="1"/>
  <c r="BU101" i="51" a="1"/>
  <c r="BU102" i="51" a="1"/>
  <c r="BU99" i="51"/>
  <c r="BU100" i="51"/>
  <c r="BU101" i="51"/>
  <c r="BU102" i="51"/>
  <c r="BU103" i="51"/>
  <c r="CI94" i="51"/>
  <c r="CI97" i="51" a="1"/>
  <c r="CI97" i="51"/>
  <c r="CI98" i="51" a="1"/>
  <c r="CI98" i="51"/>
  <c r="CI99" i="51" a="1"/>
  <c r="CI100" i="51" a="1"/>
  <c r="CI101" i="51" a="1"/>
  <c r="CI102" i="51" a="1"/>
  <c r="CI99" i="51"/>
  <c r="CI100" i="51"/>
  <c r="CI101" i="51"/>
  <c r="CI102" i="51"/>
  <c r="CI103" i="51"/>
  <c r="CW94" i="51"/>
  <c r="CW97" i="51" a="1"/>
  <c r="CW97" i="51"/>
  <c r="CW98" i="51" a="1"/>
  <c r="CW98" i="51"/>
  <c r="CW99" i="51" a="1"/>
  <c r="CW100" i="51" a="1"/>
  <c r="CW101" i="51" a="1"/>
  <c r="CW102" i="51" a="1"/>
  <c r="CW99" i="51"/>
  <c r="CW100" i="51"/>
  <c r="CW101" i="51"/>
  <c r="CW102" i="51"/>
  <c r="CW103" i="51"/>
  <c r="DK94" i="51"/>
  <c r="DK97" i="51" a="1"/>
  <c r="DK97" i="51"/>
  <c r="DK98" i="51" a="1"/>
  <c r="DK98" i="51"/>
  <c r="DK99" i="51" a="1"/>
  <c r="DK100" i="51" a="1"/>
  <c r="DK101" i="51" a="1"/>
  <c r="DK102" i="51" a="1"/>
  <c r="DK99" i="51"/>
  <c r="DK100" i="51"/>
  <c r="DK101" i="51"/>
  <c r="DK102" i="51"/>
  <c r="DK103" i="51"/>
  <c r="BU108" i="51"/>
  <c r="BT94" i="51"/>
  <c r="BT97" i="51" a="1"/>
  <c r="BT97" i="51"/>
  <c r="BT98" i="51" a="1"/>
  <c r="BT98" i="51"/>
  <c r="BT99" i="51" a="1"/>
  <c r="BT100" i="51" a="1"/>
  <c r="BT101" i="51" a="1"/>
  <c r="BT102" i="51" a="1"/>
  <c r="BT99" i="51"/>
  <c r="BT100" i="51"/>
  <c r="BT101" i="51"/>
  <c r="BT102" i="51"/>
  <c r="BT103" i="51"/>
  <c r="CH94" i="51"/>
  <c r="CH97" i="51" a="1"/>
  <c r="CH97" i="51"/>
  <c r="CH98" i="51" a="1"/>
  <c r="CH98" i="51"/>
  <c r="CH99" i="51" a="1"/>
  <c r="CH100" i="51" a="1"/>
  <c r="CH101" i="51" a="1"/>
  <c r="CH102" i="51" a="1"/>
  <c r="CH99" i="51"/>
  <c r="CH100" i="51"/>
  <c r="CH101" i="51"/>
  <c r="CH102" i="51"/>
  <c r="CH103" i="51"/>
  <c r="CV94" i="51"/>
  <c r="CV97" i="51" a="1"/>
  <c r="CV97" i="51"/>
  <c r="CV98" i="51" a="1"/>
  <c r="CV98" i="51"/>
  <c r="CV99" i="51" a="1"/>
  <c r="CV100" i="51" a="1"/>
  <c r="CV101" i="51" a="1"/>
  <c r="CV102" i="51" a="1"/>
  <c r="CV99" i="51"/>
  <c r="CV100" i="51"/>
  <c r="CV101" i="51"/>
  <c r="CV102" i="51"/>
  <c r="CV103" i="51"/>
  <c r="DJ94" i="51"/>
  <c r="DJ97" i="51" a="1"/>
  <c r="DJ97" i="51"/>
  <c r="DJ98" i="51" a="1"/>
  <c r="DJ98" i="51"/>
  <c r="DJ99" i="51" a="1"/>
  <c r="DJ100" i="51" a="1"/>
  <c r="DJ101" i="51" a="1"/>
  <c r="DJ102" i="51" a="1"/>
  <c r="DJ99" i="51"/>
  <c r="DJ100" i="51"/>
  <c r="DJ101" i="51"/>
  <c r="DJ102" i="51"/>
  <c r="DJ103" i="51"/>
  <c r="BT108" i="51"/>
  <c r="BS94" i="51"/>
  <c r="BS97" i="51" a="1"/>
  <c r="BS97" i="51"/>
  <c r="BS98" i="51" a="1"/>
  <c r="BS98" i="51"/>
  <c r="BS99" i="51" a="1"/>
  <c r="BS100" i="51" a="1"/>
  <c r="BS101" i="51" a="1"/>
  <c r="BS102" i="51" a="1"/>
  <c r="BS99" i="51"/>
  <c r="BS100" i="51"/>
  <c r="BS101" i="51"/>
  <c r="BS102" i="51"/>
  <c r="BS103" i="51"/>
  <c r="CG94" i="51"/>
  <c r="CG97" i="51" a="1"/>
  <c r="CG97" i="51"/>
  <c r="CG98" i="51" a="1"/>
  <c r="CG98" i="51"/>
  <c r="CG99" i="51" a="1"/>
  <c r="CG100" i="51" a="1"/>
  <c r="CG101" i="51" a="1"/>
  <c r="CG102" i="51" a="1"/>
  <c r="CG99" i="51"/>
  <c r="CG100" i="51"/>
  <c r="CG101" i="51"/>
  <c r="CG102" i="51"/>
  <c r="CG103" i="51"/>
  <c r="CU94" i="51"/>
  <c r="CU97" i="51" a="1"/>
  <c r="CU97" i="51"/>
  <c r="CU98" i="51" a="1"/>
  <c r="CU98" i="51"/>
  <c r="CU99" i="51" a="1"/>
  <c r="CU100" i="51" a="1"/>
  <c r="CU101" i="51" a="1"/>
  <c r="CU102" i="51" a="1"/>
  <c r="CU99" i="51"/>
  <c r="CU100" i="51"/>
  <c r="CU101" i="51"/>
  <c r="CU102" i="51"/>
  <c r="CU103" i="51"/>
  <c r="DI94" i="51"/>
  <c r="DI97" i="51" a="1"/>
  <c r="DI97" i="51"/>
  <c r="DI98" i="51" a="1"/>
  <c r="DI98" i="51"/>
  <c r="DI99" i="51" a="1"/>
  <c r="DI100" i="51" a="1"/>
  <c r="DI101" i="51" a="1"/>
  <c r="DI102" i="51" a="1"/>
  <c r="DI99" i="51"/>
  <c r="DI100" i="51"/>
  <c r="DI101" i="51"/>
  <c r="DI102" i="51"/>
  <c r="DI103" i="51"/>
  <c r="BS108" i="51"/>
  <c r="BR94" i="51"/>
  <c r="BR97" i="51" a="1"/>
  <c r="BR97" i="51"/>
  <c r="BR98" i="51" a="1"/>
  <c r="BR98" i="51"/>
  <c r="BR99" i="51" a="1"/>
  <c r="BR100" i="51" a="1"/>
  <c r="BR101" i="51" a="1"/>
  <c r="BR102" i="51" a="1"/>
  <c r="BR99" i="51"/>
  <c r="BR100" i="51"/>
  <c r="BR101" i="51"/>
  <c r="BR102" i="51"/>
  <c r="BR103" i="51"/>
  <c r="CF94" i="51"/>
  <c r="CF97" i="51" a="1"/>
  <c r="CF97" i="51"/>
  <c r="CF98" i="51" a="1"/>
  <c r="CF98" i="51"/>
  <c r="CF99" i="51" a="1"/>
  <c r="CF100" i="51" a="1"/>
  <c r="CF101" i="51" a="1"/>
  <c r="CF102" i="51" a="1"/>
  <c r="CF99" i="51"/>
  <c r="CF100" i="51"/>
  <c r="CF101" i="51"/>
  <c r="CF102" i="51"/>
  <c r="CF103" i="51"/>
  <c r="CT94" i="51"/>
  <c r="CT97" i="51" a="1"/>
  <c r="CT97" i="51"/>
  <c r="CT98" i="51" a="1"/>
  <c r="CT98" i="51"/>
  <c r="CT99" i="51" a="1"/>
  <c r="CT100" i="51" a="1"/>
  <c r="CT101" i="51" a="1"/>
  <c r="CT102" i="51" a="1"/>
  <c r="CT99" i="51"/>
  <c r="CT100" i="51"/>
  <c r="CT101" i="51"/>
  <c r="CT102" i="51"/>
  <c r="CT103" i="51"/>
  <c r="DH94" i="51"/>
  <c r="DH97" i="51" a="1"/>
  <c r="DH97" i="51"/>
  <c r="DH98" i="51" a="1"/>
  <c r="DH98" i="51"/>
  <c r="DH99" i="51" a="1"/>
  <c r="DH100" i="51" a="1"/>
  <c r="DH101" i="51" a="1"/>
  <c r="DH102" i="51" a="1"/>
  <c r="DH99" i="51"/>
  <c r="DH100" i="51"/>
  <c r="DH101" i="51"/>
  <c r="DH102" i="51"/>
  <c r="DH103" i="51"/>
  <c r="BR108" i="51"/>
  <c r="BQ94" i="51"/>
  <c r="BQ97" i="51" a="1"/>
  <c r="BQ97" i="51"/>
  <c r="BQ98" i="51" a="1"/>
  <c r="BQ98" i="51"/>
  <c r="BQ99" i="51" a="1"/>
  <c r="BQ100" i="51" a="1"/>
  <c r="BQ101" i="51" a="1"/>
  <c r="BQ102" i="51" a="1"/>
  <c r="BQ99" i="51"/>
  <c r="BQ100" i="51"/>
  <c r="BQ101" i="51"/>
  <c r="BQ102" i="51"/>
  <c r="BQ103" i="51"/>
  <c r="CE94" i="51"/>
  <c r="CE97" i="51" a="1"/>
  <c r="CE97" i="51"/>
  <c r="CE98" i="51" a="1"/>
  <c r="CE98" i="51"/>
  <c r="CE99" i="51" a="1"/>
  <c r="CE100" i="51" a="1"/>
  <c r="CE101" i="51" a="1"/>
  <c r="CE102" i="51" a="1"/>
  <c r="CE99" i="51"/>
  <c r="CE100" i="51"/>
  <c r="CE101" i="51"/>
  <c r="CE102" i="51"/>
  <c r="CE103" i="51"/>
  <c r="CS94" i="51"/>
  <c r="CS97" i="51" a="1"/>
  <c r="CS97" i="51"/>
  <c r="CS98" i="51" a="1"/>
  <c r="CS98" i="51"/>
  <c r="CS99" i="51" a="1"/>
  <c r="CS100" i="51" a="1"/>
  <c r="CS101" i="51" a="1"/>
  <c r="CS102" i="51" a="1"/>
  <c r="CS99" i="51"/>
  <c r="CS100" i="51"/>
  <c r="CS101" i="51"/>
  <c r="CS102" i="51"/>
  <c r="CS103" i="51"/>
  <c r="DG94" i="51"/>
  <c r="DG97" i="51" a="1"/>
  <c r="DG97" i="51"/>
  <c r="DG98" i="51" a="1"/>
  <c r="DG98" i="51"/>
  <c r="DG99" i="51" a="1"/>
  <c r="DG100" i="51" a="1"/>
  <c r="DG101" i="51" a="1"/>
  <c r="DG102" i="51" a="1"/>
  <c r="DG99" i="51"/>
  <c r="DG100" i="51"/>
  <c r="DG101" i="51"/>
  <c r="DG102" i="51"/>
  <c r="DG103" i="51"/>
  <c r="BQ108" i="51"/>
  <c r="BP94" i="51"/>
  <c r="BP97" i="51" a="1"/>
  <c r="BP97" i="51"/>
  <c r="BP98" i="51" a="1"/>
  <c r="BP98" i="51"/>
  <c r="BP99" i="51" a="1"/>
  <c r="BP100" i="51" a="1"/>
  <c r="BP101" i="51" a="1"/>
  <c r="BP102" i="51" a="1"/>
  <c r="BP99" i="51"/>
  <c r="BP100" i="51"/>
  <c r="BP101" i="51"/>
  <c r="BP102" i="51"/>
  <c r="BP103" i="51"/>
  <c r="CD94" i="51"/>
  <c r="CD97" i="51" a="1"/>
  <c r="CD97" i="51"/>
  <c r="CD98" i="51" a="1"/>
  <c r="CD98" i="51"/>
  <c r="CD99" i="51" a="1"/>
  <c r="CD100" i="51" a="1"/>
  <c r="CD101" i="51" a="1"/>
  <c r="CD102" i="51" a="1"/>
  <c r="CD99" i="51"/>
  <c r="CD100" i="51"/>
  <c r="CD101" i="51"/>
  <c r="CD102" i="51"/>
  <c r="CD103" i="51"/>
  <c r="CR94" i="51"/>
  <c r="CR97" i="51" a="1"/>
  <c r="CR97" i="51"/>
  <c r="CR98" i="51" a="1"/>
  <c r="CR98" i="51"/>
  <c r="CR99" i="51" a="1"/>
  <c r="CR100" i="51" a="1"/>
  <c r="CR101" i="51" a="1"/>
  <c r="CR102" i="51" a="1"/>
  <c r="CR99" i="51"/>
  <c r="CR100" i="51"/>
  <c r="CR101" i="51"/>
  <c r="CR102" i="51"/>
  <c r="CR103" i="51"/>
  <c r="DF94" i="51"/>
  <c r="DF97" i="51" a="1"/>
  <c r="DF97" i="51"/>
  <c r="DF98" i="51" a="1"/>
  <c r="DF98" i="51"/>
  <c r="DF99" i="51" a="1"/>
  <c r="DF100" i="51" a="1"/>
  <c r="DF101" i="51" a="1"/>
  <c r="DF102" i="51" a="1"/>
  <c r="DF99" i="51"/>
  <c r="DF100" i="51"/>
  <c r="DF101" i="51"/>
  <c r="DF102" i="51"/>
  <c r="DF103" i="51"/>
  <c r="BP108" i="51"/>
  <c r="BO94" i="51"/>
  <c r="BO97" i="51" a="1"/>
  <c r="BO97" i="51"/>
  <c r="BO98" i="51" a="1"/>
  <c r="BO98" i="51"/>
  <c r="BO99" i="51" a="1"/>
  <c r="BO100" i="51" a="1"/>
  <c r="BO101" i="51" a="1"/>
  <c r="BO102" i="51" a="1"/>
  <c r="BO99" i="51"/>
  <c r="BO100" i="51"/>
  <c r="BO101" i="51"/>
  <c r="BO102" i="51"/>
  <c r="BO103" i="51"/>
  <c r="CC94" i="51"/>
  <c r="CC97" i="51" a="1"/>
  <c r="CC97" i="51"/>
  <c r="CC98" i="51" a="1"/>
  <c r="CC98" i="51"/>
  <c r="CC99" i="51" a="1"/>
  <c r="CC100" i="51" a="1"/>
  <c r="CC101" i="51" a="1"/>
  <c r="CC102" i="51" a="1"/>
  <c r="CC99" i="51"/>
  <c r="CC100" i="51"/>
  <c r="CC101" i="51"/>
  <c r="CC102" i="51"/>
  <c r="CC103" i="51"/>
  <c r="CQ94" i="51"/>
  <c r="CQ97" i="51" a="1"/>
  <c r="CQ97" i="51"/>
  <c r="CQ98" i="51" a="1"/>
  <c r="CQ98" i="51"/>
  <c r="CQ99" i="51" a="1"/>
  <c r="CQ100" i="51" a="1"/>
  <c r="CQ101" i="51" a="1"/>
  <c r="CQ102" i="51" a="1"/>
  <c r="CQ99" i="51"/>
  <c r="CQ100" i="51"/>
  <c r="CQ101" i="51"/>
  <c r="CQ102" i="51"/>
  <c r="CQ103" i="51"/>
  <c r="DE94" i="51"/>
  <c r="DE97" i="51" a="1"/>
  <c r="DE97" i="51"/>
  <c r="DE98" i="51" a="1"/>
  <c r="DE98" i="51"/>
  <c r="DE99" i="51" a="1"/>
  <c r="DE100" i="51" a="1"/>
  <c r="DE101" i="51" a="1"/>
  <c r="DE102" i="51" a="1"/>
  <c r="DE99" i="51"/>
  <c r="DE100" i="51"/>
  <c r="DE101" i="51"/>
  <c r="DE102" i="51"/>
  <c r="DE103" i="51"/>
  <c r="BO108" i="51"/>
  <c r="BN94" i="51"/>
  <c r="BN97" i="51" a="1"/>
  <c r="BN97" i="51"/>
  <c r="BN98" i="51" a="1"/>
  <c r="BN98" i="51"/>
  <c r="BN99" i="51" a="1"/>
  <c r="BN100" i="51" a="1"/>
  <c r="BN101" i="51" a="1"/>
  <c r="BN102" i="51" a="1"/>
  <c r="BN99" i="51"/>
  <c r="BN100" i="51"/>
  <c r="BN101" i="51"/>
  <c r="BN102" i="51"/>
  <c r="BN103" i="51"/>
  <c r="CB94" i="51"/>
  <c r="CB97" i="51" a="1"/>
  <c r="CB97" i="51"/>
  <c r="CB98" i="51" a="1"/>
  <c r="CB98" i="51"/>
  <c r="CB99" i="51" a="1"/>
  <c r="CB100" i="51" a="1"/>
  <c r="CB101" i="51" a="1"/>
  <c r="CB102" i="51" a="1"/>
  <c r="CB99" i="51"/>
  <c r="CB100" i="51"/>
  <c r="CB101" i="51"/>
  <c r="CB102" i="51"/>
  <c r="CB103" i="51"/>
  <c r="CP94" i="51"/>
  <c r="CP97" i="51" a="1"/>
  <c r="CP97" i="51"/>
  <c r="CP98" i="51" a="1"/>
  <c r="CP98" i="51"/>
  <c r="CP99" i="51" a="1"/>
  <c r="CP100" i="51" a="1"/>
  <c r="CP101" i="51" a="1"/>
  <c r="CP102" i="51" a="1"/>
  <c r="CP99" i="51"/>
  <c r="CP100" i="51"/>
  <c r="CP101" i="51"/>
  <c r="CP102" i="51"/>
  <c r="CP103" i="51"/>
  <c r="DD94" i="51"/>
  <c r="DD97" i="51" a="1"/>
  <c r="DD97" i="51"/>
  <c r="DD98" i="51" a="1"/>
  <c r="DD98" i="51"/>
  <c r="DD99" i="51" a="1"/>
  <c r="DD100" i="51" a="1"/>
  <c r="DD101" i="51" a="1"/>
  <c r="DD102" i="51" a="1"/>
  <c r="DD99" i="51"/>
  <c r="DD100" i="51"/>
  <c r="DD101" i="51"/>
  <c r="DD102" i="51"/>
  <c r="DD103" i="51"/>
  <c r="BN108" i="51"/>
  <c r="BM94" i="51"/>
  <c r="BM97" i="51" a="1"/>
  <c r="BM97" i="51"/>
  <c r="BM98" i="51" a="1"/>
  <c r="BM98" i="51"/>
  <c r="BM99" i="51" a="1"/>
  <c r="BM100" i="51" a="1"/>
  <c r="BM101" i="51" a="1"/>
  <c r="BM102" i="51" a="1"/>
  <c r="BM99" i="51"/>
  <c r="BM100" i="51"/>
  <c r="BM101" i="51"/>
  <c r="BM102" i="51"/>
  <c r="BM103" i="51"/>
  <c r="CA94" i="51"/>
  <c r="CA97" i="51" a="1"/>
  <c r="CA97" i="51"/>
  <c r="CA98" i="51" a="1"/>
  <c r="CA98" i="51"/>
  <c r="CA99" i="51" a="1"/>
  <c r="CA100" i="51" a="1"/>
  <c r="CA101" i="51" a="1"/>
  <c r="CA102" i="51" a="1"/>
  <c r="CA99" i="51"/>
  <c r="CA100" i="51"/>
  <c r="CA101" i="51"/>
  <c r="CA102" i="51"/>
  <c r="CA103" i="51"/>
  <c r="CO94" i="51"/>
  <c r="CO97" i="51" a="1"/>
  <c r="CO97" i="51"/>
  <c r="CO98" i="51" a="1"/>
  <c r="CO98" i="51"/>
  <c r="CO99" i="51" a="1"/>
  <c r="CO100" i="51" a="1"/>
  <c r="CO101" i="51" a="1"/>
  <c r="CO102" i="51" a="1"/>
  <c r="CO99" i="51"/>
  <c r="CO100" i="51"/>
  <c r="CO101" i="51"/>
  <c r="CO102" i="51"/>
  <c r="CO103" i="51"/>
  <c r="DC94" i="51"/>
  <c r="DC97" i="51" a="1"/>
  <c r="DC97" i="51"/>
  <c r="DC98" i="51" a="1"/>
  <c r="DC98" i="51"/>
  <c r="DC99" i="51" a="1"/>
  <c r="DC100" i="51" a="1"/>
  <c r="DC101" i="51" a="1"/>
  <c r="DC102" i="51" a="1"/>
  <c r="DC99" i="51"/>
  <c r="DC100" i="51"/>
  <c r="DC101" i="51"/>
  <c r="DC102" i="51"/>
  <c r="DC103" i="51"/>
  <c r="BM108" i="51"/>
  <c r="BZ107" i="51"/>
  <c r="BY107" i="51"/>
  <c r="BX107" i="51"/>
  <c r="BW107" i="51"/>
  <c r="BV107" i="51"/>
  <c r="BU107" i="51"/>
  <c r="BT107" i="51"/>
  <c r="BS107" i="51"/>
  <c r="BR107" i="51"/>
  <c r="BQ107" i="51"/>
  <c r="BP107" i="51"/>
  <c r="BO107" i="51"/>
  <c r="BN107" i="51"/>
  <c r="BM107" i="51"/>
  <c r="BZ106" i="51"/>
  <c r="BY106" i="51"/>
  <c r="BX106" i="51"/>
  <c r="BW106" i="51"/>
  <c r="BV106" i="51"/>
  <c r="BU106" i="51"/>
  <c r="BT106" i="51"/>
  <c r="BS106" i="51"/>
  <c r="BR106" i="51"/>
  <c r="BQ106" i="51"/>
  <c r="BP106" i="51"/>
  <c r="BO106" i="51"/>
  <c r="BN106" i="51"/>
  <c r="BM106" i="51"/>
  <c r="AT105" i="51"/>
  <c r="AS105" i="51"/>
  <c r="ED97" i="51"/>
  <c r="ED98" i="51"/>
  <c r="ED99" i="51"/>
  <c r="ED100" i="51"/>
  <c r="ED101" i="51"/>
  <c r="ED102" i="51"/>
  <c r="ED103" i="51"/>
  <c r="DF104" i="51"/>
  <c r="DX97" i="51"/>
  <c r="DX98" i="51"/>
  <c r="DX99" i="51"/>
  <c r="DX100" i="51"/>
  <c r="DX101" i="51"/>
  <c r="DX102" i="51"/>
  <c r="DX103" i="51"/>
  <c r="DA104" i="51"/>
  <c r="DW97" i="51"/>
  <c r="DW98" i="51"/>
  <c r="DW99" i="51"/>
  <c r="DW100" i="51"/>
  <c r="DW101" i="51"/>
  <c r="DW102" i="51"/>
  <c r="DW103" i="51"/>
  <c r="CZ104" i="51"/>
  <c r="DV97" i="51"/>
  <c r="DV98" i="51"/>
  <c r="DV99" i="51"/>
  <c r="DV100" i="51"/>
  <c r="DV101" i="51"/>
  <c r="DV102" i="51"/>
  <c r="DV103" i="51"/>
  <c r="CY104" i="51"/>
  <c r="DQ97" i="51"/>
  <c r="DQ98" i="51"/>
  <c r="DQ99" i="51"/>
  <c r="DQ100" i="51"/>
  <c r="DQ101" i="51"/>
  <c r="DQ102" i="51"/>
  <c r="DQ103" i="51"/>
  <c r="CX104" i="51"/>
  <c r="AT104" i="51"/>
  <c r="AS104" i="51"/>
  <c r="EA97" i="51"/>
  <c r="EA98" i="51"/>
  <c r="EA99" i="51"/>
  <c r="EA100" i="51"/>
  <c r="EA101" i="51"/>
  <c r="EA102" i="51"/>
  <c r="EA103" i="51"/>
  <c r="DZ97" i="51"/>
  <c r="DZ98" i="51"/>
  <c r="DZ99" i="51"/>
  <c r="DZ100" i="51"/>
  <c r="DZ101" i="51"/>
  <c r="DZ102" i="51"/>
  <c r="DZ103" i="51"/>
  <c r="DY97" i="51"/>
  <c r="DY98" i="51"/>
  <c r="DY99" i="51"/>
  <c r="DY100" i="51"/>
  <c r="DY101" i="51"/>
  <c r="DY102" i="51"/>
  <c r="DY103" i="51"/>
  <c r="DU97" i="51"/>
  <c r="DU98" i="51"/>
  <c r="DU99" i="51"/>
  <c r="DU100" i="51"/>
  <c r="DU101" i="51"/>
  <c r="DU102" i="51"/>
  <c r="DU103" i="51"/>
  <c r="DT97" i="51"/>
  <c r="DT98" i="51"/>
  <c r="DT99" i="51"/>
  <c r="DT100" i="51"/>
  <c r="DT101" i="51"/>
  <c r="DT102" i="51"/>
  <c r="DT103" i="51"/>
  <c r="DS97" i="51"/>
  <c r="DS98" i="51"/>
  <c r="DS99" i="51"/>
  <c r="DS100" i="51"/>
  <c r="DS101" i="51"/>
  <c r="DS102" i="51"/>
  <c r="DS103" i="51"/>
  <c r="DR97" i="51"/>
  <c r="DR98" i="51"/>
  <c r="DR99" i="51"/>
  <c r="DR100" i="51"/>
  <c r="DR101" i="51"/>
  <c r="DR102" i="51"/>
  <c r="DR103" i="51"/>
  <c r="BK94" i="51"/>
  <c r="AU29" i="51"/>
  <c r="AU97" i="51"/>
  <c r="BK97" i="51" a="1"/>
  <c r="BK97" i="51"/>
  <c r="AU98" i="51"/>
  <c r="BK98" i="51" a="1"/>
  <c r="BK98" i="51"/>
  <c r="AU99" i="51"/>
  <c r="BK99" i="51" a="1"/>
  <c r="AU100" i="51"/>
  <c r="BK100" i="51" a="1"/>
  <c r="AU101" i="51"/>
  <c r="BK101" i="51" a="1"/>
  <c r="AU102" i="51"/>
  <c r="BK102" i="51" a="1"/>
  <c r="BK99" i="51"/>
  <c r="BK100" i="51"/>
  <c r="BK101" i="51"/>
  <c r="BK102" i="51"/>
  <c r="BK103" i="51"/>
  <c r="BJ94" i="51"/>
  <c r="BJ97" i="51" a="1"/>
  <c r="BJ97" i="51"/>
  <c r="BJ98" i="51" a="1"/>
  <c r="BJ98" i="51"/>
  <c r="BJ99" i="51" a="1"/>
  <c r="BJ100" i="51" a="1"/>
  <c r="BJ101" i="51" a="1"/>
  <c r="BJ102" i="51" a="1"/>
  <c r="BJ99" i="51"/>
  <c r="BJ100" i="51"/>
  <c r="BJ101" i="51"/>
  <c r="BJ102" i="51"/>
  <c r="BJ103" i="51"/>
  <c r="BI94" i="51"/>
  <c r="BI97" i="51" a="1"/>
  <c r="BI97" i="51"/>
  <c r="BI98" i="51" a="1"/>
  <c r="BI98" i="51"/>
  <c r="BI99" i="51" a="1"/>
  <c r="BI100" i="51" a="1"/>
  <c r="BI101" i="51" a="1"/>
  <c r="BI102" i="51" a="1"/>
  <c r="BI99" i="51"/>
  <c r="BI100" i="51"/>
  <c r="BI101" i="51"/>
  <c r="BI102" i="51"/>
  <c r="BI103" i="51"/>
  <c r="BH94" i="51"/>
  <c r="BH97" i="51" a="1"/>
  <c r="BH97" i="51"/>
  <c r="BH98" i="51" a="1"/>
  <c r="BH98" i="51"/>
  <c r="BH99" i="51" a="1"/>
  <c r="BH100" i="51" a="1"/>
  <c r="BH101" i="51" a="1"/>
  <c r="BH102" i="51" a="1"/>
  <c r="BH99" i="51"/>
  <c r="BH100" i="51"/>
  <c r="BH101" i="51"/>
  <c r="BH102" i="51"/>
  <c r="BH103" i="51"/>
  <c r="BG94" i="51"/>
  <c r="BG97" i="51" a="1"/>
  <c r="BG97" i="51"/>
  <c r="BG98" i="51" a="1"/>
  <c r="BG98" i="51"/>
  <c r="BG99" i="51" a="1"/>
  <c r="BG100" i="51" a="1"/>
  <c r="BG101" i="51" a="1"/>
  <c r="BG102" i="51" a="1"/>
  <c r="BG99" i="51"/>
  <c r="BG100" i="51"/>
  <c r="BG101" i="51"/>
  <c r="BG102" i="51"/>
  <c r="BG103" i="51"/>
  <c r="BF94" i="51"/>
  <c r="BF97" i="51" a="1"/>
  <c r="BF97" i="51"/>
  <c r="BF98" i="51" a="1"/>
  <c r="BF98" i="51"/>
  <c r="BF99" i="51" a="1"/>
  <c r="BF100" i="51" a="1"/>
  <c r="BF101" i="51" a="1"/>
  <c r="BF102" i="51" a="1"/>
  <c r="BF99" i="51"/>
  <c r="BF100" i="51"/>
  <c r="BF101" i="51"/>
  <c r="BF102" i="51"/>
  <c r="BF103" i="51"/>
  <c r="BE94" i="51"/>
  <c r="BE97" i="51" a="1"/>
  <c r="BE97" i="51"/>
  <c r="BE98" i="51" a="1"/>
  <c r="BE98" i="51"/>
  <c r="BE99" i="51" a="1"/>
  <c r="BE100" i="51" a="1"/>
  <c r="BE101" i="51" a="1"/>
  <c r="BE102" i="51" a="1"/>
  <c r="BE99" i="51"/>
  <c r="BE100" i="51"/>
  <c r="BE101" i="51"/>
  <c r="BE102" i="51"/>
  <c r="BE103" i="51"/>
  <c r="BD94" i="51"/>
  <c r="BD97" i="51" a="1"/>
  <c r="BD97" i="51"/>
  <c r="BD98" i="51" a="1"/>
  <c r="BD98" i="51"/>
  <c r="BD99" i="51" a="1"/>
  <c r="BD100" i="51" a="1"/>
  <c r="BD101" i="51" a="1"/>
  <c r="BD102" i="51" a="1"/>
  <c r="BD99" i="51"/>
  <c r="BD100" i="51"/>
  <c r="BD101" i="51"/>
  <c r="BD102" i="51"/>
  <c r="BD103" i="51"/>
  <c r="BC94" i="51"/>
  <c r="BC97" i="51" a="1"/>
  <c r="BC97" i="51"/>
  <c r="BC98" i="51" a="1"/>
  <c r="BC98" i="51"/>
  <c r="BC99" i="51" a="1"/>
  <c r="BC100" i="51" a="1"/>
  <c r="BC101" i="51" a="1"/>
  <c r="BC102" i="51" a="1"/>
  <c r="BC99" i="51"/>
  <c r="BC100" i="51"/>
  <c r="BC101" i="51"/>
  <c r="BC102" i="51"/>
  <c r="BC103" i="51"/>
  <c r="BB94" i="51"/>
  <c r="BB97" i="51" a="1"/>
  <c r="BB97" i="51"/>
  <c r="BB98" i="51" a="1"/>
  <c r="BB98" i="51"/>
  <c r="BB99" i="51" a="1"/>
  <c r="BB100" i="51" a="1"/>
  <c r="BB101" i="51" a="1"/>
  <c r="BB102" i="51" a="1"/>
  <c r="BB99" i="51"/>
  <c r="BB100" i="51"/>
  <c r="BB101" i="51"/>
  <c r="BB102" i="51"/>
  <c r="BB103" i="51"/>
  <c r="BA94" i="51"/>
  <c r="BA97" i="51" a="1"/>
  <c r="BA97" i="51"/>
  <c r="BA98" i="51" a="1"/>
  <c r="BA98" i="51"/>
  <c r="BA99" i="51" a="1"/>
  <c r="BA100" i="51" a="1"/>
  <c r="BA101" i="51" a="1"/>
  <c r="BA102" i="51" a="1"/>
  <c r="BA99" i="51"/>
  <c r="BA100" i="51"/>
  <c r="BA101" i="51"/>
  <c r="BA102" i="51"/>
  <c r="BA103" i="51"/>
  <c r="AZ94" i="51"/>
  <c r="AZ97" i="51" a="1"/>
  <c r="AZ97" i="51"/>
  <c r="AZ98" i="51" a="1"/>
  <c r="AZ98" i="51"/>
  <c r="AZ99" i="51" a="1"/>
  <c r="AZ100" i="51" a="1"/>
  <c r="AZ101" i="51" a="1"/>
  <c r="AZ102" i="51" a="1"/>
  <c r="AZ99" i="51"/>
  <c r="AZ100" i="51"/>
  <c r="AZ101" i="51"/>
  <c r="AZ102" i="51"/>
  <c r="AZ103" i="51"/>
  <c r="AY94" i="51"/>
  <c r="AY97" i="51" a="1"/>
  <c r="AY97" i="51"/>
  <c r="AY98" i="51" a="1"/>
  <c r="AY98" i="51"/>
  <c r="AY99" i="51" a="1"/>
  <c r="AY100" i="51" a="1"/>
  <c r="AY101" i="51" a="1"/>
  <c r="AY102" i="51" a="1"/>
  <c r="AY99" i="51"/>
  <c r="AY100" i="51"/>
  <c r="AY101" i="51"/>
  <c r="AY102" i="51"/>
  <c r="AY103" i="51"/>
  <c r="AX94" i="51"/>
  <c r="AX97" i="51" a="1"/>
  <c r="AX97" i="51"/>
  <c r="AX98" i="51" a="1"/>
  <c r="AX98" i="51"/>
  <c r="AX99" i="51" a="1"/>
  <c r="AX100" i="51" a="1"/>
  <c r="AX101" i="51" a="1"/>
  <c r="AX102" i="51" a="1"/>
  <c r="AX99" i="51"/>
  <c r="AX100" i="51"/>
  <c r="AX101" i="51"/>
  <c r="AX102" i="51"/>
  <c r="AX103" i="51"/>
  <c r="AT96" i="51"/>
  <c r="AV96" i="51"/>
  <c r="AV97" i="51"/>
  <c r="AV98" i="51"/>
  <c r="AV99" i="51"/>
  <c r="AV100" i="51"/>
  <c r="AV101" i="51"/>
  <c r="AV102" i="51"/>
  <c r="AV103" i="51"/>
  <c r="AU103" i="51"/>
  <c r="AT103" i="51"/>
  <c r="G103" i="51"/>
  <c r="AM102" i="51"/>
  <c r="AW102" i="51"/>
  <c r="AS102" i="51"/>
  <c r="AO102" i="51"/>
  <c r="AD102" i="51"/>
  <c r="AK102" i="51"/>
  <c r="AC102" i="51"/>
  <c r="AJ102" i="51"/>
  <c r="AG102" i="51"/>
  <c r="AP30" i="51"/>
  <c r="F30" i="51"/>
  <c r="AQ30" i="51"/>
  <c r="AR30" i="51"/>
  <c r="AT30" i="51"/>
  <c r="AV29" i="51"/>
  <c r="AV30" i="51"/>
  <c r="G30" i="51"/>
  <c r="AP31" i="51"/>
  <c r="F31" i="51"/>
  <c r="AQ31" i="51"/>
  <c r="AR31" i="51"/>
  <c r="AT31" i="51"/>
  <c r="AV31" i="51"/>
  <c r="G31" i="51"/>
  <c r="AP32" i="51"/>
  <c r="F32" i="51"/>
  <c r="AQ32" i="51"/>
  <c r="AR32" i="51"/>
  <c r="AT32" i="51"/>
  <c r="AV32" i="51"/>
  <c r="G32" i="51"/>
  <c r="AP33" i="51"/>
  <c r="F33" i="51"/>
  <c r="AQ33" i="51"/>
  <c r="AR33" i="51"/>
  <c r="AT33" i="51"/>
  <c r="AV33" i="51"/>
  <c r="G33" i="51"/>
  <c r="AP34" i="51"/>
  <c r="F34" i="51"/>
  <c r="AQ34" i="51"/>
  <c r="AR34" i="51"/>
  <c r="AT34" i="51"/>
  <c r="AV34" i="51"/>
  <c r="G34" i="51"/>
  <c r="AP35" i="51"/>
  <c r="F35" i="51"/>
  <c r="AQ35" i="51"/>
  <c r="AR35" i="51"/>
  <c r="AT35" i="51"/>
  <c r="AV35" i="51"/>
  <c r="G35" i="51"/>
  <c r="AP36" i="51"/>
  <c r="F36" i="51"/>
  <c r="AQ36" i="51"/>
  <c r="AR36" i="51"/>
  <c r="AT36" i="51"/>
  <c r="AV36" i="51"/>
  <c r="G36" i="51"/>
  <c r="AP37" i="51"/>
  <c r="F37" i="51"/>
  <c r="AQ37" i="51"/>
  <c r="AR37" i="51"/>
  <c r="AT37" i="51"/>
  <c r="AV37" i="51"/>
  <c r="G37" i="51"/>
  <c r="AP38" i="51"/>
  <c r="F38" i="51"/>
  <c r="AQ38" i="51"/>
  <c r="AR38" i="51"/>
  <c r="AT38" i="51"/>
  <c r="AV38" i="51"/>
  <c r="G38" i="51"/>
  <c r="AP39" i="51"/>
  <c r="F39" i="51"/>
  <c r="AQ39" i="51"/>
  <c r="AR39" i="51"/>
  <c r="AT39" i="51"/>
  <c r="AV39" i="51"/>
  <c r="G39" i="51"/>
  <c r="AP40" i="51"/>
  <c r="F40" i="51"/>
  <c r="AQ40" i="51"/>
  <c r="AR40" i="51"/>
  <c r="AT40" i="51"/>
  <c r="AV40" i="51"/>
  <c r="G40" i="51"/>
  <c r="AP41" i="51"/>
  <c r="F41" i="51"/>
  <c r="AQ41" i="51"/>
  <c r="AR41" i="51"/>
  <c r="AT41" i="51"/>
  <c r="AV41" i="51"/>
  <c r="G41" i="51"/>
  <c r="AP42" i="51"/>
  <c r="F42" i="51"/>
  <c r="AQ42" i="51"/>
  <c r="D42" i="51"/>
  <c r="AM42" i="51"/>
  <c r="AO42" i="51"/>
  <c r="AR42" i="51"/>
  <c r="AT42" i="51"/>
  <c r="AV42" i="51"/>
  <c r="G42" i="51"/>
  <c r="AP43" i="51"/>
  <c r="F43" i="51"/>
  <c r="AQ43" i="51"/>
  <c r="D43" i="51"/>
  <c r="AM43" i="51"/>
  <c r="AO43" i="51"/>
  <c r="AR43" i="51"/>
  <c r="AT43" i="51"/>
  <c r="AV43" i="51"/>
  <c r="G43" i="51"/>
  <c r="AP44" i="51"/>
  <c r="F44" i="51"/>
  <c r="AQ44" i="51"/>
  <c r="D44" i="51"/>
  <c r="AM44" i="51"/>
  <c r="AO44" i="51"/>
  <c r="AR44" i="51"/>
  <c r="AT44" i="51"/>
  <c r="AV44" i="51"/>
  <c r="G44" i="51"/>
  <c r="AP45" i="51"/>
  <c r="F45" i="51"/>
  <c r="AQ45" i="51"/>
  <c r="D45" i="51"/>
  <c r="AM45" i="51"/>
  <c r="AO45" i="51"/>
  <c r="AR45" i="51"/>
  <c r="AT45" i="51"/>
  <c r="AV45" i="51"/>
  <c r="G45" i="51"/>
  <c r="AP46" i="51"/>
  <c r="F46" i="51"/>
  <c r="AQ46" i="51"/>
  <c r="D46" i="51"/>
  <c r="AM46" i="51"/>
  <c r="AO46" i="51"/>
  <c r="AR46" i="51"/>
  <c r="AT46" i="51"/>
  <c r="AV46" i="51"/>
  <c r="G46" i="51"/>
  <c r="AP47" i="51"/>
  <c r="F47" i="51"/>
  <c r="AQ47" i="51"/>
  <c r="D47" i="51"/>
  <c r="AM47" i="51"/>
  <c r="AO47" i="51"/>
  <c r="AR47" i="51"/>
  <c r="AT47" i="51"/>
  <c r="AV47" i="51"/>
  <c r="G47" i="51"/>
  <c r="AP48" i="51"/>
  <c r="F48" i="51"/>
  <c r="AQ48" i="51"/>
  <c r="D48" i="51"/>
  <c r="AM48" i="51"/>
  <c r="AO48" i="51"/>
  <c r="AR48" i="51"/>
  <c r="AT48" i="51"/>
  <c r="AV48" i="51"/>
  <c r="G48" i="51"/>
  <c r="AP49" i="51"/>
  <c r="F49" i="51"/>
  <c r="AQ49" i="51"/>
  <c r="AR49" i="51"/>
  <c r="AT49" i="51"/>
  <c r="AV49" i="51"/>
  <c r="G49" i="51"/>
  <c r="AP50" i="51"/>
  <c r="F50" i="51"/>
  <c r="AQ50" i="51"/>
  <c r="AR50" i="51"/>
  <c r="AT50" i="51"/>
  <c r="AV50" i="51"/>
  <c r="G50" i="51"/>
  <c r="AP51" i="51"/>
  <c r="F51" i="51"/>
  <c r="AQ51" i="51"/>
  <c r="AR51" i="51"/>
  <c r="AT51" i="51"/>
  <c r="AV51" i="51"/>
  <c r="G51" i="51"/>
  <c r="AP52" i="51"/>
  <c r="F52" i="51"/>
  <c r="AQ52" i="51"/>
  <c r="AR52" i="51"/>
  <c r="AT52" i="51"/>
  <c r="AV52" i="51"/>
  <c r="G52" i="51"/>
  <c r="AP53" i="51"/>
  <c r="F53" i="51"/>
  <c r="AQ53" i="51"/>
  <c r="AR53" i="51"/>
  <c r="AT53" i="51"/>
  <c r="AV53" i="51"/>
  <c r="G53" i="51"/>
  <c r="AP54" i="51"/>
  <c r="F54" i="51"/>
  <c r="AQ54" i="51"/>
  <c r="AR54" i="51"/>
  <c r="AT54" i="51"/>
  <c r="AV54" i="51"/>
  <c r="G54" i="51"/>
  <c r="AP55" i="51"/>
  <c r="F55" i="51"/>
  <c r="AQ55" i="51"/>
  <c r="AR55" i="51"/>
  <c r="AT55" i="51"/>
  <c r="AV55" i="51"/>
  <c r="G55" i="51"/>
  <c r="AP56" i="51"/>
  <c r="F56" i="51"/>
  <c r="AQ56" i="51"/>
  <c r="AR56" i="51"/>
  <c r="AT56" i="51"/>
  <c r="AV56" i="51"/>
  <c r="G56" i="51"/>
  <c r="AP57" i="51"/>
  <c r="F57" i="51"/>
  <c r="AQ57" i="51"/>
  <c r="AR57" i="51"/>
  <c r="AT57" i="51"/>
  <c r="AV57" i="51"/>
  <c r="G57" i="51"/>
  <c r="AP58" i="51"/>
  <c r="F58" i="51"/>
  <c r="AQ58" i="51"/>
  <c r="AR58" i="51"/>
  <c r="AT58" i="51"/>
  <c r="AV58" i="51"/>
  <c r="G58" i="51"/>
  <c r="AP59" i="51"/>
  <c r="AQ59" i="51"/>
  <c r="D59" i="51"/>
  <c r="AM59" i="51"/>
  <c r="AO59" i="51"/>
  <c r="AR59" i="51"/>
  <c r="AT59" i="51"/>
  <c r="AV59" i="51"/>
  <c r="G59" i="51"/>
  <c r="AP60" i="51"/>
  <c r="AQ60" i="51"/>
  <c r="D60" i="51"/>
  <c r="AM60" i="51"/>
  <c r="AO60" i="51"/>
  <c r="AR60" i="51"/>
  <c r="AT60" i="51"/>
  <c r="AV60" i="51"/>
  <c r="G60" i="51"/>
  <c r="AP61" i="51"/>
  <c r="F61" i="51"/>
  <c r="AQ61" i="51"/>
  <c r="AR61" i="51"/>
  <c r="AT61" i="51"/>
  <c r="AV61" i="51"/>
  <c r="G61" i="51"/>
  <c r="AP62" i="51"/>
  <c r="F62" i="51"/>
  <c r="AQ62" i="51"/>
  <c r="AR62" i="51"/>
  <c r="AT62" i="51"/>
  <c r="AV62" i="51"/>
  <c r="G62" i="51"/>
  <c r="AP63" i="51"/>
  <c r="F63" i="51"/>
  <c r="AQ63" i="51"/>
  <c r="AR63" i="51"/>
  <c r="AT63" i="51"/>
  <c r="AV63" i="51"/>
  <c r="G63" i="51"/>
  <c r="AP64" i="51"/>
  <c r="F64" i="51"/>
  <c r="AQ64" i="51"/>
  <c r="D64" i="51"/>
  <c r="AM64" i="51"/>
  <c r="AO64" i="51"/>
  <c r="AR64" i="51"/>
  <c r="AT64" i="51"/>
  <c r="AV64" i="51"/>
  <c r="G64" i="51"/>
  <c r="AP65" i="51"/>
  <c r="F65" i="51"/>
  <c r="AQ65" i="51"/>
  <c r="D65" i="51"/>
  <c r="AM65" i="51"/>
  <c r="AO65" i="51"/>
  <c r="AR65" i="51"/>
  <c r="AT65" i="51"/>
  <c r="AV65" i="51"/>
  <c r="G65" i="51"/>
  <c r="G68" i="51"/>
  <c r="I102" i="51"/>
  <c r="F102" i="51"/>
  <c r="C102" i="51"/>
  <c r="B102" i="51"/>
  <c r="AM101" i="51"/>
  <c r="AW101" i="51"/>
  <c r="AS101" i="51"/>
  <c r="AO101" i="51"/>
  <c r="AD101" i="51"/>
  <c r="AK101" i="51"/>
  <c r="AC101" i="51"/>
  <c r="AJ101" i="51"/>
  <c r="AG101" i="51"/>
  <c r="I101" i="51"/>
  <c r="F101" i="51"/>
  <c r="C101" i="51"/>
  <c r="B101" i="51"/>
  <c r="AM100" i="51"/>
  <c r="AW100" i="51"/>
  <c r="AS100" i="51"/>
  <c r="AO100" i="51"/>
  <c r="AD100" i="51"/>
  <c r="AK100" i="51"/>
  <c r="AC100" i="51"/>
  <c r="AJ100" i="51"/>
  <c r="AG100" i="51"/>
  <c r="I100" i="51"/>
  <c r="F100" i="51"/>
  <c r="C100" i="51"/>
  <c r="B100" i="51"/>
  <c r="AM99" i="51"/>
  <c r="AW99" i="51"/>
  <c r="AS99" i="51"/>
  <c r="AO99" i="51"/>
  <c r="AD99" i="51"/>
  <c r="AK99" i="51"/>
  <c r="AC99" i="51"/>
  <c r="AJ99" i="51"/>
  <c r="AG99" i="51"/>
  <c r="I99" i="51"/>
  <c r="F99" i="51"/>
  <c r="C99" i="51"/>
  <c r="B99" i="51"/>
  <c r="AM98" i="51"/>
  <c r="AW98" i="51"/>
  <c r="AS98" i="51"/>
  <c r="AO98" i="51"/>
  <c r="AD98" i="51"/>
  <c r="AK98" i="51"/>
  <c r="AC98" i="51"/>
  <c r="AJ98" i="51"/>
  <c r="AG98" i="51"/>
  <c r="I98" i="51"/>
  <c r="F98" i="51"/>
  <c r="C98" i="51"/>
  <c r="B98" i="51"/>
  <c r="AM97" i="51"/>
  <c r="AW97" i="51"/>
  <c r="AS97" i="51"/>
  <c r="AO97" i="51"/>
  <c r="AD97" i="51"/>
  <c r="AK97" i="51"/>
  <c r="AC97" i="51"/>
  <c r="AJ97" i="51"/>
  <c r="AG97" i="51"/>
  <c r="I97" i="51"/>
  <c r="F97" i="51"/>
  <c r="C97" i="51"/>
  <c r="B97" i="51"/>
  <c r="AU96" i="51"/>
  <c r="G96" i="51"/>
  <c r="ED95" i="51"/>
  <c r="EC95" i="51"/>
  <c r="EB95" i="51"/>
  <c r="EA95" i="51"/>
  <c r="DZ95" i="51"/>
  <c r="DY95" i="51"/>
  <c r="DX95" i="51"/>
  <c r="DW95" i="51"/>
  <c r="DV95" i="51"/>
  <c r="DU95" i="51"/>
  <c r="DT95" i="51"/>
  <c r="DS95" i="51"/>
  <c r="DR95" i="51"/>
  <c r="DQ95" i="51"/>
  <c r="DP95" i="51"/>
  <c r="DO95" i="51"/>
  <c r="DN95" i="51"/>
  <c r="DM95" i="51"/>
  <c r="DL95" i="51"/>
  <c r="DK95" i="51"/>
  <c r="DJ95" i="51"/>
  <c r="DI95" i="51"/>
  <c r="DH95" i="51"/>
  <c r="DG95" i="51"/>
  <c r="DF95" i="51"/>
  <c r="DE95" i="51"/>
  <c r="DD95" i="51"/>
  <c r="DC95" i="51"/>
  <c r="DB95" i="51"/>
  <c r="DA95" i="51"/>
  <c r="CZ95" i="51"/>
  <c r="CY95" i="51"/>
  <c r="CX95" i="51"/>
  <c r="CW95" i="51"/>
  <c r="CV95" i="51"/>
  <c r="CU95" i="51"/>
  <c r="CT95" i="51"/>
  <c r="CS95" i="51"/>
  <c r="CR95" i="51"/>
  <c r="CQ95" i="51"/>
  <c r="CP95" i="51"/>
  <c r="CO95" i="51"/>
  <c r="CN95" i="51"/>
  <c r="CM95" i="51"/>
  <c r="CL95" i="51"/>
  <c r="CK95" i="51"/>
  <c r="CJ95" i="51"/>
  <c r="CI95" i="51"/>
  <c r="CH95" i="51"/>
  <c r="CG95" i="51"/>
  <c r="CF95" i="51"/>
  <c r="CE95" i="51"/>
  <c r="CD95" i="51"/>
  <c r="CC95" i="51"/>
  <c r="CB95" i="51"/>
  <c r="CA95" i="51"/>
  <c r="BZ95" i="51"/>
  <c r="BY95" i="51"/>
  <c r="BX95" i="51"/>
  <c r="BW95" i="51"/>
  <c r="BV95" i="51"/>
  <c r="BU95" i="51"/>
  <c r="BT95" i="51"/>
  <c r="BS95" i="51"/>
  <c r="BR95" i="51"/>
  <c r="BQ95" i="51"/>
  <c r="BP95" i="51"/>
  <c r="BO95" i="51"/>
  <c r="BN95" i="51"/>
  <c r="BM95" i="51"/>
  <c r="BK95" i="51"/>
  <c r="BJ95" i="51"/>
  <c r="BI95" i="51"/>
  <c r="BH95" i="51"/>
  <c r="BG95" i="51"/>
  <c r="BF95" i="51"/>
  <c r="BE95" i="51"/>
  <c r="BD95" i="51"/>
  <c r="BC95" i="51"/>
  <c r="BB95" i="51"/>
  <c r="BA95" i="51"/>
  <c r="AZ95" i="51"/>
  <c r="AY95" i="51"/>
  <c r="AX95" i="51"/>
  <c r="ED94" i="51"/>
  <c r="EC94" i="51"/>
  <c r="EB94" i="51"/>
  <c r="EA94" i="51"/>
  <c r="DZ94" i="51"/>
  <c r="DY94" i="51"/>
  <c r="DX94" i="51"/>
  <c r="DW94" i="51"/>
  <c r="DV94" i="51"/>
  <c r="DU94" i="51"/>
  <c r="DT94" i="51"/>
  <c r="DS94" i="51"/>
  <c r="DR94" i="51"/>
  <c r="DQ94" i="51"/>
  <c r="AG94" i="51"/>
  <c r="E76" i="51"/>
  <c r="G76" i="51"/>
  <c r="AN76" i="51"/>
  <c r="F76" i="51"/>
  <c r="H76" i="51"/>
  <c r="AO76" i="51"/>
  <c r="AS76" i="51"/>
  <c r="AP76" i="51"/>
  <c r="AR76" i="51"/>
  <c r="AT76" i="51"/>
  <c r="BH74" i="51"/>
  <c r="BH76" i="51" a="1"/>
  <c r="BH76" i="51"/>
  <c r="E77" i="51"/>
  <c r="G77" i="51"/>
  <c r="AN77" i="51"/>
  <c r="F77" i="51"/>
  <c r="H77" i="51"/>
  <c r="AO77" i="51"/>
  <c r="AS77" i="51"/>
  <c r="AP77" i="51"/>
  <c r="AR77" i="51"/>
  <c r="AT77" i="51"/>
  <c r="BH77" i="51" a="1"/>
  <c r="BH77" i="51"/>
  <c r="E78" i="51"/>
  <c r="G78" i="51"/>
  <c r="AN78" i="51"/>
  <c r="F78" i="51"/>
  <c r="H78" i="51"/>
  <c r="AO78" i="51"/>
  <c r="AS78" i="51"/>
  <c r="AP78" i="51"/>
  <c r="AR78" i="51"/>
  <c r="AT78" i="51"/>
  <c r="BH78" i="51" a="1"/>
  <c r="E79" i="51"/>
  <c r="G79" i="51"/>
  <c r="AN79" i="51"/>
  <c r="F79" i="51"/>
  <c r="H79" i="51"/>
  <c r="AO79" i="51"/>
  <c r="AS79" i="51"/>
  <c r="AP79" i="51"/>
  <c r="AR79" i="51"/>
  <c r="AT79" i="51"/>
  <c r="BH79" i="51" a="1"/>
  <c r="E80" i="51"/>
  <c r="G80" i="51"/>
  <c r="AN80" i="51"/>
  <c r="F80" i="51"/>
  <c r="H80" i="51"/>
  <c r="AO80" i="51"/>
  <c r="AS80" i="51"/>
  <c r="AP80" i="51"/>
  <c r="AR80" i="51"/>
  <c r="AT80" i="51"/>
  <c r="BH80" i="51" a="1"/>
  <c r="E81" i="51"/>
  <c r="G81" i="51"/>
  <c r="AN81" i="51"/>
  <c r="F81" i="51"/>
  <c r="H81" i="51"/>
  <c r="AO81" i="51"/>
  <c r="AS81" i="51"/>
  <c r="AP81" i="51"/>
  <c r="AR81" i="51"/>
  <c r="AT81" i="51"/>
  <c r="BH81" i="51" a="1"/>
  <c r="E82" i="51"/>
  <c r="G82" i="51"/>
  <c r="AN82" i="51"/>
  <c r="F82" i="51"/>
  <c r="H82" i="51"/>
  <c r="AO82" i="51"/>
  <c r="AS82" i="51"/>
  <c r="AP82" i="51"/>
  <c r="AR82" i="51"/>
  <c r="AT82" i="51"/>
  <c r="BH82" i="51" a="1"/>
  <c r="E83" i="51"/>
  <c r="G83" i="51"/>
  <c r="AN83" i="51"/>
  <c r="F83" i="51"/>
  <c r="H83" i="51"/>
  <c r="AO83" i="51"/>
  <c r="AS83" i="51"/>
  <c r="AP83" i="51"/>
  <c r="AR83" i="51"/>
  <c r="AT83" i="51"/>
  <c r="BH83" i="51" a="1"/>
  <c r="E84" i="51"/>
  <c r="G84" i="51"/>
  <c r="AN84" i="51"/>
  <c r="F84" i="51"/>
  <c r="H84" i="51"/>
  <c r="AO84" i="51"/>
  <c r="AS84" i="51"/>
  <c r="AP84" i="51"/>
  <c r="AR84" i="51"/>
  <c r="AT84" i="51"/>
  <c r="BH84" i="51" a="1"/>
  <c r="E85" i="51"/>
  <c r="G85" i="51"/>
  <c r="AN85" i="51"/>
  <c r="F85" i="51"/>
  <c r="H85" i="51"/>
  <c r="AO85" i="51"/>
  <c r="AS85" i="51"/>
  <c r="AP85" i="51"/>
  <c r="AR85" i="51"/>
  <c r="AT85" i="51"/>
  <c r="BH85" i="51" a="1"/>
  <c r="E86" i="51"/>
  <c r="G86" i="51"/>
  <c r="AN86" i="51"/>
  <c r="F86" i="51"/>
  <c r="H86" i="51"/>
  <c r="AO86" i="51"/>
  <c r="AS86" i="51"/>
  <c r="AP86" i="51"/>
  <c r="AR86" i="51"/>
  <c r="AT86" i="51"/>
  <c r="BH86" i="51" a="1"/>
  <c r="BH78" i="51"/>
  <c r="BH79" i="51"/>
  <c r="BH80" i="51"/>
  <c r="BH81" i="51"/>
  <c r="BH82" i="51"/>
  <c r="BH83" i="51"/>
  <c r="BH84" i="51"/>
  <c r="BH85" i="51"/>
  <c r="BH86" i="51"/>
  <c r="BH87" i="51"/>
  <c r="CJ75" i="51"/>
  <c r="BH75" i="51"/>
  <c r="CJ87" i="51"/>
  <c r="BG74" i="51"/>
  <c r="BG76" i="51" a="1"/>
  <c r="BG76" i="51"/>
  <c r="BG77" i="51" a="1"/>
  <c r="BG77" i="51"/>
  <c r="BG78" i="51" a="1"/>
  <c r="BG79" i="51" a="1"/>
  <c r="BG80" i="51" a="1"/>
  <c r="BG81" i="51" a="1"/>
  <c r="BG82" i="51" a="1"/>
  <c r="BG83" i="51" a="1"/>
  <c r="BG84" i="51" a="1"/>
  <c r="BG85" i="51" a="1"/>
  <c r="BG86" i="51" a="1"/>
  <c r="BG78" i="51"/>
  <c r="BG79" i="51"/>
  <c r="BG80" i="51"/>
  <c r="BG81" i="51"/>
  <c r="BG82" i="51"/>
  <c r="BG83" i="51"/>
  <c r="BG84" i="51"/>
  <c r="BG85" i="51"/>
  <c r="BG86" i="51"/>
  <c r="BG87" i="51"/>
  <c r="CI75" i="51"/>
  <c r="BG75" i="51"/>
  <c r="CI87" i="51"/>
  <c r="BF74" i="51"/>
  <c r="BF76" i="51" a="1"/>
  <c r="BF76" i="51"/>
  <c r="BF77" i="51" a="1"/>
  <c r="BF77" i="51"/>
  <c r="BF78" i="51" a="1"/>
  <c r="BF79" i="51" a="1"/>
  <c r="BF80" i="51" a="1"/>
  <c r="BF81" i="51" a="1"/>
  <c r="BF82" i="51" a="1"/>
  <c r="BF83" i="51" a="1"/>
  <c r="BF84" i="51" a="1"/>
  <c r="BF85" i="51" a="1"/>
  <c r="BF86" i="51" a="1"/>
  <c r="BF78" i="51"/>
  <c r="BF79" i="51"/>
  <c r="BF80" i="51"/>
  <c r="BF81" i="51"/>
  <c r="BF82" i="51"/>
  <c r="BF83" i="51"/>
  <c r="BF84" i="51"/>
  <c r="BF85" i="51"/>
  <c r="BF86" i="51"/>
  <c r="BF87" i="51"/>
  <c r="CH75" i="51"/>
  <c r="BF75" i="51"/>
  <c r="CH87" i="51"/>
  <c r="BE74" i="51"/>
  <c r="BE76" i="51" a="1"/>
  <c r="BE76" i="51"/>
  <c r="BE77" i="51" a="1"/>
  <c r="BE77" i="51"/>
  <c r="BE78" i="51" a="1"/>
  <c r="BE79" i="51" a="1"/>
  <c r="BE80" i="51" a="1"/>
  <c r="BE81" i="51" a="1"/>
  <c r="BE82" i="51" a="1"/>
  <c r="BE83" i="51" a="1"/>
  <c r="BE84" i="51" a="1"/>
  <c r="BE85" i="51" a="1"/>
  <c r="BE86" i="51" a="1"/>
  <c r="BE78" i="51"/>
  <c r="BE79" i="51"/>
  <c r="BE80" i="51"/>
  <c r="BE81" i="51"/>
  <c r="BE82" i="51"/>
  <c r="BE83" i="51"/>
  <c r="BE84" i="51"/>
  <c r="BE85" i="51"/>
  <c r="BE86" i="51"/>
  <c r="BE87" i="51"/>
  <c r="CG75" i="51"/>
  <c r="BE75" i="51"/>
  <c r="CG87" i="51"/>
  <c r="BD74" i="51"/>
  <c r="BD76" i="51" a="1"/>
  <c r="BD76" i="51"/>
  <c r="BD77" i="51" a="1"/>
  <c r="BD77" i="51"/>
  <c r="BD78" i="51" a="1"/>
  <c r="BD79" i="51" a="1"/>
  <c r="BD80" i="51" a="1"/>
  <c r="BD81" i="51" a="1"/>
  <c r="BD82" i="51" a="1"/>
  <c r="BD83" i="51" a="1"/>
  <c r="BD84" i="51" a="1"/>
  <c r="BD85" i="51" a="1"/>
  <c r="BD86" i="51" a="1"/>
  <c r="BD78" i="51"/>
  <c r="BD79" i="51"/>
  <c r="BD80" i="51"/>
  <c r="BD81" i="51"/>
  <c r="BD82" i="51"/>
  <c r="BD83" i="51"/>
  <c r="BD84" i="51"/>
  <c r="BD85" i="51"/>
  <c r="BD86" i="51"/>
  <c r="BD87" i="51"/>
  <c r="CF75" i="51"/>
  <c r="BD75" i="51"/>
  <c r="CF87" i="51"/>
  <c r="BC74" i="51"/>
  <c r="BC76" i="51" a="1"/>
  <c r="BC76" i="51"/>
  <c r="BC77" i="51" a="1"/>
  <c r="BC77" i="51"/>
  <c r="BC78" i="51" a="1"/>
  <c r="BC79" i="51" a="1"/>
  <c r="BC80" i="51" a="1"/>
  <c r="BC81" i="51" a="1"/>
  <c r="BC82" i="51" a="1"/>
  <c r="BC83" i="51" a="1"/>
  <c r="BC84" i="51" a="1"/>
  <c r="BC85" i="51" a="1"/>
  <c r="BC86" i="51" a="1"/>
  <c r="BC78" i="51"/>
  <c r="BC79" i="51"/>
  <c r="BC80" i="51"/>
  <c r="BC81" i="51"/>
  <c r="BC82" i="51"/>
  <c r="BC83" i="51"/>
  <c r="BC84" i="51"/>
  <c r="BC85" i="51"/>
  <c r="BC86" i="51"/>
  <c r="BC87" i="51"/>
  <c r="CE75" i="51"/>
  <c r="BC75" i="51"/>
  <c r="CE87" i="51"/>
  <c r="BB74" i="51"/>
  <c r="BB76" i="51" a="1"/>
  <c r="BB76" i="51"/>
  <c r="BB77" i="51" a="1"/>
  <c r="BB77" i="51"/>
  <c r="BB78" i="51" a="1"/>
  <c r="BB79" i="51" a="1"/>
  <c r="BB80" i="51" a="1"/>
  <c r="BB81" i="51" a="1"/>
  <c r="BB82" i="51" a="1"/>
  <c r="BB83" i="51" a="1"/>
  <c r="BB84" i="51" a="1"/>
  <c r="BB85" i="51" a="1"/>
  <c r="BB86" i="51" a="1"/>
  <c r="BB78" i="51"/>
  <c r="BB79" i="51"/>
  <c r="BB80" i="51"/>
  <c r="BB81" i="51"/>
  <c r="BB82" i="51"/>
  <c r="BB83" i="51"/>
  <c r="BB84" i="51"/>
  <c r="BB85" i="51"/>
  <c r="BB86" i="51"/>
  <c r="BB87" i="51"/>
  <c r="CD75" i="51"/>
  <c r="BB75" i="51"/>
  <c r="CD87" i="51"/>
  <c r="BA74" i="51"/>
  <c r="BA76" i="51" a="1"/>
  <c r="BA76" i="51"/>
  <c r="BA77" i="51" a="1"/>
  <c r="BA77" i="51"/>
  <c r="BA78" i="51" a="1"/>
  <c r="BA79" i="51" a="1"/>
  <c r="BA80" i="51" a="1"/>
  <c r="BA81" i="51" a="1"/>
  <c r="BA82" i="51" a="1"/>
  <c r="BA83" i="51" a="1"/>
  <c r="BA84" i="51" a="1"/>
  <c r="BA85" i="51" a="1"/>
  <c r="BA86" i="51" a="1"/>
  <c r="BA78" i="51"/>
  <c r="BA79" i="51"/>
  <c r="BA80" i="51"/>
  <c r="BA81" i="51"/>
  <c r="BA82" i="51"/>
  <c r="BA83" i="51"/>
  <c r="BA84" i="51"/>
  <c r="BA85" i="51"/>
  <c r="BA86" i="51"/>
  <c r="BA87" i="51"/>
  <c r="CC75" i="51"/>
  <c r="BA75" i="51"/>
  <c r="CC87" i="51"/>
  <c r="AZ74" i="51"/>
  <c r="AZ76" i="51" a="1"/>
  <c r="AZ76" i="51"/>
  <c r="AZ77" i="51" a="1"/>
  <c r="AZ77" i="51"/>
  <c r="AZ78" i="51" a="1"/>
  <c r="AZ79" i="51" a="1"/>
  <c r="AZ80" i="51" a="1"/>
  <c r="AZ81" i="51" a="1"/>
  <c r="AZ82" i="51" a="1"/>
  <c r="AZ83" i="51" a="1"/>
  <c r="AZ84" i="51" a="1"/>
  <c r="AZ85" i="51" a="1"/>
  <c r="AZ86" i="51" a="1"/>
  <c r="AZ78" i="51"/>
  <c r="AZ79" i="51"/>
  <c r="AZ80" i="51"/>
  <c r="AZ81" i="51"/>
  <c r="AZ82" i="51"/>
  <c r="AZ83" i="51"/>
  <c r="AZ84" i="51"/>
  <c r="AZ85" i="51"/>
  <c r="AZ86" i="51"/>
  <c r="AZ87" i="51"/>
  <c r="CB75" i="51"/>
  <c r="AZ75" i="51"/>
  <c r="CB87" i="51"/>
  <c r="AY74" i="51"/>
  <c r="AY76" i="51" a="1"/>
  <c r="AY76" i="51"/>
  <c r="AY77" i="51" a="1"/>
  <c r="AY77" i="51"/>
  <c r="AY78" i="51" a="1"/>
  <c r="AY79" i="51" a="1"/>
  <c r="AY80" i="51" a="1"/>
  <c r="AY81" i="51" a="1"/>
  <c r="AY82" i="51" a="1"/>
  <c r="AY83" i="51" a="1"/>
  <c r="AY84" i="51" a="1"/>
  <c r="AY85" i="51" a="1"/>
  <c r="AY86" i="51" a="1"/>
  <c r="AY78" i="51"/>
  <c r="AY79" i="51"/>
  <c r="AY80" i="51"/>
  <c r="AY81" i="51"/>
  <c r="AY82" i="51"/>
  <c r="AY83" i="51"/>
  <c r="AY84" i="51"/>
  <c r="AY85" i="51"/>
  <c r="AY86" i="51"/>
  <c r="AY87" i="51"/>
  <c r="CA75" i="51"/>
  <c r="AY75" i="51"/>
  <c r="CA87" i="51"/>
  <c r="AX74" i="51"/>
  <c r="AX76" i="51" a="1"/>
  <c r="AX76" i="51"/>
  <c r="AX77" i="51" a="1"/>
  <c r="AX77" i="51"/>
  <c r="AX78" i="51" a="1"/>
  <c r="AX79" i="51" a="1"/>
  <c r="AX80" i="51" a="1"/>
  <c r="AX81" i="51" a="1"/>
  <c r="AX82" i="51" a="1"/>
  <c r="AX83" i="51" a="1"/>
  <c r="AX84" i="51" a="1"/>
  <c r="AX85" i="51" a="1"/>
  <c r="AX86" i="51" a="1"/>
  <c r="AX78" i="51"/>
  <c r="AX79" i="51"/>
  <c r="AX80" i="51"/>
  <c r="AX81" i="51"/>
  <c r="AX82" i="51"/>
  <c r="AX83" i="51"/>
  <c r="AX84" i="51"/>
  <c r="AX85" i="51"/>
  <c r="AX86" i="51"/>
  <c r="AX87" i="51"/>
  <c r="BZ75" i="51"/>
  <c r="AX75" i="51"/>
  <c r="BZ87" i="51"/>
  <c r="AW74" i="51"/>
  <c r="AW76" i="51" a="1"/>
  <c r="AW76" i="51"/>
  <c r="AW77" i="51" a="1"/>
  <c r="AW77" i="51"/>
  <c r="AW78" i="51" a="1"/>
  <c r="AW79" i="51" a="1"/>
  <c r="AW80" i="51" a="1"/>
  <c r="AW81" i="51" a="1"/>
  <c r="AW82" i="51" a="1"/>
  <c r="AW83" i="51" a="1"/>
  <c r="AW84" i="51" a="1"/>
  <c r="AW85" i="51" a="1"/>
  <c r="AW86" i="51" a="1"/>
  <c r="AW78" i="51"/>
  <c r="AW79" i="51"/>
  <c r="AW80" i="51"/>
  <c r="AW81" i="51"/>
  <c r="AW82" i="51"/>
  <c r="AW83" i="51"/>
  <c r="AW84" i="51"/>
  <c r="AW85" i="51"/>
  <c r="AW86" i="51"/>
  <c r="AW87" i="51"/>
  <c r="BY75" i="51"/>
  <c r="AW75" i="51"/>
  <c r="BY87" i="51"/>
  <c r="AV74" i="51"/>
  <c r="AV76" i="51" a="1"/>
  <c r="AV76" i="51"/>
  <c r="AV77" i="51" a="1"/>
  <c r="AV77" i="51"/>
  <c r="AV78" i="51" a="1"/>
  <c r="AV79" i="51" a="1"/>
  <c r="AV80" i="51" a="1"/>
  <c r="AV81" i="51" a="1"/>
  <c r="AV82" i="51" a="1"/>
  <c r="AV83" i="51" a="1"/>
  <c r="AV84" i="51" a="1"/>
  <c r="AV85" i="51" a="1"/>
  <c r="AV86" i="51" a="1"/>
  <c r="AV78" i="51"/>
  <c r="AV79" i="51"/>
  <c r="AV80" i="51"/>
  <c r="AV81" i="51"/>
  <c r="AV82" i="51"/>
  <c r="AV83" i="51"/>
  <c r="AV84" i="51"/>
  <c r="AV85" i="51"/>
  <c r="AV86" i="51"/>
  <c r="AV87" i="51"/>
  <c r="BX75" i="51"/>
  <c r="AV75" i="51"/>
  <c r="BX87" i="51"/>
  <c r="AU74" i="51"/>
  <c r="AU76" i="51" a="1"/>
  <c r="AU76" i="51"/>
  <c r="AU77" i="51" a="1"/>
  <c r="AU77" i="51"/>
  <c r="AU78" i="51" a="1"/>
  <c r="AU79" i="51" a="1"/>
  <c r="AU80" i="51" a="1"/>
  <c r="AU81" i="51" a="1"/>
  <c r="AU82" i="51" a="1"/>
  <c r="AU83" i="51" a="1"/>
  <c r="AU84" i="51" a="1"/>
  <c r="AU85" i="51" a="1"/>
  <c r="AU86" i="51" a="1"/>
  <c r="AU78" i="51"/>
  <c r="AU79" i="51"/>
  <c r="AU80" i="51"/>
  <c r="AU81" i="51"/>
  <c r="AU82" i="51"/>
  <c r="AU83" i="51"/>
  <c r="AU84" i="51"/>
  <c r="AU85" i="51"/>
  <c r="AU86" i="51"/>
  <c r="AU87" i="51"/>
  <c r="BW75" i="51"/>
  <c r="AU75" i="51"/>
  <c r="BW87" i="51"/>
  <c r="BV75" i="51"/>
  <c r="BV87" i="51"/>
  <c r="BU75" i="51"/>
  <c r="BU87" i="51"/>
  <c r="BT75" i="51"/>
  <c r="BT87" i="51"/>
  <c r="BS75" i="51"/>
  <c r="BS87" i="51"/>
  <c r="BR75" i="51"/>
  <c r="BR87" i="51"/>
  <c r="BQ75" i="51"/>
  <c r="BQ87" i="51"/>
  <c r="BP75" i="51"/>
  <c r="BP87" i="51"/>
  <c r="BO75" i="51"/>
  <c r="BO87" i="51"/>
  <c r="BN75" i="51"/>
  <c r="BN87" i="51"/>
  <c r="BM75" i="51"/>
  <c r="BM87" i="51"/>
  <c r="BL75" i="51"/>
  <c r="BL87" i="51"/>
  <c r="BK75" i="51"/>
  <c r="BK87" i="51"/>
  <c r="BJ75" i="51"/>
  <c r="BJ87" i="51"/>
  <c r="BI75" i="51"/>
  <c r="BI87" i="51"/>
  <c r="J87" i="51"/>
  <c r="I87" i="51"/>
  <c r="CJ86" i="51"/>
  <c r="CI86" i="51"/>
  <c r="CH86" i="51"/>
  <c r="CG86" i="51"/>
  <c r="CF86" i="51"/>
  <c r="CE86" i="51"/>
  <c r="CD86" i="51"/>
  <c r="CC86" i="51"/>
  <c r="CB86" i="51"/>
  <c r="CA86" i="51"/>
  <c r="BZ86" i="51"/>
  <c r="BY86" i="51"/>
  <c r="BX86" i="51"/>
  <c r="BW86" i="51"/>
  <c r="BV86" i="51"/>
  <c r="BU86" i="51"/>
  <c r="BT86" i="51"/>
  <c r="BS86" i="51"/>
  <c r="BR86" i="51"/>
  <c r="BQ86" i="51"/>
  <c r="BP86" i="51"/>
  <c r="BO86" i="51"/>
  <c r="BN86" i="51"/>
  <c r="BM86" i="51"/>
  <c r="BL86" i="51"/>
  <c r="BK86" i="51"/>
  <c r="BJ86" i="51"/>
  <c r="BI86" i="51"/>
  <c r="AQ86" i="51"/>
  <c r="AM86" i="51"/>
  <c r="X86" i="51"/>
  <c r="Y86" i="51"/>
  <c r="J86" i="51"/>
  <c r="I86" i="51"/>
  <c r="B86" i="51"/>
  <c r="CJ85" i="51"/>
  <c r="CI85" i="51"/>
  <c r="CH85" i="51"/>
  <c r="CG85" i="51"/>
  <c r="CF85" i="51"/>
  <c r="CE85" i="51"/>
  <c r="CD85" i="51"/>
  <c r="CC85" i="51"/>
  <c r="CB85" i="51"/>
  <c r="CA85" i="51"/>
  <c r="BZ85" i="51"/>
  <c r="BY85" i="51"/>
  <c r="BX85" i="51"/>
  <c r="BW85" i="51"/>
  <c r="BV85" i="51"/>
  <c r="BU85" i="51"/>
  <c r="BT85" i="51"/>
  <c r="BS85" i="51"/>
  <c r="BR85" i="51"/>
  <c r="BQ85" i="51"/>
  <c r="BP85" i="51"/>
  <c r="BO85" i="51"/>
  <c r="BN85" i="51"/>
  <c r="BM85" i="51"/>
  <c r="BL85" i="51"/>
  <c r="BK85" i="51"/>
  <c r="BJ85" i="51"/>
  <c r="BI85" i="51"/>
  <c r="AQ85" i="51"/>
  <c r="AM85" i="51"/>
  <c r="X85" i="51"/>
  <c r="Y85" i="51"/>
  <c r="J85" i="51"/>
  <c r="I85" i="51"/>
  <c r="B85" i="51"/>
  <c r="CJ84" i="51"/>
  <c r="CI84" i="51"/>
  <c r="CH84" i="51"/>
  <c r="CG84" i="51"/>
  <c r="CF84" i="51"/>
  <c r="CE84" i="51"/>
  <c r="CD84" i="51"/>
  <c r="CC84" i="51"/>
  <c r="CB84" i="51"/>
  <c r="CA84" i="51"/>
  <c r="BZ84" i="51"/>
  <c r="BY84" i="51"/>
  <c r="BX84" i="51"/>
  <c r="BW84" i="51"/>
  <c r="BV84" i="51"/>
  <c r="BU84" i="51"/>
  <c r="BT84" i="51"/>
  <c r="BS84" i="51"/>
  <c r="BR84" i="51"/>
  <c r="BQ84" i="51"/>
  <c r="BP84" i="51"/>
  <c r="BO84" i="51"/>
  <c r="BN84" i="51"/>
  <c r="BM84" i="51"/>
  <c r="BL84" i="51"/>
  <c r="BK84" i="51"/>
  <c r="BJ84" i="51"/>
  <c r="BI84" i="51"/>
  <c r="AQ84" i="51"/>
  <c r="AM84" i="51"/>
  <c r="X84" i="51"/>
  <c r="Y84" i="51"/>
  <c r="J84" i="51"/>
  <c r="I84" i="51"/>
  <c r="B84" i="51"/>
  <c r="CJ83" i="51"/>
  <c r="CI83" i="51"/>
  <c r="CH83" i="51"/>
  <c r="CG83" i="51"/>
  <c r="CF83" i="51"/>
  <c r="CE83" i="51"/>
  <c r="CD83" i="51"/>
  <c r="CC83" i="51"/>
  <c r="CB83" i="51"/>
  <c r="CA83" i="51"/>
  <c r="BZ83" i="51"/>
  <c r="BY83" i="51"/>
  <c r="BX83" i="51"/>
  <c r="BW83" i="51"/>
  <c r="BV83" i="51"/>
  <c r="BU83" i="51"/>
  <c r="BT83" i="51"/>
  <c r="BS83" i="51"/>
  <c r="BR83" i="51"/>
  <c r="BQ83" i="51"/>
  <c r="BP83" i="51"/>
  <c r="BO83" i="51"/>
  <c r="BN83" i="51"/>
  <c r="BM83" i="51"/>
  <c r="BL83" i="51"/>
  <c r="BK83" i="51"/>
  <c r="BJ83" i="51"/>
  <c r="BI83" i="51"/>
  <c r="AQ83" i="51"/>
  <c r="AM83" i="51"/>
  <c r="X83" i="51"/>
  <c r="Y83" i="51"/>
  <c r="J83" i="51"/>
  <c r="I83" i="51"/>
  <c r="B83" i="51"/>
  <c r="CJ82" i="51"/>
  <c r="CI82" i="51"/>
  <c r="CH82" i="51"/>
  <c r="CG82" i="51"/>
  <c r="CF82" i="51"/>
  <c r="CE82" i="51"/>
  <c r="CD82" i="51"/>
  <c r="CC82" i="51"/>
  <c r="CB82" i="51"/>
  <c r="CA82" i="51"/>
  <c r="BZ82" i="51"/>
  <c r="BY82" i="51"/>
  <c r="BX82" i="51"/>
  <c r="BW82" i="51"/>
  <c r="BV82" i="51"/>
  <c r="BU82" i="51"/>
  <c r="BT82" i="51"/>
  <c r="BS82" i="51"/>
  <c r="BR82" i="51"/>
  <c r="BQ82" i="51"/>
  <c r="BP82" i="51"/>
  <c r="BO82" i="51"/>
  <c r="BN82" i="51"/>
  <c r="BM82" i="51"/>
  <c r="BL82" i="51"/>
  <c r="BK82" i="51"/>
  <c r="BJ82" i="51"/>
  <c r="BI82" i="51"/>
  <c r="AQ82" i="51"/>
  <c r="AM82" i="51"/>
  <c r="X82" i="51"/>
  <c r="Y82" i="51"/>
  <c r="J82" i="51"/>
  <c r="I82" i="51"/>
  <c r="B82" i="51"/>
  <c r="CJ81" i="51"/>
  <c r="CI81" i="51"/>
  <c r="CH81" i="51"/>
  <c r="CG81" i="51"/>
  <c r="CF81" i="51"/>
  <c r="CE81" i="51"/>
  <c r="CD81" i="51"/>
  <c r="CC81" i="51"/>
  <c r="CB81" i="51"/>
  <c r="CA81" i="51"/>
  <c r="BZ81" i="51"/>
  <c r="BY81" i="51"/>
  <c r="BX81" i="51"/>
  <c r="BW81" i="51"/>
  <c r="BV81" i="51"/>
  <c r="BU81" i="51"/>
  <c r="BT81" i="51"/>
  <c r="BS81" i="51"/>
  <c r="BR81" i="51"/>
  <c r="BQ81" i="51"/>
  <c r="BP81" i="51"/>
  <c r="BO81" i="51"/>
  <c r="BN81" i="51"/>
  <c r="BM81" i="51"/>
  <c r="BL81" i="51"/>
  <c r="BK81" i="51"/>
  <c r="BJ81" i="51"/>
  <c r="BI81" i="51"/>
  <c r="AQ81" i="51"/>
  <c r="AM81" i="51"/>
  <c r="X81" i="51"/>
  <c r="Y81" i="51"/>
  <c r="J81" i="51"/>
  <c r="I81" i="51"/>
  <c r="B81" i="51"/>
  <c r="CJ80" i="51"/>
  <c r="CI80" i="51"/>
  <c r="CH80" i="51"/>
  <c r="CG80" i="51"/>
  <c r="CF80" i="51"/>
  <c r="CE80" i="51"/>
  <c r="CD80" i="51"/>
  <c r="CC80" i="51"/>
  <c r="CB80" i="51"/>
  <c r="CA80" i="51"/>
  <c r="BZ80" i="51"/>
  <c r="BY80" i="51"/>
  <c r="BX80" i="51"/>
  <c r="BW80" i="51"/>
  <c r="BV80" i="51"/>
  <c r="BU80" i="51"/>
  <c r="BT80" i="51"/>
  <c r="BS80" i="51"/>
  <c r="BR80" i="51"/>
  <c r="BQ80" i="51"/>
  <c r="BP80" i="51"/>
  <c r="BO80" i="51"/>
  <c r="BN80" i="51"/>
  <c r="BM80" i="51"/>
  <c r="BL80" i="51"/>
  <c r="BK80" i="51"/>
  <c r="BJ80" i="51"/>
  <c r="BI80" i="51"/>
  <c r="AQ80" i="51"/>
  <c r="AM80" i="51"/>
  <c r="X80" i="51"/>
  <c r="Y80" i="51"/>
  <c r="J80" i="51"/>
  <c r="I80" i="51"/>
  <c r="B80" i="51"/>
  <c r="CJ79" i="51"/>
  <c r="CI79" i="51"/>
  <c r="CH79" i="51"/>
  <c r="CG79" i="51"/>
  <c r="CF79" i="51"/>
  <c r="CE79" i="51"/>
  <c r="CD79" i="51"/>
  <c r="CC79" i="51"/>
  <c r="CB79" i="51"/>
  <c r="CA79" i="51"/>
  <c r="BZ79" i="51"/>
  <c r="BY79" i="51"/>
  <c r="BX79" i="51"/>
  <c r="BW79" i="51"/>
  <c r="BV79" i="51"/>
  <c r="BU79" i="51"/>
  <c r="BT79" i="51"/>
  <c r="BS79" i="51"/>
  <c r="BR79" i="51"/>
  <c r="BQ79" i="51"/>
  <c r="BP79" i="51"/>
  <c r="BO79" i="51"/>
  <c r="BN79" i="51"/>
  <c r="BM79" i="51"/>
  <c r="BL79" i="51"/>
  <c r="BK79" i="51"/>
  <c r="BJ79" i="51"/>
  <c r="BI79" i="51"/>
  <c r="AQ79" i="51"/>
  <c r="AM79" i="51"/>
  <c r="X79" i="51"/>
  <c r="Y79" i="51"/>
  <c r="J79" i="51"/>
  <c r="I79" i="51"/>
  <c r="B79" i="51"/>
  <c r="CJ78" i="51"/>
  <c r="CI78" i="51"/>
  <c r="CH78" i="51"/>
  <c r="CG78" i="51"/>
  <c r="CF78" i="51"/>
  <c r="CE78" i="51"/>
  <c r="CD78" i="51"/>
  <c r="CC78" i="51"/>
  <c r="CB78" i="51"/>
  <c r="CA78" i="51"/>
  <c r="BZ78" i="51"/>
  <c r="BY78" i="51"/>
  <c r="BX78" i="51"/>
  <c r="BW78" i="51"/>
  <c r="BV78" i="51"/>
  <c r="BU78" i="51"/>
  <c r="BT78" i="51"/>
  <c r="BS78" i="51"/>
  <c r="BR78" i="51"/>
  <c r="BQ78" i="51"/>
  <c r="BP78" i="51"/>
  <c r="BO78" i="51"/>
  <c r="BN78" i="51"/>
  <c r="BM78" i="51"/>
  <c r="BL78" i="51"/>
  <c r="BK78" i="51"/>
  <c r="BJ78" i="51"/>
  <c r="BI78" i="51"/>
  <c r="AQ78" i="51"/>
  <c r="AM78" i="51"/>
  <c r="X78" i="51"/>
  <c r="Y78" i="51"/>
  <c r="J78" i="51"/>
  <c r="I78" i="51"/>
  <c r="B78" i="51"/>
  <c r="CJ77" i="51"/>
  <c r="CI77" i="51"/>
  <c r="CH77" i="51"/>
  <c r="CG77" i="51"/>
  <c r="CF77" i="51"/>
  <c r="CE77" i="51"/>
  <c r="CD77" i="51"/>
  <c r="CC77" i="51"/>
  <c r="CB77" i="51"/>
  <c r="CA77" i="51"/>
  <c r="BZ77" i="51"/>
  <c r="BY77" i="51"/>
  <c r="BX77" i="51"/>
  <c r="BW77" i="51"/>
  <c r="BV77" i="51"/>
  <c r="BU77" i="51"/>
  <c r="BT77" i="51"/>
  <c r="BS77" i="51"/>
  <c r="BR77" i="51"/>
  <c r="BQ77" i="51"/>
  <c r="BP77" i="51"/>
  <c r="BO77" i="51"/>
  <c r="BN77" i="51"/>
  <c r="BM77" i="51"/>
  <c r="BL77" i="51"/>
  <c r="BK77" i="51"/>
  <c r="BJ77" i="51"/>
  <c r="BI77" i="51"/>
  <c r="AQ77" i="51"/>
  <c r="AM77" i="51"/>
  <c r="X77" i="51"/>
  <c r="Y77" i="51"/>
  <c r="J77" i="51"/>
  <c r="I77" i="51"/>
  <c r="B77" i="51"/>
  <c r="CJ76" i="51"/>
  <c r="CI76" i="51"/>
  <c r="CH76" i="51"/>
  <c r="CG76" i="51"/>
  <c r="CF76" i="51"/>
  <c r="CE76" i="51"/>
  <c r="CD76" i="51"/>
  <c r="CC76" i="51"/>
  <c r="CB76" i="51"/>
  <c r="CA76" i="51"/>
  <c r="BZ76" i="51"/>
  <c r="BY76" i="51"/>
  <c r="BX76" i="51"/>
  <c r="BW76" i="51"/>
  <c r="BV76" i="51"/>
  <c r="BU76" i="51"/>
  <c r="BT76" i="51"/>
  <c r="BS76" i="51"/>
  <c r="BR76" i="51"/>
  <c r="BQ76" i="51"/>
  <c r="BP76" i="51"/>
  <c r="BO76" i="51"/>
  <c r="BN76" i="51"/>
  <c r="BM76" i="51"/>
  <c r="BL76" i="51"/>
  <c r="BK76" i="51"/>
  <c r="BJ76" i="51"/>
  <c r="BI76" i="51"/>
  <c r="AQ76" i="51"/>
  <c r="AM76" i="51"/>
  <c r="X76" i="51"/>
  <c r="Y76" i="51"/>
  <c r="J76" i="51"/>
  <c r="I76" i="51"/>
  <c r="B76" i="51"/>
  <c r="J75" i="51"/>
  <c r="I75" i="51"/>
  <c r="G75" i="51"/>
  <c r="CJ74" i="51"/>
  <c r="CI74" i="51"/>
  <c r="CH74" i="51"/>
  <c r="CG74" i="51"/>
  <c r="CF74" i="51"/>
  <c r="CE74" i="51"/>
  <c r="CD74" i="51"/>
  <c r="CC74" i="51"/>
  <c r="CB74" i="51"/>
  <c r="CA74" i="51"/>
  <c r="BZ74" i="51"/>
  <c r="BY74" i="51"/>
  <c r="BX74" i="51"/>
  <c r="BW74" i="51"/>
  <c r="BV74" i="51"/>
  <c r="BU74" i="51"/>
  <c r="BT74" i="51"/>
  <c r="BS74" i="51"/>
  <c r="BR74" i="51"/>
  <c r="BQ74" i="51"/>
  <c r="BP74" i="51"/>
  <c r="BO74" i="51"/>
  <c r="BN74" i="51"/>
  <c r="BM74" i="51"/>
  <c r="BL74" i="51"/>
  <c r="BK74" i="51"/>
  <c r="BJ74" i="51"/>
  <c r="BI74" i="51"/>
  <c r="BZ27" i="51"/>
  <c r="X30" i="51"/>
  <c r="Y30" i="51"/>
  <c r="AA30" i="51"/>
  <c r="AE30" i="51"/>
  <c r="AF30" i="51"/>
  <c r="AH30" i="51"/>
  <c r="BZ30" i="51" a="1"/>
  <c r="BZ30" i="51"/>
  <c r="X31" i="51"/>
  <c r="Y31" i="51"/>
  <c r="AA31" i="51"/>
  <c r="AE31" i="51"/>
  <c r="AF31" i="51"/>
  <c r="AH31" i="51"/>
  <c r="BZ31" i="51" a="1"/>
  <c r="BZ31" i="51"/>
  <c r="X32" i="51"/>
  <c r="Y32" i="51"/>
  <c r="AA32" i="51"/>
  <c r="AE32" i="51"/>
  <c r="AF32" i="51"/>
  <c r="AH32" i="51"/>
  <c r="BZ32" i="51" a="1"/>
  <c r="X33" i="51"/>
  <c r="Y33" i="51"/>
  <c r="AA33" i="51"/>
  <c r="AE33" i="51"/>
  <c r="AF33" i="51"/>
  <c r="AH33" i="51"/>
  <c r="BZ33" i="51" a="1"/>
  <c r="X34" i="51"/>
  <c r="Y34" i="51"/>
  <c r="AA34" i="51"/>
  <c r="AE34" i="51"/>
  <c r="AF34" i="51"/>
  <c r="AH34" i="51"/>
  <c r="BZ34" i="51" a="1"/>
  <c r="X35" i="51"/>
  <c r="Y35" i="51"/>
  <c r="AA35" i="51"/>
  <c r="AE35" i="51"/>
  <c r="AF35" i="51"/>
  <c r="AH35" i="51"/>
  <c r="BZ35" i="51" a="1"/>
  <c r="X36" i="51"/>
  <c r="Y36" i="51"/>
  <c r="AA36" i="51"/>
  <c r="AE36" i="51"/>
  <c r="AF36" i="51"/>
  <c r="AH36" i="51"/>
  <c r="BZ36" i="51" a="1"/>
  <c r="X37" i="51"/>
  <c r="Y37" i="51"/>
  <c r="AA37" i="51"/>
  <c r="AE37" i="51"/>
  <c r="AF37" i="51"/>
  <c r="AH37" i="51"/>
  <c r="BZ37" i="51" a="1"/>
  <c r="X38" i="51"/>
  <c r="Y38" i="51"/>
  <c r="AA38" i="51"/>
  <c r="AE38" i="51"/>
  <c r="AF38" i="51"/>
  <c r="AH38" i="51"/>
  <c r="BZ38" i="51" a="1"/>
  <c r="X39" i="51"/>
  <c r="Y39" i="51"/>
  <c r="AA39" i="51"/>
  <c r="AE39" i="51"/>
  <c r="AF39" i="51"/>
  <c r="AH39" i="51"/>
  <c r="BZ39" i="51" a="1"/>
  <c r="X40" i="51"/>
  <c r="Y40" i="51"/>
  <c r="AA40" i="51"/>
  <c r="AE40" i="51"/>
  <c r="AF40" i="51"/>
  <c r="AH40" i="51"/>
  <c r="BZ40" i="51" a="1"/>
  <c r="X41" i="51"/>
  <c r="Y41" i="51"/>
  <c r="AA41" i="51"/>
  <c r="AE41" i="51"/>
  <c r="AF41" i="51"/>
  <c r="AH41" i="51"/>
  <c r="BZ41" i="51" a="1"/>
  <c r="X42" i="51"/>
  <c r="Y42" i="51"/>
  <c r="AA42" i="51"/>
  <c r="AE42" i="51"/>
  <c r="AF42" i="51"/>
  <c r="AH42" i="51"/>
  <c r="BZ42" i="51" a="1"/>
  <c r="X43" i="51"/>
  <c r="Y43" i="51"/>
  <c r="AA43" i="51"/>
  <c r="AE43" i="51"/>
  <c r="AF43" i="51"/>
  <c r="AH43" i="51"/>
  <c r="BZ43" i="51" a="1"/>
  <c r="X44" i="51"/>
  <c r="Y44" i="51"/>
  <c r="AA44" i="51"/>
  <c r="AE44" i="51"/>
  <c r="AF44" i="51"/>
  <c r="AH44" i="51"/>
  <c r="BZ44" i="51" a="1"/>
  <c r="X45" i="51"/>
  <c r="Y45" i="51"/>
  <c r="AA45" i="51"/>
  <c r="AE45" i="51"/>
  <c r="AF45" i="51"/>
  <c r="AH45" i="51"/>
  <c r="BZ45" i="51" a="1"/>
  <c r="X46" i="51"/>
  <c r="Y46" i="51"/>
  <c r="AA46" i="51"/>
  <c r="AE46" i="51"/>
  <c r="AF46" i="51"/>
  <c r="AH46" i="51"/>
  <c r="BZ46" i="51" a="1"/>
  <c r="X47" i="51"/>
  <c r="Y47" i="51"/>
  <c r="AA47" i="51"/>
  <c r="AE47" i="51"/>
  <c r="AF47" i="51"/>
  <c r="AH47" i="51"/>
  <c r="BZ47" i="51" a="1"/>
  <c r="X48" i="51"/>
  <c r="Y48" i="51"/>
  <c r="AA48" i="51"/>
  <c r="AE48" i="51"/>
  <c r="AF48" i="51"/>
  <c r="AH48" i="51"/>
  <c r="BZ48" i="51" a="1"/>
  <c r="X49" i="51"/>
  <c r="Y49" i="51"/>
  <c r="AA49" i="51"/>
  <c r="AE49" i="51"/>
  <c r="AF49" i="51"/>
  <c r="AH49" i="51"/>
  <c r="BZ49" i="51" a="1"/>
  <c r="X50" i="51"/>
  <c r="Y50" i="51"/>
  <c r="AA50" i="51"/>
  <c r="AE50" i="51"/>
  <c r="AF50" i="51"/>
  <c r="AH50" i="51"/>
  <c r="BZ50" i="51" a="1"/>
  <c r="X51" i="51"/>
  <c r="Y51" i="51"/>
  <c r="AA51" i="51"/>
  <c r="AE51" i="51"/>
  <c r="AF51" i="51"/>
  <c r="AH51" i="51"/>
  <c r="BZ51" i="51" a="1"/>
  <c r="X52" i="51"/>
  <c r="Y52" i="51"/>
  <c r="AA52" i="51"/>
  <c r="AE52" i="51"/>
  <c r="AF52" i="51"/>
  <c r="AH52" i="51"/>
  <c r="BZ52" i="51" a="1"/>
  <c r="X53" i="51"/>
  <c r="Y53" i="51"/>
  <c r="AA53" i="51"/>
  <c r="AE53" i="51"/>
  <c r="AF53" i="51"/>
  <c r="AH53" i="51"/>
  <c r="BZ53" i="51" a="1"/>
  <c r="X54" i="51"/>
  <c r="Y54" i="51"/>
  <c r="AA54" i="51"/>
  <c r="AE54" i="51"/>
  <c r="AF54" i="51"/>
  <c r="AH54" i="51"/>
  <c r="BZ54" i="51" a="1"/>
  <c r="X55" i="51"/>
  <c r="Y55" i="51"/>
  <c r="AA55" i="51"/>
  <c r="AE55" i="51"/>
  <c r="AF55" i="51"/>
  <c r="AH55" i="51"/>
  <c r="BZ55" i="51" a="1"/>
  <c r="X56" i="51"/>
  <c r="Y56" i="51"/>
  <c r="AA56" i="51"/>
  <c r="AE56" i="51"/>
  <c r="AF56" i="51"/>
  <c r="AH56" i="51"/>
  <c r="BZ56" i="51" a="1"/>
  <c r="X57" i="51"/>
  <c r="Y57" i="51"/>
  <c r="AA57" i="51"/>
  <c r="AE57" i="51"/>
  <c r="AF57" i="51"/>
  <c r="AH57" i="51"/>
  <c r="BZ57" i="51" a="1"/>
  <c r="X58" i="51"/>
  <c r="Y58" i="51"/>
  <c r="AA58" i="51"/>
  <c r="AE58" i="51"/>
  <c r="AF58" i="51"/>
  <c r="AH58" i="51"/>
  <c r="BZ58" i="51" a="1"/>
  <c r="X59" i="51"/>
  <c r="Y59" i="51"/>
  <c r="AA59" i="51"/>
  <c r="AE59" i="51"/>
  <c r="AF59" i="51"/>
  <c r="AH59" i="51"/>
  <c r="BZ59" i="51" a="1"/>
  <c r="X60" i="51"/>
  <c r="Y60" i="51"/>
  <c r="AA60" i="51"/>
  <c r="AE60" i="51"/>
  <c r="AF60" i="51"/>
  <c r="AH60" i="51"/>
  <c r="BZ60" i="51" a="1"/>
  <c r="X61" i="51"/>
  <c r="Y61" i="51"/>
  <c r="AA61" i="51"/>
  <c r="AE61" i="51"/>
  <c r="AF61" i="51"/>
  <c r="AH61" i="51"/>
  <c r="BZ61" i="51" a="1"/>
  <c r="X62" i="51"/>
  <c r="Y62" i="51"/>
  <c r="AA62" i="51"/>
  <c r="AE62" i="51"/>
  <c r="AF62" i="51"/>
  <c r="AH62" i="51"/>
  <c r="BZ62" i="51" a="1"/>
  <c r="X63" i="51"/>
  <c r="Y63" i="51"/>
  <c r="AA63" i="51"/>
  <c r="AE63" i="51"/>
  <c r="AF63" i="51"/>
  <c r="AH63" i="51"/>
  <c r="BZ63" i="51" a="1"/>
  <c r="X64" i="51"/>
  <c r="Y64" i="51"/>
  <c r="AA64" i="51"/>
  <c r="AE64" i="51"/>
  <c r="AF64" i="51"/>
  <c r="AH64" i="51"/>
  <c r="BZ64" i="51" a="1"/>
  <c r="BZ32" i="51"/>
  <c r="BZ33" i="51"/>
  <c r="BZ34" i="51"/>
  <c r="BZ35" i="51"/>
  <c r="BZ36" i="51"/>
  <c r="BZ37" i="51"/>
  <c r="BZ38" i="51"/>
  <c r="BZ39" i="51"/>
  <c r="BZ40" i="51"/>
  <c r="BZ41" i="51"/>
  <c r="BZ42" i="51"/>
  <c r="BZ43" i="51"/>
  <c r="BZ44" i="51"/>
  <c r="BZ45" i="51"/>
  <c r="BZ46" i="51"/>
  <c r="BZ47" i="51"/>
  <c r="BZ48" i="51"/>
  <c r="BZ49" i="51"/>
  <c r="BZ50" i="51"/>
  <c r="BZ51" i="51"/>
  <c r="BZ52" i="51"/>
  <c r="BZ53" i="51"/>
  <c r="BZ54" i="51"/>
  <c r="BZ55" i="51"/>
  <c r="BZ56" i="51"/>
  <c r="BZ57" i="51"/>
  <c r="BZ58" i="51"/>
  <c r="BZ59" i="51"/>
  <c r="BZ60" i="51"/>
  <c r="BZ61" i="51"/>
  <c r="BZ62" i="51"/>
  <c r="BZ63" i="51"/>
  <c r="BZ64" i="51"/>
  <c r="BZ68" i="51"/>
  <c r="CL27" i="51"/>
  <c r="AB30" i="51"/>
  <c r="AI30" i="51"/>
  <c r="CL30" i="51" a="1"/>
  <c r="CL30" i="51"/>
  <c r="AB31" i="51"/>
  <c r="AI31" i="51"/>
  <c r="CL31" i="51" a="1"/>
  <c r="CL31" i="51"/>
  <c r="AB32" i="51"/>
  <c r="AI32" i="51"/>
  <c r="CL32" i="51" a="1"/>
  <c r="AB33" i="51"/>
  <c r="AI33" i="51"/>
  <c r="CL33" i="51" a="1"/>
  <c r="AB34" i="51"/>
  <c r="AI34" i="51"/>
  <c r="CL34" i="51" a="1"/>
  <c r="AB35" i="51"/>
  <c r="AI35" i="51"/>
  <c r="CL35" i="51" a="1"/>
  <c r="AB36" i="51"/>
  <c r="AI36" i="51"/>
  <c r="CL36" i="51" a="1"/>
  <c r="AB37" i="51"/>
  <c r="AI37" i="51"/>
  <c r="CL37" i="51" a="1"/>
  <c r="AB38" i="51"/>
  <c r="AI38" i="51"/>
  <c r="CL38" i="51" a="1"/>
  <c r="AB39" i="51"/>
  <c r="AI39" i="51"/>
  <c r="CL39" i="51" a="1"/>
  <c r="AB40" i="51"/>
  <c r="AI40" i="51"/>
  <c r="CL40" i="51" a="1"/>
  <c r="AB41" i="51"/>
  <c r="AI41" i="51"/>
  <c r="CL41" i="51" a="1"/>
  <c r="AB42" i="51"/>
  <c r="AI42" i="51"/>
  <c r="CL42" i="51" a="1"/>
  <c r="AB43" i="51"/>
  <c r="AI43" i="51"/>
  <c r="CL43" i="51" a="1"/>
  <c r="AB44" i="51"/>
  <c r="AI44" i="51"/>
  <c r="CL44" i="51" a="1"/>
  <c r="AB45" i="51"/>
  <c r="AI45" i="51"/>
  <c r="CL45" i="51" a="1"/>
  <c r="AB46" i="51"/>
  <c r="AI46" i="51"/>
  <c r="CL46" i="51" a="1"/>
  <c r="AB47" i="51"/>
  <c r="AI47" i="51"/>
  <c r="CL47" i="51" a="1"/>
  <c r="AB48" i="51"/>
  <c r="AI48" i="51"/>
  <c r="CL48" i="51" a="1"/>
  <c r="AB49" i="51"/>
  <c r="AI49" i="51"/>
  <c r="CL49" i="51" a="1"/>
  <c r="AB50" i="51"/>
  <c r="AI50" i="51"/>
  <c r="CL50" i="51" a="1"/>
  <c r="AB51" i="51"/>
  <c r="AI51" i="51"/>
  <c r="CL51" i="51" a="1"/>
  <c r="AB52" i="51"/>
  <c r="AI52" i="51"/>
  <c r="CL52" i="51" a="1"/>
  <c r="AB53" i="51"/>
  <c r="AI53" i="51"/>
  <c r="CL53" i="51" a="1"/>
  <c r="AB54" i="51"/>
  <c r="AI54" i="51"/>
  <c r="CL54" i="51" a="1"/>
  <c r="AB55" i="51"/>
  <c r="AI55" i="51"/>
  <c r="CL55" i="51" a="1"/>
  <c r="AB56" i="51"/>
  <c r="AI56" i="51"/>
  <c r="CL56" i="51" a="1"/>
  <c r="AB57" i="51"/>
  <c r="AI57" i="51"/>
  <c r="CL57" i="51" a="1"/>
  <c r="AB58" i="51"/>
  <c r="AI58" i="51"/>
  <c r="CL58" i="51" a="1"/>
  <c r="AB59" i="51"/>
  <c r="AI59" i="51"/>
  <c r="CL59" i="51" a="1"/>
  <c r="AB60" i="51"/>
  <c r="AI60" i="51"/>
  <c r="CL60" i="51" a="1"/>
  <c r="AB61" i="51"/>
  <c r="AI61" i="51"/>
  <c r="CL61" i="51" a="1"/>
  <c r="AB62" i="51"/>
  <c r="AI62" i="51"/>
  <c r="CL62" i="51" a="1"/>
  <c r="AB63" i="51"/>
  <c r="AI63" i="51"/>
  <c r="CL63" i="51" a="1"/>
  <c r="AB64" i="51"/>
  <c r="AI64" i="51"/>
  <c r="CL64" i="51" a="1"/>
  <c r="CL32" i="51"/>
  <c r="CL33" i="51"/>
  <c r="CL34" i="51"/>
  <c r="CL35" i="51"/>
  <c r="CL36" i="51"/>
  <c r="CL37" i="51"/>
  <c r="CL38" i="51"/>
  <c r="CL39" i="51"/>
  <c r="CL40" i="51"/>
  <c r="CL41" i="51"/>
  <c r="CL42" i="51"/>
  <c r="CL43" i="51"/>
  <c r="CL44" i="51"/>
  <c r="CL45" i="51"/>
  <c r="CL46" i="51"/>
  <c r="CL47" i="51"/>
  <c r="CL48" i="51"/>
  <c r="CL49" i="51"/>
  <c r="CL50" i="51"/>
  <c r="CL51" i="51"/>
  <c r="CL52" i="51"/>
  <c r="CL53" i="51"/>
  <c r="CL54" i="51"/>
  <c r="CL55" i="51"/>
  <c r="CL56" i="51"/>
  <c r="CL57" i="51"/>
  <c r="CL58" i="51"/>
  <c r="CL59" i="51"/>
  <c r="CL60" i="51"/>
  <c r="CL61" i="51"/>
  <c r="CL62" i="51"/>
  <c r="CL63" i="51"/>
  <c r="CL64" i="51"/>
  <c r="CL68" i="51"/>
  <c r="CZ27" i="51"/>
  <c r="AC30" i="51"/>
  <c r="AJ30" i="51"/>
  <c r="CZ30" i="51" a="1"/>
  <c r="CZ30" i="51"/>
  <c r="AC31" i="51"/>
  <c r="AJ31" i="51"/>
  <c r="CZ31" i="51" a="1"/>
  <c r="CZ31" i="51"/>
  <c r="AC32" i="51"/>
  <c r="AJ32" i="51"/>
  <c r="CZ32" i="51" a="1"/>
  <c r="AC33" i="51"/>
  <c r="AJ33" i="51"/>
  <c r="CZ33" i="51" a="1"/>
  <c r="AC34" i="51"/>
  <c r="AJ34" i="51"/>
  <c r="CZ34" i="51" a="1"/>
  <c r="AC35" i="51"/>
  <c r="AJ35" i="51"/>
  <c r="CZ35" i="51" a="1"/>
  <c r="AC36" i="51"/>
  <c r="AJ36" i="51"/>
  <c r="CZ36" i="51" a="1"/>
  <c r="AC37" i="51"/>
  <c r="AJ37" i="51"/>
  <c r="CZ37" i="51" a="1"/>
  <c r="AC38" i="51"/>
  <c r="AJ38" i="51"/>
  <c r="CZ38" i="51" a="1"/>
  <c r="AC39" i="51"/>
  <c r="AJ39" i="51"/>
  <c r="CZ39" i="51" a="1"/>
  <c r="AC40" i="51"/>
  <c r="AJ40" i="51"/>
  <c r="CZ40" i="51" a="1"/>
  <c r="AC41" i="51"/>
  <c r="AJ41" i="51"/>
  <c r="CZ41" i="51" a="1"/>
  <c r="AC42" i="51"/>
  <c r="AJ42" i="51"/>
  <c r="CZ42" i="51" a="1"/>
  <c r="AC43" i="51"/>
  <c r="AJ43" i="51"/>
  <c r="CZ43" i="51" a="1"/>
  <c r="AC44" i="51"/>
  <c r="AJ44" i="51"/>
  <c r="CZ44" i="51" a="1"/>
  <c r="AC45" i="51"/>
  <c r="AJ45" i="51"/>
  <c r="CZ45" i="51" a="1"/>
  <c r="AC46" i="51"/>
  <c r="AJ46" i="51"/>
  <c r="CZ46" i="51" a="1"/>
  <c r="AC47" i="51"/>
  <c r="AJ47" i="51"/>
  <c r="CZ47" i="51" a="1"/>
  <c r="AC48" i="51"/>
  <c r="AJ48" i="51"/>
  <c r="CZ48" i="51" a="1"/>
  <c r="AC49" i="51"/>
  <c r="AJ49" i="51"/>
  <c r="CZ49" i="51" a="1"/>
  <c r="AC50" i="51"/>
  <c r="AJ50" i="51"/>
  <c r="CZ50" i="51" a="1"/>
  <c r="AC51" i="51"/>
  <c r="AJ51" i="51"/>
  <c r="CZ51" i="51" a="1"/>
  <c r="AC52" i="51"/>
  <c r="AJ52" i="51"/>
  <c r="CZ52" i="51" a="1"/>
  <c r="AC53" i="51"/>
  <c r="AJ53" i="51"/>
  <c r="CZ53" i="51" a="1"/>
  <c r="AC54" i="51"/>
  <c r="AJ54" i="51"/>
  <c r="CZ54" i="51" a="1"/>
  <c r="AC55" i="51"/>
  <c r="AJ55" i="51"/>
  <c r="CZ55" i="51" a="1"/>
  <c r="AC56" i="51"/>
  <c r="AJ56" i="51"/>
  <c r="CZ56" i="51" a="1"/>
  <c r="AC57" i="51"/>
  <c r="AJ57" i="51"/>
  <c r="CZ57" i="51" a="1"/>
  <c r="AC58" i="51"/>
  <c r="AJ58" i="51"/>
  <c r="CZ58" i="51" a="1"/>
  <c r="AC59" i="51"/>
  <c r="AJ59" i="51"/>
  <c r="CZ59" i="51" a="1"/>
  <c r="AC60" i="51"/>
  <c r="AJ60" i="51"/>
  <c r="CZ60" i="51" a="1"/>
  <c r="AC61" i="51"/>
  <c r="AJ61" i="51"/>
  <c r="CZ61" i="51" a="1"/>
  <c r="AC62" i="51"/>
  <c r="AJ62" i="51"/>
  <c r="CZ62" i="51" a="1"/>
  <c r="AC63" i="51"/>
  <c r="AJ63" i="51"/>
  <c r="CZ63" i="51" a="1"/>
  <c r="AC64" i="51"/>
  <c r="AJ64" i="51"/>
  <c r="CZ64" i="51" a="1"/>
  <c r="CZ32" i="51"/>
  <c r="CZ33" i="51"/>
  <c r="CZ34" i="51"/>
  <c r="CZ35" i="51"/>
  <c r="CZ36" i="51"/>
  <c r="CZ37" i="51"/>
  <c r="CZ38" i="51"/>
  <c r="CZ39" i="51"/>
  <c r="CZ40" i="51"/>
  <c r="CZ41" i="51"/>
  <c r="CZ42" i="51"/>
  <c r="CZ43" i="51"/>
  <c r="CZ44" i="51"/>
  <c r="CZ45" i="51"/>
  <c r="CZ46" i="51"/>
  <c r="CZ47" i="51"/>
  <c r="CZ48" i="51"/>
  <c r="CZ49" i="51"/>
  <c r="CZ50" i="51"/>
  <c r="CZ51" i="51"/>
  <c r="CZ52" i="51"/>
  <c r="CZ53" i="51"/>
  <c r="CZ54" i="51"/>
  <c r="CZ55" i="51"/>
  <c r="CZ56" i="51"/>
  <c r="CZ57" i="51"/>
  <c r="CZ58" i="51"/>
  <c r="CZ59" i="51"/>
  <c r="CZ60" i="51"/>
  <c r="CZ61" i="51"/>
  <c r="CZ62" i="51"/>
  <c r="CZ63" i="51"/>
  <c r="CZ64" i="51"/>
  <c r="CZ68" i="51"/>
  <c r="DN27" i="51"/>
  <c r="AD30" i="51"/>
  <c r="AK30" i="51"/>
  <c r="DN30" i="51" a="1"/>
  <c r="DN30" i="51"/>
  <c r="AD31" i="51"/>
  <c r="AK31" i="51"/>
  <c r="DN31" i="51" a="1"/>
  <c r="DN31" i="51"/>
  <c r="AD32" i="51"/>
  <c r="AK32" i="51"/>
  <c r="DN32" i="51" a="1"/>
  <c r="AD33" i="51"/>
  <c r="AK33" i="51"/>
  <c r="DN33" i="51" a="1"/>
  <c r="AD34" i="51"/>
  <c r="AK34" i="51"/>
  <c r="DN34" i="51" a="1"/>
  <c r="AD35" i="51"/>
  <c r="AK35" i="51"/>
  <c r="DN35" i="51" a="1"/>
  <c r="AD36" i="51"/>
  <c r="AK36" i="51"/>
  <c r="DN36" i="51" a="1"/>
  <c r="AD37" i="51"/>
  <c r="AK37" i="51"/>
  <c r="DN37" i="51" a="1"/>
  <c r="AD38" i="51"/>
  <c r="AK38" i="51"/>
  <c r="DN38" i="51" a="1"/>
  <c r="AD39" i="51"/>
  <c r="AK39" i="51"/>
  <c r="DN39" i="51" a="1"/>
  <c r="AD40" i="51"/>
  <c r="AK40" i="51"/>
  <c r="DN40" i="51" a="1"/>
  <c r="AD41" i="51"/>
  <c r="AK41" i="51"/>
  <c r="DN41" i="51" a="1"/>
  <c r="AD42" i="51"/>
  <c r="AK42" i="51"/>
  <c r="DN42" i="51" a="1"/>
  <c r="AD43" i="51"/>
  <c r="AK43" i="51"/>
  <c r="DN43" i="51" a="1"/>
  <c r="AD44" i="51"/>
  <c r="AK44" i="51"/>
  <c r="DN44" i="51" a="1"/>
  <c r="AD45" i="51"/>
  <c r="AK45" i="51"/>
  <c r="DN45" i="51" a="1"/>
  <c r="AD46" i="51"/>
  <c r="AK46" i="51"/>
  <c r="DN46" i="51" a="1"/>
  <c r="AD47" i="51"/>
  <c r="AK47" i="51"/>
  <c r="DN47" i="51" a="1"/>
  <c r="AD48" i="51"/>
  <c r="AK48" i="51"/>
  <c r="DN48" i="51" a="1"/>
  <c r="AD49" i="51"/>
  <c r="AK49" i="51"/>
  <c r="DN49" i="51" a="1"/>
  <c r="AD50" i="51"/>
  <c r="AK50" i="51"/>
  <c r="DN50" i="51" a="1"/>
  <c r="AD51" i="51"/>
  <c r="AK51" i="51"/>
  <c r="DN51" i="51" a="1"/>
  <c r="AD52" i="51"/>
  <c r="AK52" i="51"/>
  <c r="DN52" i="51" a="1"/>
  <c r="AD53" i="51"/>
  <c r="AK53" i="51"/>
  <c r="DN53" i="51" a="1"/>
  <c r="AD54" i="51"/>
  <c r="AK54" i="51"/>
  <c r="DN54" i="51" a="1"/>
  <c r="AD55" i="51"/>
  <c r="AK55" i="51"/>
  <c r="DN55" i="51" a="1"/>
  <c r="AD56" i="51"/>
  <c r="AK56" i="51"/>
  <c r="DN56" i="51" a="1"/>
  <c r="AD57" i="51"/>
  <c r="AK57" i="51"/>
  <c r="DN57" i="51" a="1"/>
  <c r="AD58" i="51"/>
  <c r="AK58" i="51"/>
  <c r="DN58" i="51" a="1"/>
  <c r="AD59" i="51"/>
  <c r="AK59" i="51"/>
  <c r="DN59" i="51" a="1"/>
  <c r="AD60" i="51"/>
  <c r="AK60" i="51"/>
  <c r="DN60" i="51" a="1"/>
  <c r="AD61" i="51"/>
  <c r="AK61" i="51"/>
  <c r="DN61" i="51" a="1"/>
  <c r="AD62" i="51"/>
  <c r="AK62" i="51"/>
  <c r="DN62" i="51" a="1"/>
  <c r="AD63" i="51"/>
  <c r="AK63" i="51"/>
  <c r="DN63" i="51" a="1"/>
  <c r="AD64" i="51"/>
  <c r="AK64" i="51"/>
  <c r="DN64" i="51" a="1"/>
  <c r="DN32" i="51"/>
  <c r="DN33" i="51"/>
  <c r="DN34" i="51"/>
  <c r="DN35" i="51"/>
  <c r="DN36" i="51"/>
  <c r="DN37" i="51"/>
  <c r="DN38" i="51"/>
  <c r="DN39" i="51"/>
  <c r="DN40" i="51"/>
  <c r="DN41" i="51"/>
  <c r="DN42" i="51"/>
  <c r="DN43" i="51"/>
  <c r="DN44" i="51"/>
  <c r="DN45" i="51"/>
  <c r="DN46" i="51"/>
  <c r="DN47" i="51"/>
  <c r="DN48" i="51"/>
  <c r="DN49" i="51"/>
  <c r="DN50" i="51"/>
  <c r="DN51" i="51"/>
  <c r="DN52" i="51"/>
  <c r="DN53" i="51"/>
  <c r="DN54" i="51"/>
  <c r="DN55" i="51"/>
  <c r="DN56" i="51"/>
  <c r="DN57" i="51"/>
  <c r="DN58" i="51"/>
  <c r="DN59" i="51"/>
  <c r="DN60" i="51"/>
  <c r="DN61" i="51"/>
  <c r="DN62" i="51"/>
  <c r="DN63" i="51"/>
  <c r="DN64" i="51"/>
  <c r="DN68" i="51"/>
  <c r="BZ71" i="51"/>
  <c r="BY27" i="51"/>
  <c r="BY30" i="51" a="1"/>
  <c r="BY30" i="51"/>
  <c r="BY31" i="51" a="1"/>
  <c r="BY31" i="51"/>
  <c r="BY32" i="51" a="1"/>
  <c r="BY33" i="51" a="1"/>
  <c r="BY34" i="51" a="1"/>
  <c r="BY35" i="51" a="1"/>
  <c r="BY36" i="51" a="1"/>
  <c r="BY37" i="51" a="1"/>
  <c r="BY38" i="51" a="1"/>
  <c r="BY39" i="51" a="1"/>
  <c r="BY40" i="51" a="1"/>
  <c r="BY41" i="51" a="1"/>
  <c r="BY42" i="51" a="1"/>
  <c r="BY43" i="51" a="1"/>
  <c r="BY44" i="51" a="1"/>
  <c r="BY45" i="51" a="1"/>
  <c r="BY46" i="51" a="1"/>
  <c r="BY47" i="51" a="1"/>
  <c r="BY48" i="51" a="1"/>
  <c r="BY49" i="51" a="1"/>
  <c r="BY50" i="51" a="1"/>
  <c r="BY51" i="51" a="1"/>
  <c r="BY52" i="51" a="1"/>
  <c r="BY53" i="51" a="1"/>
  <c r="BY54" i="51" a="1"/>
  <c r="BY55" i="51" a="1"/>
  <c r="BY56" i="51" a="1"/>
  <c r="BY57" i="51" a="1"/>
  <c r="BY58" i="51" a="1"/>
  <c r="BY59" i="51" a="1"/>
  <c r="BY60" i="51" a="1"/>
  <c r="BY61" i="51" a="1"/>
  <c r="BY62" i="51" a="1"/>
  <c r="BY63" i="51" a="1"/>
  <c r="BY64" i="51" a="1"/>
  <c r="BY32" i="51"/>
  <c r="BY33" i="51"/>
  <c r="BY34" i="51"/>
  <c r="BY35" i="51"/>
  <c r="BY36" i="51"/>
  <c r="BY37" i="51"/>
  <c r="BY38" i="51"/>
  <c r="BY39" i="51"/>
  <c r="BY40" i="51"/>
  <c r="BY41" i="51"/>
  <c r="BY42" i="51"/>
  <c r="BY43" i="51"/>
  <c r="BY44" i="51"/>
  <c r="BY45" i="51"/>
  <c r="BY46" i="51"/>
  <c r="BY47" i="51"/>
  <c r="BY48" i="51"/>
  <c r="BY49" i="51"/>
  <c r="BY50" i="51"/>
  <c r="BY51" i="51"/>
  <c r="BY52" i="51"/>
  <c r="BY53" i="51"/>
  <c r="BY54" i="51"/>
  <c r="BY55" i="51"/>
  <c r="BY56" i="51"/>
  <c r="BY57" i="51"/>
  <c r="BY58" i="51"/>
  <c r="BY59" i="51"/>
  <c r="BY60" i="51"/>
  <c r="BY61" i="51"/>
  <c r="BY62" i="51"/>
  <c r="BY63" i="51"/>
  <c r="BY64" i="51"/>
  <c r="BY68" i="51"/>
  <c r="CM27" i="51"/>
  <c r="CM30" i="51" a="1"/>
  <c r="CM30" i="51"/>
  <c r="CM31" i="51" a="1"/>
  <c r="CM31" i="51"/>
  <c r="CM32" i="51" a="1"/>
  <c r="CM33" i="51" a="1"/>
  <c r="CM34" i="51" a="1"/>
  <c r="CM35" i="51" a="1"/>
  <c r="CM36" i="51" a="1"/>
  <c r="CM37" i="51" a="1"/>
  <c r="CM38" i="51" a="1"/>
  <c r="CM39" i="51" a="1"/>
  <c r="CM40" i="51" a="1"/>
  <c r="CM41" i="51" a="1"/>
  <c r="CM42" i="51" a="1"/>
  <c r="CM43" i="51" a="1"/>
  <c r="CM44" i="51" a="1"/>
  <c r="CM45" i="51" a="1"/>
  <c r="CM46" i="51" a="1"/>
  <c r="CM47" i="51" a="1"/>
  <c r="CM48" i="51" a="1"/>
  <c r="CM49" i="51" a="1"/>
  <c r="CM50" i="51" a="1"/>
  <c r="CM51" i="51" a="1"/>
  <c r="CM52" i="51" a="1"/>
  <c r="CM53" i="51" a="1"/>
  <c r="CM54" i="51" a="1"/>
  <c r="CM55" i="51" a="1"/>
  <c r="CM56" i="51" a="1"/>
  <c r="CM57" i="51" a="1"/>
  <c r="CM58" i="51" a="1"/>
  <c r="CM59" i="51" a="1"/>
  <c r="CM60" i="51" a="1"/>
  <c r="CM61" i="51" a="1"/>
  <c r="CM62" i="51" a="1"/>
  <c r="CM63" i="51" a="1"/>
  <c r="CM64" i="51" a="1"/>
  <c r="CM32" i="51"/>
  <c r="CM33" i="51"/>
  <c r="CM34" i="51"/>
  <c r="CM35" i="51"/>
  <c r="CM36" i="51"/>
  <c r="CM37" i="51"/>
  <c r="CM38" i="51"/>
  <c r="CM39" i="51"/>
  <c r="CM40" i="51"/>
  <c r="CM41" i="51"/>
  <c r="CM42" i="51"/>
  <c r="CM43" i="51"/>
  <c r="CM44" i="51"/>
  <c r="CM45" i="51"/>
  <c r="CM46" i="51"/>
  <c r="CM47" i="51"/>
  <c r="CM48" i="51"/>
  <c r="CM49" i="51"/>
  <c r="CM50" i="51"/>
  <c r="CM51" i="51"/>
  <c r="CM52" i="51"/>
  <c r="CM53" i="51"/>
  <c r="CM54" i="51"/>
  <c r="CM55" i="51"/>
  <c r="CM56" i="51"/>
  <c r="CM57" i="51"/>
  <c r="CM58" i="51"/>
  <c r="CM59" i="51"/>
  <c r="CM60" i="51"/>
  <c r="CM61" i="51"/>
  <c r="CM62" i="51"/>
  <c r="CM63" i="51"/>
  <c r="CM64" i="51"/>
  <c r="CM68" i="51"/>
  <c r="CY30" i="51" a="1"/>
  <c r="CY30" i="51"/>
  <c r="CY31" i="51" a="1"/>
  <c r="CY31" i="51"/>
  <c r="CY32" i="51" a="1"/>
  <c r="CY33" i="51" a="1"/>
  <c r="CY34" i="51" a="1"/>
  <c r="CY35" i="51" a="1"/>
  <c r="CY36" i="51" a="1"/>
  <c r="CY37" i="51" a="1"/>
  <c r="CY38" i="51" a="1"/>
  <c r="CY39" i="51" a="1"/>
  <c r="CY40" i="51" a="1"/>
  <c r="CY41" i="51" a="1"/>
  <c r="CY42" i="51" a="1"/>
  <c r="CY43" i="51" a="1"/>
  <c r="CY44" i="51" a="1"/>
  <c r="CY45" i="51" a="1"/>
  <c r="CY46" i="51" a="1"/>
  <c r="CY47" i="51" a="1"/>
  <c r="CY48" i="51" a="1"/>
  <c r="CY49" i="51" a="1"/>
  <c r="CY50" i="51" a="1"/>
  <c r="CY51" i="51" a="1"/>
  <c r="CY52" i="51" a="1"/>
  <c r="CY53" i="51" a="1"/>
  <c r="CY54" i="51" a="1"/>
  <c r="CY55" i="51" a="1"/>
  <c r="CY56" i="51" a="1"/>
  <c r="CY57" i="51" a="1"/>
  <c r="CY58" i="51" a="1"/>
  <c r="CY59" i="51" a="1"/>
  <c r="CY60" i="51" a="1"/>
  <c r="CY61" i="51" a="1"/>
  <c r="CY62" i="51" a="1"/>
  <c r="CY63" i="51" a="1"/>
  <c r="CY64" i="51" a="1"/>
  <c r="CY32" i="51"/>
  <c r="CY33" i="51"/>
  <c r="CY34" i="51"/>
  <c r="CY35" i="51"/>
  <c r="CY36" i="51"/>
  <c r="CY37" i="51"/>
  <c r="CY38" i="51"/>
  <c r="CY39" i="51"/>
  <c r="CY40" i="51"/>
  <c r="CY41" i="51"/>
  <c r="CY42" i="51"/>
  <c r="CY43" i="51"/>
  <c r="CY44" i="51"/>
  <c r="CY45" i="51"/>
  <c r="CY46" i="51"/>
  <c r="CY47" i="51"/>
  <c r="CY48" i="51"/>
  <c r="CY49" i="51"/>
  <c r="CY50" i="51"/>
  <c r="CY51" i="51"/>
  <c r="CY52" i="51"/>
  <c r="CY53" i="51"/>
  <c r="CY54" i="51"/>
  <c r="CY55" i="51"/>
  <c r="CY56" i="51"/>
  <c r="CY57" i="51"/>
  <c r="CY58" i="51"/>
  <c r="CY59" i="51"/>
  <c r="CY60" i="51"/>
  <c r="CY61" i="51"/>
  <c r="CY62" i="51"/>
  <c r="CY63" i="51"/>
  <c r="CY64" i="51"/>
  <c r="CY68" i="51"/>
  <c r="DM30" i="51" a="1"/>
  <c r="DM30" i="51"/>
  <c r="DM31" i="51" a="1"/>
  <c r="DM31" i="51"/>
  <c r="DM32" i="51" a="1"/>
  <c r="DM33" i="51" a="1"/>
  <c r="DM34" i="51" a="1"/>
  <c r="DM35" i="51" a="1"/>
  <c r="DM36" i="51" a="1"/>
  <c r="DM37" i="51" a="1"/>
  <c r="DM38" i="51" a="1"/>
  <c r="DM39" i="51" a="1"/>
  <c r="DM40" i="51" a="1"/>
  <c r="DM41" i="51" a="1"/>
  <c r="DM42" i="51" a="1"/>
  <c r="DM43" i="51" a="1"/>
  <c r="DM44" i="51" a="1"/>
  <c r="DM45" i="51" a="1"/>
  <c r="DM46" i="51" a="1"/>
  <c r="DM47" i="51" a="1"/>
  <c r="DM48" i="51" a="1"/>
  <c r="DM49" i="51" a="1"/>
  <c r="DM50" i="51" a="1"/>
  <c r="DM51" i="51" a="1"/>
  <c r="DM52" i="51" a="1"/>
  <c r="DM53" i="51" a="1"/>
  <c r="DM54" i="51" a="1"/>
  <c r="DM55" i="51" a="1"/>
  <c r="DM56" i="51" a="1"/>
  <c r="DM57" i="51" a="1"/>
  <c r="DM58" i="51" a="1"/>
  <c r="DM59" i="51" a="1"/>
  <c r="DM60" i="51" a="1"/>
  <c r="DM61" i="51" a="1"/>
  <c r="DM62" i="51" a="1"/>
  <c r="DM63" i="51" a="1"/>
  <c r="DM64" i="51" a="1"/>
  <c r="DM32" i="51"/>
  <c r="DM33" i="51"/>
  <c r="DM34" i="51"/>
  <c r="DM35" i="51"/>
  <c r="DM36" i="51"/>
  <c r="DM37" i="51"/>
  <c r="DM38" i="51"/>
  <c r="DM39" i="51"/>
  <c r="DM40" i="51"/>
  <c r="DM41" i="51"/>
  <c r="DM42" i="51"/>
  <c r="DM43" i="51"/>
  <c r="DM44" i="51"/>
  <c r="DM45" i="51"/>
  <c r="DM46" i="51"/>
  <c r="DM47" i="51"/>
  <c r="DM48" i="51"/>
  <c r="DM49" i="51"/>
  <c r="DM50" i="51"/>
  <c r="DM51" i="51"/>
  <c r="DM52" i="51"/>
  <c r="DM53" i="51"/>
  <c r="DM54" i="51"/>
  <c r="DM55" i="51"/>
  <c r="DM56" i="51"/>
  <c r="DM57" i="51"/>
  <c r="DM58" i="51"/>
  <c r="DM59" i="51"/>
  <c r="DM60" i="51"/>
  <c r="DM61" i="51"/>
  <c r="DM62" i="51"/>
  <c r="DM63" i="51"/>
  <c r="DM64" i="51"/>
  <c r="DM68" i="51"/>
  <c r="BY71" i="51"/>
  <c r="BX27" i="51"/>
  <c r="BX30" i="51" a="1"/>
  <c r="BX30" i="51"/>
  <c r="BX31" i="51" a="1"/>
  <c r="BX31" i="51"/>
  <c r="BX32" i="51" a="1"/>
  <c r="BX33" i="51" a="1"/>
  <c r="BX34" i="51" a="1"/>
  <c r="BX35" i="51" a="1"/>
  <c r="BX36" i="51" a="1"/>
  <c r="BX37" i="51" a="1"/>
  <c r="BX38" i="51" a="1"/>
  <c r="BX39" i="51" a="1"/>
  <c r="BX40" i="51" a="1"/>
  <c r="BX41" i="51" a="1"/>
  <c r="BX42" i="51" a="1"/>
  <c r="BX43" i="51" a="1"/>
  <c r="BX44" i="51" a="1"/>
  <c r="BX45" i="51" a="1"/>
  <c r="BX46" i="51" a="1"/>
  <c r="BX47" i="51" a="1"/>
  <c r="BX48" i="51" a="1"/>
  <c r="BX49" i="51" a="1"/>
  <c r="BX50" i="51" a="1"/>
  <c r="BX51" i="51" a="1"/>
  <c r="BX52" i="51" a="1"/>
  <c r="BX53" i="51" a="1"/>
  <c r="BX54" i="51" a="1"/>
  <c r="BX55" i="51" a="1"/>
  <c r="BX56" i="51" a="1"/>
  <c r="BX57" i="51" a="1"/>
  <c r="BX58" i="51" a="1"/>
  <c r="BX59" i="51" a="1"/>
  <c r="BX60" i="51" a="1"/>
  <c r="BX61" i="51" a="1"/>
  <c r="BX62" i="51" a="1"/>
  <c r="BX63" i="51" a="1"/>
  <c r="BX64" i="51" a="1"/>
  <c r="BX32" i="51"/>
  <c r="BX33" i="51"/>
  <c r="BX34" i="51"/>
  <c r="BX35" i="51"/>
  <c r="BX36" i="51"/>
  <c r="BX37" i="51"/>
  <c r="BX38" i="51"/>
  <c r="BX39" i="51"/>
  <c r="BX40" i="51"/>
  <c r="BX41" i="51"/>
  <c r="BX42" i="51"/>
  <c r="BX43" i="51"/>
  <c r="BX44" i="51"/>
  <c r="BX45" i="51"/>
  <c r="BX46" i="51"/>
  <c r="BX47" i="51"/>
  <c r="BX48" i="51"/>
  <c r="BX49" i="51"/>
  <c r="BX50" i="51"/>
  <c r="BX51" i="51"/>
  <c r="BX52" i="51"/>
  <c r="BX53" i="51"/>
  <c r="BX54" i="51"/>
  <c r="BX55" i="51"/>
  <c r="BX56" i="51"/>
  <c r="BX57" i="51"/>
  <c r="BX58" i="51"/>
  <c r="BX59" i="51"/>
  <c r="BX60" i="51"/>
  <c r="BX61" i="51"/>
  <c r="BX62" i="51"/>
  <c r="BX63" i="51"/>
  <c r="BX64" i="51"/>
  <c r="BX68" i="51"/>
  <c r="CX30" i="51" a="1"/>
  <c r="CX30" i="51"/>
  <c r="CX31" i="51" a="1"/>
  <c r="CX31" i="51"/>
  <c r="CX32" i="51" a="1"/>
  <c r="CX33" i="51" a="1"/>
  <c r="CX34" i="51" a="1"/>
  <c r="CX35" i="51" a="1"/>
  <c r="CX36" i="51" a="1"/>
  <c r="CX37" i="51" a="1"/>
  <c r="CX38" i="51" a="1"/>
  <c r="CX39" i="51" a="1"/>
  <c r="CX40" i="51" a="1"/>
  <c r="CX41" i="51" a="1"/>
  <c r="CX42" i="51" a="1"/>
  <c r="CX43" i="51" a="1"/>
  <c r="CX44" i="51" a="1"/>
  <c r="CX45" i="51" a="1"/>
  <c r="CX46" i="51" a="1"/>
  <c r="CX47" i="51" a="1"/>
  <c r="CX48" i="51" a="1"/>
  <c r="CX49" i="51" a="1"/>
  <c r="CX50" i="51" a="1"/>
  <c r="CX51" i="51" a="1"/>
  <c r="CX52" i="51" a="1"/>
  <c r="CX53" i="51" a="1"/>
  <c r="CX54" i="51" a="1"/>
  <c r="CX55" i="51" a="1"/>
  <c r="CX56" i="51" a="1"/>
  <c r="CX57" i="51" a="1"/>
  <c r="CX58" i="51" a="1"/>
  <c r="CX59" i="51" a="1"/>
  <c r="CX60" i="51" a="1"/>
  <c r="CX61" i="51" a="1"/>
  <c r="CX62" i="51" a="1"/>
  <c r="CX63" i="51" a="1"/>
  <c r="CX64" i="51" a="1"/>
  <c r="CX32" i="51"/>
  <c r="CX33" i="51"/>
  <c r="CX34" i="51"/>
  <c r="CX35" i="51"/>
  <c r="CX36" i="51"/>
  <c r="CX37" i="51"/>
  <c r="CX38" i="51"/>
  <c r="CX39" i="51"/>
  <c r="CX40" i="51"/>
  <c r="CX41" i="51"/>
  <c r="CX42" i="51"/>
  <c r="CX43" i="51"/>
  <c r="CX44" i="51"/>
  <c r="CX45" i="51"/>
  <c r="CX46" i="51"/>
  <c r="CX47" i="51"/>
  <c r="CX48" i="51"/>
  <c r="CX49" i="51"/>
  <c r="CX50" i="51"/>
  <c r="CX51" i="51"/>
  <c r="CX52" i="51"/>
  <c r="CX53" i="51"/>
  <c r="CX54" i="51"/>
  <c r="CX55" i="51"/>
  <c r="CX56" i="51"/>
  <c r="CX57" i="51"/>
  <c r="CX58" i="51"/>
  <c r="CX59" i="51"/>
  <c r="CX60" i="51"/>
  <c r="CX61" i="51"/>
  <c r="CX62" i="51"/>
  <c r="CX63" i="51"/>
  <c r="CX64" i="51"/>
  <c r="CX68" i="51"/>
  <c r="DL30" i="51" a="1"/>
  <c r="DL30" i="51"/>
  <c r="DL31" i="51" a="1"/>
  <c r="DL31" i="51"/>
  <c r="DL32" i="51" a="1"/>
  <c r="DL33" i="51" a="1"/>
  <c r="DL34" i="51" a="1"/>
  <c r="DL35" i="51" a="1"/>
  <c r="DL36" i="51" a="1"/>
  <c r="DL37" i="51" a="1"/>
  <c r="DL38" i="51" a="1"/>
  <c r="DL39" i="51" a="1"/>
  <c r="DL40" i="51" a="1"/>
  <c r="DL41" i="51" a="1"/>
  <c r="DL42" i="51" a="1"/>
  <c r="DL43" i="51" a="1"/>
  <c r="DL44" i="51" a="1"/>
  <c r="DL45" i="51" a="1"/>
  <c r="DL46" i="51" a="1"/>
  <c r="DL47" i="51" a="1"/>
  <c r="DL48" i="51" a="1"/>
  <c r="DL49" i="51" a="1"/>
  <c r="DL50" i="51" a="1"/>
  <c r="DL51" i="51" a="1"/>
  <c r="DL52" i="51" a="1"/>
  <c r="DL53" i="51" a="1"/>
  <c r="DL54" i="51" a="1"/>
  <c r="DL55" i="51" a="1"/>
  <c r="DL56" i="51" a="1"/>
  <c r="DL57" i="51" a="1"/>
  <c r="DL58" i="51" a="1"/>
  <c r="DL59" i="51" a="1"/>
  <c r="DL60" i="51" a="1"/>
  <c r="DL61" i="51" a="1"/>
  <c r="DL62" i="51" a="1"/>
  <c r="DL63" i="51" a="1"/>
  <c r="DL64" i="51" a="1"/>
  <c r="DL32" i="51"/>
  <c r="DL33" i="51"/>
  <c r="DL34" i="51"/>
  <c r="DL35" i="51"/>
  <c r="DL36" i="51"/>
  <c r="DL37" i="51"/>
  <c r="DL38" i="51"/>
  <c r="DL39" i="51"/>
  <c r="DL40" i="51"/>
  <c r="DL41" i="51"/>
  <c r="DL42" i="51"/>
  <c r="DL43" i="51"/>
  <c r="DL44" i="51"/>
  <c r="DL45" i="51"/>
  <c r="DL46" i="51"/>
  <c r="DL47" i="51"/>
  <c r="DL48" i="51"/>
  <c r="DL49" i="51"/>
  <c r="DL50" i="51"/>
  <c r="DL51" i="51"/>
  <c r="DL52" i="51"/>
  <c r="DL53" i="51"/>
  <c r="DL54" i="51"/>
  <c r="DL55" i="51"/>
  <c r="DL56" i="51"/>
  <c r="DL57" i="51"/>
  <c r="DL58" i="51"/>
  <c r="DL59" i="51"/>
  <c r="DL60" i="51"/>
  <c r="DL61" i="51"/>
  <c r="DL62" i="51"/>
  <c r="DL63" i="51"/>
  <c r="DL64" i="51"/>
  <c r="DL68" i="51"/>
  <c r="BX71" i="51"/>
  <c r="BW27" i="51"/>
  <c r="BW30" i="51" a="1"/>
  <c r="BW30" i="51"/>
  <c r="BW31" i="51" a="1"/>
  <c r="BW31" i="51"/>
  <c r="BW32" i="51" a="1"/>
  <c r="BW33" i="51" a="1"/>
  <c r="BW34" i="51" a="1"/>
  <c r="BW35" i="51" a="1"/>
  <c r="BW36" i="51" a="1"/>
  <c r="BW37" i="51" a="1"/>
  <c r="BW38" i="51" a="1"/>
  <c r="BW39" i="51" a="1"/>
  <c r="BW40" i="51" a="1"/>
  <c r="BW41" i="51" a="1"/>
  <c r="BW42" i="51" a="1"/>
  <c r="BW43" i="51" a="1"/>
  <c r="BW44" i="51" a="1"/>
  <c r="BW45" i="51" a="1"/>
  <c r="BW46" i="51" a="1"/>
  <c r="BW47" i="51" a="1"/>
  <c r="BW48" i="51" a="1"/>
  <c r="BW49" i="51" a="1"/>
  <c r="BW50" i="51" a="1"/>
  <c r="BW51" i="51" a="1"/>
  <c r="BW52" i="51" a="1"/>
  <c r="BW53" i="51" a="1"/>
  <c r="BW54" i="51" a="1"/>
  <c r="BW55" i="51" a="1"/>
  <c r="BW56" i="51" a="1"/>
  <c r="BW57" i="51" a="1"/>
  <c r="BW58" i="51" a="1"/>
  <c r="BW59" i="51" a="1"/>
  <c r="BW60" i="51" a="1"/>
  <c r="BW61" i="51" a="1"/>
  <c r="BW62" i="51" a="1"/>
  <c r="BW63" i="51" a="1"/>
  <c r="BW64" i="51" a="1"/>
  <c r="BW32" i="51"/>
  <c r="BW33" i="51"/>
  <c r="BW34" i="51"/>
  <c r="BW35" i="51"/>
  <c r="BW36" i="51"/>
  <c r="BW37" i="51"/>
  <c r="BW38" i="51"/>
  <c r="BW39" i="51"/>
  <c r="BW40" i="51"/>
  <c r="BW41" i="51"/>
  <c r="BW42" i="51"/>
  <c r="BW43" i="51"/>
  <c r="BW44" i="51"/>
  <c r="BW45" i="51"/>
  <c r="BW46" i="51"/>
  <c r="BW47" i="51"/>
  <c r="BW48" i="51"/>
  <c r="BW49" i="51"/>
  <c r="BW50" i="51"/>
  <c r="BW51" i="51"/>
  <c r="BW52" i="51"/>
  <c r="BW53" i="51"/>
  <c r="BW54" i="51"/>
  <c r="BW55" i="51"/>
  <c r="BW56" i="51"/>
  <c r="BW57" i="51"/>
  <c r="BW58" i="51"/>
  <c r="BW59" i="51"/>
  <c r="BW60" i="51"/>
  <c r="BW61" i="51"/>
  <c r="BW62" i="51"/>
  <c r="BW63" i="51"/>
  <c r="BW64" i="51"/>
  <c r="BW68" i="51"/>
  <c r="CK27" i="51"/>
  <c r="CK30" i="51" a="1"/>
  <c r="CK30" i="51"/>
  <c r="CK31" i="51" a="1"/>
  <c r="CK31" i="51"/>
  <c r="CK32" i="51" a="1"/>
  <c r="CK33" i="51" a="1"/>
  <c r="CK34" i="51" a="1"/>
  <c r="CK35" i="51" a="1"/>
  <c r="CK36" i="51" a="1"/>
  <c r="CK37" i="51" a="1"/>
  <c r="CK38" i="51" a="1"/>
  <c r="CK39" i="51" a="1"/>
  <c r="CK40" i="51" a="1"/>
  <c r="CK41" i="51" a="1"/>
  <c r="CK42" i="51" a="1"/>
  <c r="CK43" i="51" a="1"/>
  <c r="CK44" i="51" a="1"/>
  <c r="CK45" i="51" a="1"/>
  <c r="CK46" i="51" a="1"/>
  <c r="CK47" i="51" a="1"/>
  <c r="CK48" i="51" a="1"/>
  <c r="CK49" i="51" a="1"/>
  <c r="CK50" i="51" a="1"/>
  <c r="CK51" i="51" a="1"/>
  <c r="CK52" i="51" a="1"/>
  <c r="CK53" i="51" a="1"/>
  <c r="CK54" i="51" a="1"/>
  <c r="CK55" i="51" a="1"/>
  <c r="CK56" i="51" a="1"/>
  <c r="CK57" i="51" a="1"/>
  <c r="CK58" i="51" a="1"/>
  <c r="CK59" i="51" a="1"/>
  <c r="CK60" i="51" a="1"/>
  <c r="CK61" i="51" a="1"/>
  <c r="CK62" i="51" a="1"/>
  <c r="CK63" i="51" a="1"/>
  <c r="CK64" i="51" a="1"/>
  <c r="CK32" i="51"/>
  <c r="CK33" i="51"/>
  <c r="CK34" i="51"/>
  <c r="CK35" i="51"/>
  <c r="CK36" i="51"/>
  <c r="CK37" i="51"/>
  <c r="CK38" i="51"/>
  <c r="CK39" i="51"/>
  <c r="CK40" i="51"/>
  <c r="CK41" i="51"/>
  <c r="CK42" i="51"/>
  <c r="CK43" i="51"/>
  <c r="CK44" i="51"/>
  <c r="CK45" i="51"/>
  <c r="CK46" i="51"/>
  <c r="CK47" i="51"/>
  <c r="CK48" i="51"/>
  <c r="CK49" i="51"/>
  <c r="CK50" i="51"/>
  <c r="CK51" i="51"/>
  <c r="CK52" i="51"/>
  <c r="CK53" i="51"/>
  <c r="CK54" i="51"/>
  <c r="CK55" i="51"/>
  <c r="CK56" i="51"/>
  <c r="CK57" i="51"/>
  <c r="CK58" i="51"/>
  <c r="CK59" i="51"/>
  <c r="CK60" i="51"/>
  <c r="CK61" i="51"/>
  <c r="CK62" i="51"/>
  <c r="CK63" i="51"/>
  <c r="CK64" i="51"/>
  <c r="CK68" i="51"/>
  <c r="CW27" i="51"/>
  <c r="CW30" i="51" a="1"/>
  <c r="CW30" i="51"/>
  <c r="CW31" i="51" a="1"/>
  <c r="CW31" i="51"/>
  <c r="CW32" i="51" a="1"/>
  <c r="CW33" i="51" a="1"/>
  <c r="CW34" i="51" a="1"/>
  <c r="CW35" i="51" a="1"/>
  <c r="CW36" i="51" a="1"/>
  <c r="CW37" i="51" a="1"/>
  <c r="CW38" i="51" a="1"/>
  <c r="CW39" i="51" a="1"/>
  <c r="CW40" i="51" a="1"/>
  <c r="CW41" i="51" a="1"/>
  <c r="CW42" i="51" a="1"/>
  <c r="CW43" i="51" a="1"/>
  <c r="CW44" i="51" a="1"/>
  <c r="CW45" i="51" a="1"/>
  <c r="CW46" i="51" a="1"/>
  <c r="CW47" i="51" a="1"/>
  <c r="CW48" i="51" a="1"/>
  <c r="CW49" i="51" a="1"/>
  <c r="CW50" i="51" a="1"/>
  <c r="CW51" i="51" a="1"/>
  <c r="CW52" i="51" a="1"/>
  <c r="CW53" i="51" a="1"/>
  <c r="CW54" i="51" a="1"/>
  <c r="CW55" i="51" a="1"/>
  <c r="CW56" i="51" a="1"/>
  <c r="CW57" i="51" a="1"/>
  <c r="CW58" i="51" a="1"/>
  <c r="CW59" i="51" a="1"/>
  <c r="CW60" i="51" a="1"/>
  <c r="CW61" i="51" a="1"/>
  <c r="CW62" i="51" a="1"/>
  <c r="CW63" i="51" a="1"/>
  <c r="CW64" i="51" a="1"/>
  <c r="CW32" i="51"/>
  <c r="CW33" i="51"/>
  <c r="CW34" i="51"/>
  <c r="CW35" i="51"/>
  <c r="CW36" i="51"/>
  <c r="CW37" i="51"/>
  <c r="CW38" i="51"/>
  <c r="CW39" i="51"/>
  <c r="CW40" i="51"/>
  <c r="CW41" i="51"/>
  <c r="CW42" i="51"/>
  <c r="CW43" i="51"/>
  <c r="CW44" i="51"/>
  <c r="CW45" i="51"/>
  <c r="CW46" i="51"/>
  <c r="CW47" i="51"/>
  <c r="CW48" i="51"/>
  <c r="CW49" i="51"/>
  <c r="CW50" i="51"/>
  <c r="CW51" i="51"/>
  <c r="CW52" i="51"/>
  <c r="CW53" i="51"/>
  <c r="CW54" i="51"/>
  <c r="CW55" i="51"/>
  <c r="CW56" i="51"/>
  <c r="CW57" i="51"/>
  <c r="CW58" i="51"/>
  <c r="CW59" i="51"/>
  <c r="CW60" i="51"/>
  <c r="CW61" i="51"/>
  <c r="CW62" i="51"/>
  <c r="CW63" i="51"/>
  <c r="CW64" i="51"/>
  <c r="CW68" i="51"/>
  <c r="DK27" i="51"/>
  <c r="DK30" i="51" a="1"/>
  <c r="DK30" i="51"/>
  <c r="DK31" i="51" a="1"/>
  <c r="DK31" i="51"/>
  <c r="DK32" i="51" a="1"/>
  <c r="DK33" i="51" a="1"/>
  <c r="DK34" i="51" a="1"/>
  <c r="DK35" i="51" a="1"/>
  <c r="DK36" i="51" a="1"/>
  <c r="DK37" i="51" a="1"/>
  <c r="DK38" i="51" a="1"/>
  <c r="DK39" i="51" a="1"/>
  <c r="DK40" i="51" a="1"/>
  <c r="DK41" i="51" a="1"/>
  <c r="DK42" i="51" a="1"/>
  <c r="DK43" i="51" a="1"/>
  <c r="DK44" i="51" a="1"/>
  <c r="DK45" i="51" a="1"/>
  <c r="DK46" i="51" a="1"/>
  <c r="DK47" i="51" a="1"/>
  <c r="DK48" i="51" a="1"/>
  <c r="DK49" i="51" a="1"/>
  <c r="DK50" i="51" a="1"/>
  <c r="DK51" i="51" a="1"/>
  <c r="DK52" i="51" a="1"/>
  <c r="DK53" i="51" a="1"/>
  <c r="DK54" i="51" a="1"/>
  <c r="DK55" i="51" a="1"/>
  <c r="DK56" i="51" a="1"/>
  <c r="DK57" i="51" a="1"/>
  <c r="DK58" i="51" a="1"/>
  <c r="DK59" i="51" a="1"/>
  <c r="DK60" i="51" a="1"/>
  <c r="DK61" i="51" a="1"/>
  <c r="DK62" i="51" a="1"/>
  <c r="DK63" i="51" a="1"/>
  <c r="DK64" i="51" a="1"/>
  <c r="DK32" i="51"/>
  <c r="DK33" i="51"/>
  <c r="DK34" i="51"/>
  <c r="DK35" i="51"/>
  <c r="DK36" i="51"/>
  <c r="DK37" i="51"/>
  <c r="DK38" i="51"/>
  <c r="DK39" i="51"/>
  <c r="DK40" i="51"/>
  <c r="DK41" i="51"/>
  <c r="DK42" i="51"/>
  <c r="DK43" i="51"/>
  <c r="DK44" i="51"/>
  <c r="DK45" i="51"/>
  <c r="DK46" i="51"/>
  <c r="DK47" i="51"/>
  <c r="DK48" i="51"/>
  <c r="DK49" i="51"/>
  <c r="DK50" i="51"/>
  <c r="DK51" i="51"/>
  <c r="DK52" i="51"/>
  <c r="DK53" i="51"/>
  <c r="DK54" i="51"/>
  <c r="DK55" i="51"/>
  <c r="DK56" i="51"/>
  <c r="DK57" i="51"/>
  <c r="DK58" i="51"/>
  <c r="DK59" i="51"/>
  <c r="DK60" i="51"/>
  <c r="DK61" i="51"/>
  <c r="DK62" i="51"/>
  <c r="DK63" i="51"/>
  <c r="DK64" i="51"/>
  <c r="DK68" i="51"/>
  <c r="BW71" i="51"/>
  <c r="BV27" i="51"/>
  <c r="BV30" i="51" a="1"/>
  <c r="BV30" i="51"/>
  <c r="BV31" i="51" a="1"/>
  <c r="BV31" i="51"/>
  <c r="BV32" i="51" a="1"/>
  <c r="BV33" i="51" a="1"/>
  <c r="BV34" i="51" a="1"/>
  <c r="BV35" i="51" a="1"/>
  <c r="BV36" i="51" a="1"/>
  <c r="BV37" i="51" a="1"/>
  <c r="BV38" i="51" a="1"/>
  <c r="BV39" i="51" a="1"/>
  <c r="BV40" i="51" a="1"/>
  <c r="BV41" i="51" a="1"/>
  <c r="BV42" i="51" a="1"/>
  <c r="BV43" i="51" a="1"/>
  <c r="BV44" i="51" a="1"/>
  <c r="BV45" i="51" a="1"/>
  <c r="BV46" i="51" a="1"/>
  <c r="BV47" i="51" a="1"/>
  <c r="BV48" i="51" a="1"/>
  <c r="BV49" i="51" a="1"/>
  <c r="BV50" i="51" a="1"/>
  <c r="BV51" i="51" a="1"/>
  <c r="BV52" i="51" a="1"/>
  <c r="BV53" i="51" a="1"/>
  <c r="BV54" i="51" a="1"/>
  <c r="BV55" i="51" a="1"/>
  <c r="BV56" i="51" a="1"/>
  <c r="BV57" i="51" a="1"/>
  <c r="BV58" i="51" a="1"/>
  <c r="BV59" i="51" a="1"/>
  <c r="BV60" i="51" a="1"/>
  <c r="BV61" i="51" a="1"/>
  <c r="BV62" i="51" a="1"/>
  <c r="BV63" i="51" a="1"/>
  <c r="BV64" i="51" a="1"/>
  <c r="BV32" i="51"/>
  <c r="BV33" i="51"/>
  <c r="BV34" i="51"/>
  <c r="BV35" i="51"/>
  <c r="BV36" i="51"/>
  <c r="BV37" i="51"/>
  <c r="BV38" i="51"/>
  <c r="BV39" i="51"/>
  <c r="BV40" i="51"/>
  <c r="BV41" i="51"/>
  <c r="BV42" i="51"/>
  <c r="BV43" i="51"/>
  <c r="BV44" i="51"/>
  <c r="BV45" i="51"/>
  <c r="BV46" i="51"/>
  <c r="BV47" i="51"/>
  <c r="BV48" i="51"/>
  <c r="BV49" i="51"/>
  <c r="BV50" i="51"/>
  <c r="BV51" i="51"/>
  <c r="BV52" i="51"/>
  <c r="BV53" i="51"/>
  <c r="BV54" i="51"/>
  <c r="BV55" i="51"/>
  <c r="BV56" i="51"/>
  <c r="BV57" i="51"/>
  <c r="BV58" i="51"/>
  <c r="BV59" i="51"/>
  <c r="BV60" i="51"/>
  <c r="BV61" i="51"/>
  <c r="BV62" i="51"/>
  <c r="BV63" i="51"/>
  <c r="BV64" i="51"/>
  <c r="BV68" i="51"/>
  <c r="CJ27" i="51"/>
  <c r="CJ30" i="51" a="1"/>
  <c r="CJ30" i="51"/>
  <c r="CJ31" i="51" a="1"/>
  <c r="CJ31" i="51"/>
  <c r="CJ32" i="51" a="1"/>
  <c r="CJ33" i="51" a="1"/>
  <c r="CJ34" i="51" a="1"/>
  <c r="CJ35" i="51" a="1"/>
  <c r="CJ36" i="51" a="1"/>
  <c r="CJ37" i="51" a="1"/>
  <c r="CJ38" i="51" a="1"/>
  <c r="CJ39" i="51" a="1"/>
  <c r="CJ40" i="51" a="1"/>
  <c r="CJ41" i="51" a="1"/>
  <c r="CJ42" i="51" a="1"/>
  <c r="CJ43" i="51" a="1"/>
  <c r="CJ44" i="51" a="1"/>
  <c r="CJ45" i="51" a="1"/>
  <c r="CJ46" i="51" a="1"/>
  <c r="CJ47" i="51" a="1"/>
  <c r="CJ48" i="51" a="1"/>
  <c r="CJ49" i="51" a="1"/>
  <c r="CJ50" i="51" a="1"/>
  <c r="CJ51" i="51" a="1"/>
  <c r="CJ52" i="51" a="1"/>
  <c r="CJ53" i="51" a="1"/>
  <c r="CJ54" i="51" a="1"/>
  <c r="CJ55" i="51" a="1"/>
  <c r="CJ56" i="51" a="1"/>
  <c r="CJ57" i="51" a="1"/>
  <c r="CJ58" i="51" a="1"/>
  <c r="CJ59" i="51" a="1"/>
  <c r="CJ60" i="51" a="1"/>
  <c r="CJ61" i="51" a="1"/>
  <c r="CJ62" i="51" a="1"/>
  <c r="CJ63" i="51" a="1"/>
  <c r="CJ64" i="51" a="1"/>
  <c r="CJ32" i="51"/>
  <c r="CJ33" i="51"/>
  <c r="CJ34" i="51"/>
  <c r="CJ35" i="51"/>
  <c r="CJ36" i="51"/>
  <c r="CJ37" i="51"/>
  <c r="CJ38" i="51"/>
  <c r="CJ39" i="51"/>
  <c r="CJ40" i="51"/>
  <c r="CJ41" i="51"/>
  <c r="CJ42" i="51"/>
  <c r="CJ43" i="51"/>
  <c r="CJ44" i="51"/>
  <c r="CJ45" i="51"/>
  <c r="CJ46" i="51"/>
  <c r="CJ47" i="51"/>
  <c r="CJ48" i="51"/>
  <c r="CJ49" i="51"/>
  <c r="CJ50" i="51"/>
  <c r="CJ51" i="51"/>
  <c r="CJ52" i="51"/>
  <c r="CJ53" i="51"/>
  <c r="CJ54" i="51"/>
  <c r="CJ55" i="51"/>
  <c r="CJ56" i="51"/>
  <c r="CJ57" i="51"/>
  <c r="CJ58" i="51"/>
  <c r="CJ59" i="51"/>
  <c r="CJ60" i="51"/>
  <c r="CJ61" i="51"/>
  <c r="CJ62" i="51"/>
  <c r="CJ63" i="51"/>
  <c r="CJ64" i="51"/>
  <c r="CJ68" i="51"/>
  <c r="CV27" i="51"/>
  <c r="CV30" i="51" a="1"/>
  <c r="CV30" i="51"/>
  <c r="CV31" i="51" a="1"/>
  <c r="CV31" i="51"/>
  <c r="CV32" i="51" a="1"/>
  <c r="CV33" i="51" a="1"/>
  <c r="CV34" i="51" a="1"/>
  <c r="CV35" i="51" a="1"/>
  <c r="CV36" i="51" a="1"/>
  <c r="CV37" i="51" a="1"/>
  <c r="CV38" i="51" a="1"/>
  <c r="CV39" i="51" a="1"/>
  <c r="CV40" i="51" a="1"/>
  <c r="CV41" i="51" a="1"/>
  <c r="CV42" i="51" a="1"/>
  <c r="CV43" i="51" a="1"/>
  <c r="CV44" i="51" a="1"/>
  <c r="CV45" i="51" a="1"/>
  <c r="CV46" i="51" a="1"/>
  <c r="CV47" i="51" a="1"/>
  <c r="CV48" i="51" a="1"/>
  <c r="CV49" i="51" a="1"/>
  <c r="CV50" i="51" a="1"/>
  <c r="CV51" i="51" a="1"/>
  <c r="CV52" i="51" a="1"/>
  <c r="CV53" i="51" a="1"/>
  <c r="CV54" i="51" a="1"/>
  <c r="CV55" i="51" a="1"/>
  <c r="CV56" i="51" a="1"/>
  <c r="CV57" i="51" a="1"/>
  <c r="CV58" i="51" a="1"/>
  <c r="CV59" i="51" a="1"/>
  <c r="CV60" i="51" a="1"/>
  <c r="CV61" i="51" a="1"/>
  <c r="CV62" i="51" a="1"/>
  <c r="CV63" i="51" a="1"/>
  <c r="CV64" i="51" a="1"/>
  <c r="CV32" i="51"/>
  <c r="CV33" i="51"/>
  <c r="CV34" i="51"/>
  <c r="CV35" i="51"/>
  <c r="CV36" i="51"/>
  <c r="CV37" i="51"/>
  <c r="CV38" i="51"/>
  <c r="CV39" i="51"/>
  <c r="CV40" i="51"/>
  <c r="CV41" i="51"/>
  <c r="CV42" i="51"/>
  <c r="CV43" i="51"/>
  <c r="CV44" i="51"/>
  <c r="CV45" i="51"/>
  <c r="CV46" i="51"/>
  <c r="CV47" i="51"/>
  <c r="CV48" i="51"/>
  <c r="CV49" i="51"/>
  <c r="CV50" i="51"/>
  <c r="CV51" i="51"/>
  <c r="CV52" i="51"/>
  <c r="CV53" i="51"/>
  <c r="CV54" i="51"/>
  <c r="CV55" i="51"/>
  <c r="CV56" i="51"/>
  <c r="CV57" i="51"/>
  <c r="CV58" i="51"/>
  <c r="CV59" i="51"/>
  <c r="CV60" i="51"/>
  <c r="CV61" i="51"/>
  <c r="CV62" i="51"/>
  <c r="CV63" i="51"/>
  <c r="CV64" i="51"/>
  <c r="CV68" i="51"/>
  <c r="DJ27" i="51"/>
  <c r="DJ30" i="51" a="1"/>
  <c r="DJ30" i="51"/>
  <c r="DJ31" i="51" a="1"/>
  <c r="DJ31" i="51"/>
  <c r="DJ32" i="51" a="1"/>
  <c r="DJ33" i="51" a="1"/>
  <c r="DJ34" i="51" a="1"/>
  <c r="DJ35" i="51" a="1"/>
  <c r="DJ36" i="51" a="1"/>
  <c r="DJ37" i="51" a="1"/>
  <c r="DJ38" i="51" a="1"/>
  <c r="DJ39" i="51" a="1"/>
  <c r="DJ40" i="51" a="1"/>
  <c r="DJ41" i="51" a="1"/>
  <c r="DJ42" i="51" a="1"/>
  <c r="DJ43" i="51" a="1"/>
  <c r="DJ44" i="51" a="1"/>
  <c r="DJ45" i="51" a="1"/>
  <c r="DJ46" i="51" a="1"/>
  <c r="DJ47" i="51" a="1"/>
  <c r="DJ48" i="51" a="1"/>
  <c r="DJ49" i="51" a="1"/>
  <c r="DJ50" i="51" a="1"/>
  <c r="DJ51" i="51" a="1"/>
  <c r="DJ52" i="51" a="1"/>
  <c r="DJ53" i="51" a="1"/>
  <c r="DJ54" i="51" a="1"/>
  <c r="DJ55" i="51" a="1"/>
  <c r="DJ56" i="51" a="1"/>
  <c r="DJ57" i="51" a="1"/>
  <c r="DJ58" i="51" a="1"/>
  <c r="DJ59" i="51" a="1"/>
  <c r="DJ60" i="51" a="1"/>
  <c r="DJ61" i="51" a="1"/>
  <c r="DJ62" i="51" a="1"/>
  <c r="DJ63" i="51" a="1"/>
  <c r="DJ64" i="51" a="1"/>
  <c r="DJ32" i="51"/>
  <c r="DJ33" i="51"/>
  <c r="DJ34" i="51"/>
  <c r="DJ35" i="51"/>
  <c r="DJ36" i="51"/>
  <c r="DJ37" i="51"/>
  <c r="DJ38" i="51"/>
  <c r="DJ39" i="51"/>
  <c r="DJ40" i="51"/>
  <c r="DJ41" i="51"/>
  <c r="DJ42" i="51"/>
  <c r="DJ43" i="51"/>
  <c r="DJ44" i="51"/>
  <c r="DJ45" i="51"/>
  <c r="DJ46" i="51"/>
  <c r="DJ47" i="51"/>
  <c r="DJ48" i="51"/>
  <c r="DJ49" i="51"/>
  <c r="DJ50" i="51"/>
  <c r="DJ51" i="51"/>
  <c r="DJ52" i="51"/>
  <c r="DJ53" i="51"/>
  <c r="DJ54" i="51"/>
  <c r="DJ55" i="51"/>
  <c r="DJ56" i="51"/>
  <c r="DJ57" i="51"/>
  <c r="DJ58" i="51"/>
  <c r="DJ59" i="51"/>
  <c r="DJ60" i="51"/>
  <c r="DJ61" i="51"/>
  <c r="DJ62" i="51"/>
  <c r="DJ63" i="51"/>
  <c r="DJ64" i="51"/>
  <c r="DJ68" i="51"/>
  <c r="BV71" i="51"/>
  <c r="BU27" i="51"/>
  <c r="BU30" i="51" a="1"/>
  <c r="BU30" i="51"/>
  <c r="BU31" i="51" a="1"/>
  <c r="BU31" i="51"/>
  <c r="BU32" i="51" a="1"/>
  <c r="BU33" i="51" a="1"/>
  <c r="BU34" i="51" a="1"/>
  <c r="BU35" i="51" a="1"/>
  <c r="BU36" i="51" a="1"/>
  <c r="BU37" i="51" a="1"/>
  <c r="BU38" i="51" a="1"/>
  <c r="BU39" i="51" a="1"/>
  <c r="BU40" i="51" a="1"/>
  <c r="BU41" i="51" a="1"/>
  <c r="BU42" i="51" a="1"/>
  <c r="BU43" i="51" a="1"/>
  <c r="BU44" i="51" a="1"/>
  <c r="BU45" i="51" a="1"/>
  <c r="BU46" i="51" a="1"/>
  <c r="BU47" i="51" a="1"/>
  <c r="BU48" i="51" a="1"/>
  <c r="BU49" i="51" a="1"/>
  <c r="BU50" i="51" a="1"/>
  <c r="BU51" i="51" a="1"/>
  <c r="BU52" i="51" a="1"/>
  <c r="BU53" i="51" a="1"/>
  <c r="BU54" i="51" a="1"/>
  <c r="BU55" i="51" a="1"/>
  <c r="BU56" i="51" a="1"/>
  <c r="BU57" i="51" a="1"/>
  <c r="BU58" i="51" a="1"/>
  <c r="BU59" i="51" a="1"/>
  <c r="BU60" i="51" a="1"/>
  <c r="BU61" i="51" a="1"/>
  <c r="BU62" i="51" a="1"/>
  <c r="BU63" i="51" a="1"/>
  <c r="BU64" i="51" a="1"/>
  <c r="BU32" i="51"/>
  <c r="BU33" i="51"/>
  <c r="BU34" i="51"/>
  <c r="BU35" i="51"/>
  <c r="BU36" i="51"/>
  <c r="BU37" i="51"/>
  <c r="BU38" i="51"/>
  <c r="BU39" i="51"/>
  <c r="BU40" i="51"/>
  <c r="BU41" i="51"/>
  <c r="BU42" i="51"/>
  <c r="BU43" i="51"/>
  <c r="BU44" i="51"/>
  <c r="BU45" i="51"/>
  <c r="BU46" i="51"/>
  <c r="BU47" i="51"/>
  <c r="BU48" i="51"/>
  <c r="BU49" i="51"/>
  <c r="BU50" i="51"/>
  <c r="BU51" i="51"/>
  <c r="BU52" i="51"/>
  <c r="BU53" i="51"/>
  <c r="BU54" i="51"/>
  <c r="BU55" i="51"/>
  <c r="BU56" i="51"/>
  <c r="BU57" i="51"/>
  <c r="BU58" i="51"/>
  <c r="BU59" i="51"/>
  <c r="BU60" i="51"/>
  <c r="BU61" i="51"/>
  <c r="BU62" i="51"/>
  <c r="BU63" i="51"/>
  <c r="BU64" i="51"/>
  <c r="BU68" i="51"/>
  <c r="CI27" i="51"/>
  <c r="CI30" i="51" a="1"/>
  <c r="CI30" i="51"/>
  <c r="CI31" i="51" a="1"/>
  <c r="CI31" i="51"/>
  <c r="CI32" i="51" a="1"/>
  <c r="CI33" i="51" a="1"/>
  <c r="CI34" i="51" a="1"/>
  <c r="CI35" i="51" a="1"/>
  <c r="CI36" i="51" a="1"/>
  <c r="CI37" i="51" a="1"/>
  <c r="CI38" i="51" a="1"/>
  <c r="CI39" i="51" a="1"/>
  <c r="CI40" i="51" a="1"/>
  <c r="CI41" i="51" a="1"/>
  <c r="CI42" i="51" a="1"/>
  <c r="CI43" i="51" a="1"/>
  <c r="CI44" i="51" a="1"/>
  <c r="CI45" i="51" a="1"/>
  <c r="CI46" i="51" a="1"/>
  <c r="CI47" i="51" a="1"/>
  <c r="CI48" i="51" a="1"/>
  <c r="CI49" i="51" a="1"/>
  <c r="CI50" i="51" a="1"/>
  <c r="CI51" i="51" a="1"/>
  <c r="CI52" i="51" a="1"/>
  <c r="CI53" i="51" a="1"/>
  <c r="CI54" i="51" a="1"/>
  <c r="CI55" i="51" a="1"/>
  <c r="CI56" i="51" a="1"/>
  <c r="CI57" i="51" a="1"/>
  <c r="CI58" i="51" a="1"/>
  <c r="CI59" i="51" a="1"/>
  <c r="CI60" i="51" a="1"/>
  <c r="CI61" i="51" a="1"/>
  <c r="CI62" i="51" a="1"/>
  <c r="CI63" i="51" a="1"/>
  <c r="CI64" i="51" a="1"/>
  <c r="CI32" i="51"/>
  <c r="CI33" i="51"/>
  <c r="CI34" i="51"/>
  <c r="CI35" i="51"/>
  <c r="CI36" i="51"/>
  <c r="CI37" i="51"/>
  <c r="CI38" i="51"/>
  <c r="CI39" i="51"/>
  <c r="CI40" i="51"/>
  <c r="CI41" i="51"/>
  <c r="CI42" i="51"/>
  <c r="CI43" i="51"/>
  <c r="CI44" i="51"/>
  <c r="CI45" i="51"/>
  <c r="CI46" i="51"/>
  <c r="CI47" i="51"/>
  <c r="CI48" i="51"/>
  <c r="CI49" i="51"/>
  <c r="CI50" i="51"/>
  <c r="CI51" i="51"/>
  <c r="CI52" i="51"/>
  <c r="CI53" i="51"/>
  <c r="CI54" i="51"/>
  <c r="CI55" i="51"/>
  <c r="CI56" i="51"/>
  <c r="CI57" i="51"/>
  <c r="CI58" i="51"/>
  <c r="CI59" i="51"/>
  <c r="CI60" i="51"/>
  <c r="CI61" i="51"/>
  <c r="CI62" i="51"/>
  <c r="CI63" i="51"/>
  <c r="CI64" i="51"/>
  <c r="CI68" i="51"/>
  <c r="CU27" i="51"/>
  <c r="CU30" i="51" a="1"/>
  <c r="CU30" i="51"/>
  <c r="CU31" i="51" a="1"/>
  <c r="CU31" i="51"/>
  <c r="CU32" i="51" a="1"/>
  <c r="CU33" i="51" a="1"/>
  <c r="CU34" i="51" a="1"/>
  <c r="CU35" i="51" a="1"/>
  <c r="CU36" i="51" a="1"/>
  <c r="CU37" i="51" a="1"/>
  <c r="CU38" i="51" a="1"/>
  <c r="CU39" i="51" a="1"/>
  <c r="CU40" i="51" a="1"/>
  <c r="CU41" i="51" a="1"/>
  <c r="CU42" i="51" a="1"/>
  <c r="CU43" i="51" a="1"/>
  <c r="CU44" i="51" a="1"/>
  <c r="CU45" i="51" a="1"/>
  <c r="CU46" i="51" a="1"/>
  <c r="CU47" i="51" a="1"/>
  <c r="CU48" i="51" a="1"/>
  <c r="CU49" i="51" a="1"/>
  <c r="CU50" i="51" a="1"/>
  <c r="CU51" i="51" a="1"/>
  <c r="CU52" i="51" a="1"/>
  <c r="CU53" i="51" a="1"/>
  <c r="CU54" i="51" a="1"/>
  <c r="CU55" i="51" a="1"/>
  <c r="CU56" i="51" a="1"/>
  <c r="CU57" i="51" a="1"/>
  <c r="CU58" i="51" a="1"/>
  <c r="CU59" i="51" a="1"/>
  <c r="CU60" i="51" a="1"/>
  <c r="CU61" i="51" a="1"/>
  <c r="CU62" i="51" a="1"/>
  <c r="CU63" i="51" a="1"/>
  <c r="CU64" i="51" a="1"/>
  <c r="CU32" i="51"/>
  <c r="CU33" i="51"/>
  <c r="CU34" i="51"/>
  <c r="CU35" i="51"/>
  <c r="CU36" i="51"/>
  <c r="CU37" i="51"/>
  <c r="CU38" i="51"/>
  <c r="CU39" i="51"/>
  <c r="CU40" i="51"/>
  <c r="CU41" i="51"/>
  <c r="CU42" i="51"/>
  <c r="CU43" i="51"/>
  <c r="CU44" i="51"/>
  <c r="CU45" i="51"/>
  <c r="CU46" i="51"/>
  <c r="CU47" i="51"/>
  <c r="CU48" i="51"/>
  <c r="CU49" i="51"/>
  <c r="CU50" i="51"/>
  <c r="CU51" i="51"/>
  <c r="CU52" i="51"/>
  <c r="CU53" i="51"/>
  <c r="CU54" i="51"/>
  <c r="CU55" i="51"/>
  <c r="CU56" i="51"/>
  <c r="CU57" i="51"/>
  <c r="CU58" i="51"/>
  <c r="CU59" i="51"/>
  <c r="CU60" i="51"/>
  <c r="CU61" i="51"/>
  <c r="CU62" i="51"/>
  <c r="CU63" i="51"/>
  <c r="CU64" i="51"/>
  <c r="CU68" i="51"/>
  <c r="DI27" i="51"/>
  <c r="DI30" i="51" a="1"/>
  <c r="DI30" i="51"/>
  <c r="DI31" i="51" a="1"/>
  <c r="DI31" i="51"/>
  <c r="DI32" i="51" a="1"/>
  <c r="DI33" i="51" a="1"/>
  <c r="DI34" i="51" a="1"/>
  <c r="DI35" i="51" a="1"/>
  <c r="DI36" i="51" a="1"/>
  <c r="DI37" i="51" a="1"/>
  <c r="DI38" i="51" a="1"/>
  <c r="DI39" i="51" a="1"/>
  <c r="DI40" i="51" a="1"/>
  <c r="DI41" i="51" a="1"/>
  <c r="DI42" i="51" a="1"/>
  <c r="DI43" i="51" a="1"/>
  <c r="DI44" i="51" a="1"/>
  <c r="DI45" i="51" a="1"/>
  <c r="DI46" i="51" a="1"/>
  <c r="DI47" i="51" a="1"/>
  <c r="DI48" i="51" a="1"/>
  <c r="DI49" i="51" a="1"/>
  <c r="DI50" i="51" a="1"/>
  <c r="DI51" i="51" a="1"/>
  <c r="DI52" i="51" a="1"/>
  <c r="DI53" i="51" a="1"/>
  <c r="DI54" i="51" a="1"/>
  <c r="DI55" i="51" a="1"/>
  <c r="DI56" i="51" a="1"/>
  <c r="DI57" i="51" a="1"/>
  <c r="DI58" i="51" a="1"/>
  <c r="DI59" i="51" a="1"/>
  <c r="DI60" i="51" a="1"/>
  <c r="DI61" i="51" a="1"/>
  <c r="DI62" i="51" a="1"/>
  <c r="DI63" i="51" a="1"/>
  <c r="DI64" i="51" a="1"/>
  <c r="DI32" i="51"/>
  <c r="DI33" i="51"/>
  <c r="DI34" i="51"/>
  <c r="DI35" i="51"/>
  <c r="DI36" i="51"/>
  <c r="DI37" i="51"/>
  <c r="DI38" i="51"/>
  <c r="DI39" i="51"/>
  <c r="DI40" i="51"/>
  <c r="DI41" i="51"/>
  <c r="DI42" i="51"/>
  <c r="DI43" i="51"/>
  <c r="DI44" i="51"/>
  <c r="DI45" i="51"/>
  <c r="DI46" i="51"/>
  <c r="DI47" i="51"/>
  <c r="DI48" i="51"/>
  <c r="DI49" i="51"/>
  <c r="DI50" i="51"/>
  <c r="DI51" i="51"/>
  <c r="DI52" i="51"/>
  <c r="DI53" i="51"/>
  <c r="DI54" i="51"/>
  <c r="DI55" i="51"/>
  <c r="DI56" i="51"/>
  <c r="DI57" i="51"/>
  <c r="DI58" i="51"/>
  <c r="DI59" i="51"/>
  <c r="DI60" i="51"/>
  <c r="DI61" i="51"/>
  <c r="DI62" i="51"/>
  <c r="DI63" i="51"/>
  <c r="DI64" i="51"/>
  <c r="DI68" i="51"/>
  <c r="BU71" i="51"/>
  <c r="BT27" i="51"/>
  <c r="BT30" i="51" a="1"/>
  <c r="BT30" i="51"/>
  <c r="BT31" i="51" a="1"/>
  <c r="BT31" i="51"/>
  <c r="BT32" i="51" a="1"/>
  <c r="BT33" i="51" a="1"/>
  <c r="BT34" i="51" a="1"/>
  <c r="BT35" i="51" a="1"/>
  <c r="BT36" i="51" a="1"/>
  <c r="BT37" i="51" a="1"/>
  <c r="BT38" i="51" a="1"/>
  <c r="BT39" i="51" a="1"/>
  <c r="BT40" i="51" a="1"/>
  <c r="BT41" i="51" a="1"/>
  <c r="BT42" i="51" a="1"/>
  <c r="BT43" i="51" a="1"/>
  <c r="BT44" i="51" a="1"/>
  <c r="BT45" i="51" a="1"/>
  <c r="BT46" i="51" a="1"/>
  <c r="BT47" i="51" a="1"/>
  <c r="BT48" i="51" a="1"/>
  <c r="BT49" i="51" a="1"/>
  <c r="BT50" i="51" a="1"/>
  <c r="BT51" i="51" a="1"/>
  <c r="BT52" i="51" a="1"/>
  <c r="BT53" i="51" a="1"/>
  <c r="BT54" i="51" a="1"/>
  <c r="BT55" i="51" a="1"/>
  <c r="BT56" i="51" a="1"/>
  <c r="BT57" i="51" a="1"/>
  <c r="BT58" i="51" a="1"/>
  <c r="BT59" i="51" a="1"/>
  <c r="BT60" i="51" a="1"/>
  <c r="BT61" i="51" a="1"/>
  <c r="BT62" i="51" a="1"/>
  <c r="BT63" i="51" a="1"/>
  <c r="BT64" i="51" a="1"/>
  <c r="BT32" i="51"/>
  <c r="BT33" i="51"/>
  <c r="BT34" i="51"/>
  <c r="BT35" i="51"/>
  <c r="BT36" i="51"/>
  <c r="BT37" i="51"/>
  <c r="BT38" i="51"/>
  <c r="BT39" i="51"/>
  <c r="BT40" i="51"/>
  <c r="BT41" i="51"/>
  <c r="BT42" i="51"/>
  <c r="BT43" i="51"/>
  <c r="BT44" i="51"/>
  <c r="BT45" i="51"/>
  <c r="BT46" i="51"/>
  <c r="BT47" i="51"/>
  <c r="BT48" i="51"/>
  <c r="BT49" i="51"/>
  <c r="BT50" i="51"/>
  <c r="BT51" i="51"/>
  <c r="BT52" i="51"/>
  <c r="BT53" i="51"/>
  <c r="BT54" i="51"/>
  <c r="BT55" i="51"/>
  <c r="BT56" i="51"/>
  <c r="BT57" i="51"/>
  <c r="BT58" i="51"/>
  <c r="BT59" i="51"/>
  <c r="BT60" i="51"/>
  <c r="BT61" i="51"/>
  <c r="BT62" i="51"/>
  <c r="BT63" i="51"/>
  <c r="BT64" i="51"/>
  <c r="BT68" i="51"/>
  <c r="CH27" i="51"/>
  <c r="CH30" i="51" a="1"/>
  <c r="CH30" i="51"/>
  <c r="CH31" i="51" a="1"/>
  <c r="CH31" i="51"/>
  <c r="CH32" i="51" a="1"/>
  <c r="CH33" i="51" a="1"/>
  <c r="CH34" i="51" a="1"/>
  <c r="CH35" i="51" a="1"/>
  <c r="CH36" i="51" a="1"/>
  <c r="CH37" i="51" a="1"/>
  <c r="CH38" i="51" a="1"/>
  <c r="CH39" i="51" a="1"/>
  <c r="CH40" i="51" a="1"/>
  <c r="CH41" i="51" a="1"/>
  <c r="CH42" i="51" a="1"/>
  <c r="CH43" i="51" a="1"/>
  <c r="CH44" i="51" a="1"/>
  <c r="CH45" i="51" a="1"/>
  <c r="CH46" i="51" a="1"/>
  <c r="CH47" i="51" a="1"/>
  <c r="CH48" i="51" a="1"/>
  <c r="CH49" i="51" a="1"/>
  <c r="CH50" i="51" a="1"/>
  <c r="CH51" i="51" a="1"/>
  <c r="CH52" i="51" a="1"/>
  <c r="CH53" i="51" a="1"/>
  <c r="CH54" i="51" a="1"/>
  <c r="CH55" i="51" a="1"/>
  <c r="CH56" i="51" a="1"/>
  <c r="CH57" i="51" a="1"/>
  <c r="CH58" i="51" a="1"/>
  <c r="CH59" i="51" a="1"/>
  <c r="CH60" i="51" a="1"/>
  <c r="CH61" i="51" a="1"/>
  <c r="CH62" i="51" a="1"/>
  <c r="CH63" i="51" a="1"/>
  <c r="CH64" i="51" a="1"/>
  <c r="CH32" i="51"/>
  <c r="CH33" i="51"/>
  <c r="CH34" i="51"/>
  <c r="CH35" i="51"/>
  <c r="CH36" i="51"/>
  <c r="CH37" i="51"/>
  <c r="CH38" i="51"/>
  <c r="CH39" i="51"/>
  <c r="CH40" i="51"/>
  <c r="CH41" i="51"/>
  <c r="CH42" i="51"/>
  <c r="CH43" i="51"/>
  <c r="CH44" i="51"/>
  <c r="CH45" i="51"/>
  <c r="CH46" i="51"/>
  <c r="CH47" i="51"/>
  <c r="CH48" i="51"/>
  <c r="CH49" i="51"/>
  <c r="CH50" i="51"/>
  <c r="CH51" i="51"/>
  <c r="CH52" i="51"/>
  <c r="CH53" i="51"/>
  <c r="CH54" i="51"/>
  <c r="CH55" i="51"/>
  <c r="CH56" i="51"/>
  <c r="CH57" i="51"/>
  <c r="CH58" i="51"/>
  <c r="CH59" i="51"/>
  <c r="CH60" i="51"/>
  <c r="CH61" i="51"/>
  <c r="CH62" i="51"/>
  <c r="CH63" i="51"/>
  <c r="CH64" i="51"/>
  <c r="CH68" i="51"/>
  <c r="CT27" i="51"/>
  <c r="CT30" i="51" a="1"/>
  <c r="CT30" i="51"/>
  <c r="CT31" i="51" a="1"/>
  <c r="CT31" i="51"/>
  <c r="CT32" i="51" a="1"/>
  <c r="CT33" i="51" a="1"/>
  <c r="CT34" i="51" a="1"/>
  <c r="CT35" i="51" a="1"/>
  <c r="CT36" i="51" a="1"/>
  <c r="CT37" i="51" a="1"/>
  <c r="CT38" i="51" a="1"/>
  <c r="CT39" i="51" a="1"/>
  <c r="CT40" i="51" a="1"/>
  <c r="CT41" i="51" a="1"/>
  <c r="CT42" i="51" a="1"/>
  <c r="CT43" i="51" a="1"/>
  <c r="CT44" i="51" a="1"/>
  <c r="CT45" i="51" a="1"/>
  <c r="CT46" i="51" a="1"/>
  <c r="CT47" i="51" a="1"/>
  <c r="CT48" i="51" a="1"/>
  <c r="CT49" i="51" a="1"/>
  <c r="CT50" i="51" a="1"/>
  <c r="CT51" i="51" a="1"/>
  <c r="CT52" i="51" a="1"/>
  <c r="CT53" i="51" a="1"/>
  <c r="CT54" i="51" a="1"/>
  <c r="CT55" i="51" a="1"/>
  <c r="CT56" i="51" a="1"/>
  <c r="CT57" i="51" a="1"/>
  <c r="CT58" i="51" a="1"/>
  <c r="CT59" i="51" a="1"/>
  <c r="CT60" i="51" a="1"/>
  <c r="CT61" i="51" a="1"/>
  <c r="CT62" i="51" a="1"/>
  <c r="CT63" i="51" a="1"/>
  <c r="CT64" i="51" a="1"/>
  <c r="CT32" i="51"/>
  <c r="CT33" i="51"/>
  <c r="CT34" i="51"/>
  <c r="CT35" i="51"/>
  <c r="CT36" i="51"/>
  <c r="CT37" i="51"/>
  <c r="CT38" i="51"/>
  <c r="CT39" i="51"/>
  <c r="CT40" i="51"/>
  <c r="CT41" i="51"/>
  <c r="CT42" i="51"/>
  <c r="CT43" i="51"/>
  <c r="CT44" i="51"/>
  <c r="CT45" i="51"/>
  <c r="CT46" i="51"/>
  <c r="CT47" i="51"/>
  <c r="CT48" i="51"/>
  <c r="CT49" i="51"/>
  <c r="CT50" i="51"/>
  <c r="CT51" i="51"/>
  <c r="CT52" i="51"/>
  <c r="CT53" i="51"/>
  <c r="CT54" i="51"/>
  <c r="CT55" i="51"/>
  <c r="CT56" i="51"/>
  <c r="CT57" i="51"/>
  <c r="CT58" i="51"/>
  <c r="CT59" i="51"/>
  <c r="CT60" i="51"/>
  <c r="CT61" i="51"/>
  <c r="CT62" i="51"/>
  <c r="CT63" i="51"/>
  <c r="CT64" i="51"/>
  <c r="CT68" i="51"/>
  <c r="DH27" i="51"/>
  <c r="DH30" i="51" a="1"/>
  <c r="DH30" i="51"/>
  <c r="DH31" i="51" a="1"/>
  <c r="DH31" i="51"/>
  <c r="DH32" i="51" a="1"/>
  <c r="DH33" i="51" a="1"/>
  <c r="DH34" i="51" a="1"/>
  <c r="DH35" i="51" a="1"/>
  <c r="DH36" i="51" a="1"/>
  <c r="DH37" i="51" a="1"/>
  <c r="DH38" i="51" a="1"/>
  <c r="DH39" i="51" a="1"/>
  <c r="DH40" i="51" a="1"/>
  <c r="DH41" i="51" a="1"/>
  <c r="DH42" i="51" a="1"/>
  <c r="DH43" i="51" a="1"/>
  <c r="DH44" i="51" a="1"/>
  <c r="DH45" i="51" a="1"/>
  <c r="DH46" i="51" a="1"/>
  <c r="DH47" i="51" a="1"/>
  <c r="DH48" i="51" a="1"/>
  <c r="DH49" i="51" a="1"/>
  <c r="DH50" i="51" a="1"/>
  <c r="DH51" i="51" a="1"/>
  <c r="DH52" i="51" a="1"/>
  <c r="DH53" i="51" a="1"/>
  <c r="DH54" i="51" a="1"/>
  <c r="DH55" i="51" a="1"/>
  <c r="DH56" i="51" a="1"/>
  <c r="DH57" i="51" a="1"/>
  <c r="DH58" i="51" a="1"/>
  <c r="DH59" i="51" a="1"/>
  <c r="DH60" i="51" a="1"/>
  <c r="DH61" i="51" a="1"/>
  <c r="DH62" i="51" a="1"/>
  <c r="DH63" i="51" a="1"/>
  <c r="DH64" i="51" a="1"/>
  <c r="DH32" i="51"/>
  <c r="DH33" i="51"/>
  <c r="DH34" i="51"/>
  <c r="DH35" i="51"/>
  <c r="DH36" i="51"/>
  <c r="DH37" i="51"/>
  <c r="DH38" i="51"/>
  <c r="DH39" i="51"/>
  <c r="DH40" i="51"/>
  <c r="DH41" i="51"/>
  <c r="DH42" i="51"/>
  <c r="DH43" i="51"/>
  <c r="DH44" i="51"/>
  <c r="DH45" i="51"/>
  <c r="DH46" i="51"/>
  <c r="DH47" i="51"/>
  <c r="DH48" i="51"/>
  <c r="DH49" i="51"/>
  <c r="DH50" i="51"/>
  <c r="DH51" i="51"/>
  <c r="DH52" i="51"/>
  <c r="DH53" i="51"/>
  <c r="DH54" i="51"/>
  <c r="DH55" i="51"/>
  <c r="DH56" i="51"/>
  <c r="DH57" i="51"/>
  <c r="DH58" i="51"/>
  <c r="DH59" i="51"/>
  <c r="DH60" i="51"/>
  <c r="DH61" i="51"/>
  <c r="DH62" i="51"/>
  <c r="DH63" i="51"/>
  <c r="DH64" i="51"/>
  <c r="DH68" i="51"/>
  <c r="BT71" i="51"/>
  <c r="BS27" i="51"/>
  <c r="BS30" i="51" a="1"/>
  <c r="BS30" i="51"/>
  <c r="BS31" i="51" a="1"/>
  <c r="BS31" i="51"/>
  <c r="BS32" i="51" a="1"/>
  <c r="BS33" i="51" a="1"/>
  <c r="BS34" i="51" a="1"/>
  <c r="BS35" i="51" a="1"/>
  <c r="BS36" i="51" a="1"/>
  <c r="BS37" i="51" a="1"/>
  <c r="BS38" i="51" a="1"/>
  <c r="BS39" i="51" a="1"/>
  <c r="BS40" i="51" a="1"/>
  <c r="BS41" i="51" a="1"/>
  <c r="BS42" i="51" a="1"/>
  <c r="BS43" i="51" a="1"/>
  <c r="BS44" i="51" a="1"/>
  <c r="BS45" i="51" a="1"/>
  <c r="BS46" i="51" a="1"/>
  <c r="BS47" i="51" a="1"/>
  <c r="BS48" i="51" a="1"/>
  <c r="BS49" i="51" a="1"/>
  <c r="BS50" i="51" a="1"/>
  <c r="BS51" i="51" a="1"/>
  <c r="BS52" i="51" a="1"/>
  <c r="BS53" i="51" a="1"/>
  <c r="BS54" i="51" a="1"/>
  <c r="BS55" i="51" a="1"/>
  <c r="BS56" i="51" a="1"/>
  <c r="BS57" i="51" a="1"/>
  <c r="BS58" i="51" a="1"/>
  <c r="BS59" i="51" a="1"/>
  <c r="BS60" i="51" a="1"/>
  <c r="BS61" i="51" a="1"/>
  <c r="BS62" i="51" a="1"/>
  <c r="BS63" i="51" a="1"/>
  <c r="BS64" i="51" a="1"/>
  <c r="BS32" i="51"/>
  <c r="BS33" i="51"/>
  <c r="BS34" i="51"/>
  <c r="BS35" i="51"/>
  <c r="BS36" i="51"/>
  <c r="BS37" i="51"/>
  <c r="BS38" i="51"/>
  <c r="BS39" i="51"/>
  <c r="BS40" i="51"/>
  <c r="BS41" i="51"/>
  <c r="BS42" i="51"/>
  <c r="BS43" i="51"/>
  <c r="BS44" i="51"/>
  <c r="BS45" i="51"/>
  <c r="BS46" i="51"/>
  <c r="BS47" i="51"/>
  <c r="BS48" i="51"/>
  <c r="BS49" i="51"/>
  <c r="BS50" i="51"/>
  <c r="BS51" i="51"/>
  <c r="BS52" i="51"/>
  <c r="BS53" i="51"/>
  <c r="BS54" i="51"/>
  <c r="BS55" i="51"/>
  <c r="BS56" i="51"/>
  <c r="BS57" i="51"/>
  <c r="BS58" i="51"/>
  <c r="BS59" i="51"/>
  <c r="BS60" i="51"/>
  <c r="BS61" i="51"/>
  <c r="BS62" i="51"/>
  <c r="BS63" i="51"/>
  <c r="BS64" i="51"/>
  <c r="BS68" i="51"/>
  <c r="CG27" i="51"/>
  <c r="CG30" i="51" a="1"/>
  <c r="CG30" i="51"/>
  <c r="CG31" i="51" a="1"/>
  <c r="CG31" i="51"/>
  <c r="CG32" i="51" a="1"/>
  <c r="CG33" i="51" a="1"/>
  <c r="CG34" i="51" a="1"/>
  <c r="CG35" i="51" a="1"/>
  <c r="CG36" i="51" a="1"/>
  <c r="CG37" i="51" a="1"/>
  <c r="CG38" i="51" a="1"/>
  <c r="CG39" i="51" a="1"/>
  <c r="CG40" i="51" a="1"/>
  <c r="CG41" i="51" a="1"/>
  <c r="CG42" i="51" a="1"/>
  <c r="CG43" i="51" a="1"/>
  <c r="CG44" i="51" a="1"/>
  <c r="CG45" i="51" a="1"/>
  <c r="CG46" i="51" a="1"/>
  <c r="CG47" i="51" a="1"/>
  <c r="CG48" i="51" a="1"/>
  <c r="CG49" i="51" a="1"/>
  <c r="CG50" i="51" a="1"/>
  <c r="CG51" i="51" a="1"/>
  <c r="CG52" i="51" a="1"/>
  <c r="CG53" i="51" a="1"/>
  <c r="CG54" i="51" a="1"/>
  <c r="CG55" i="51" a="1"/>
  <c r="CG56" i="51" a="1"/>
  <c r="CG57" i="51" a="1"/>
  <c r="CG58" i="51" a="1"/>
  <c r="CG59" i="51" a="1"/>
  <c r="CG60" i="51" a="1"/>
  <c r="CG61" i="51" a="1"/>
  <c r="CG62" i="51" a="1"/>
  <c r="CG63" i="51" a="1"/>
  <c r="CG64" i="51" a="1"/>
  <c r="CG32" i="51"/>
  <c r="CG33" i="51"/>
  <c r="CG34" i="51"/>
  <c r="CG35" i="51"/>
  <c r="CG36" i="51"/>
  <c r="CG37" i="51"/>
  <c r="CG38" i="51"/>
  <c r="CG39" i="51"/>
  <c r="CG40" i="51"/>
  <c r="CG41" i="51"/>
  <c r="CG42" i="51"/>
  <c r="CG43" i="51"/>
  <c r="CG44" i="51"/>
  <c r="CG45" i="51"/>
  <c r="CG46" i="51"/>
  <c r="CG47" i="51"/>
  <c r="CG48" i="51"/>
  <c r="CG49" i="51"/>
  <c r="CG50" i="51"/>
  <c r="CG51" i="51"/>
  <c r="CG52" i="51"/>
  <c r="CG53" i="51"/>
  <c r="CG54" i="51"/>
  <c r="CG55" i="51"/>
  <c r="CG56" i="51"/>
  <c r="CG57" i="51"/>
  <c r="CG58" i="51"/>
  <c r="CG59" i="51"/>
  <c r="CG60" i="51"/>
  <c r="CG61" i="51"/>
  <c r="CG62" i="51"/>
  <c r="CG63" i="51"/>
  <c r="CG64" i="51"/>
  <c r="CG68" i="51"/>
  <c r="CS27" i="51"/>
  <c r="CS30" i="51" a="1"/>
  <c r="CS30" i="51"/>
  <c r="CS31" i="51" a="1"/>
  <c r="CS31" i="51"/>
  <c r="CS32" i="51" a="1"/>
  <c r="CS33" i="51" a="1"/>
  <c r="CS34" i="51" a="1"/>
  <c r="CS35" i="51" a="1"/>
  <c r="CS36" i="51" a="1"/>
  <c r="CS37" i="51" a="1"/>
  <c r="CS38" i="51" a="1"/>
  <c r="CS39" i="51" a="1"/>
  <c r="CS40" i="51" a="1"/>
  <c r="CS41" i="51" a="1"/>
  <c r="CS42" i="51" a="1"/>
  <c r="CS43" i="51" a="1"/>
  <c r="CS44" i="51" a="1"/>
  <c r="CS45" i="51" a="1"/>
  <c r="CS46" i="51" a="1"/>
  <c r="CS47" i="51" a="1"/>
  <c r="CS48" i="51" a="1"/>
  <c r="CS49" i="51" a="1"/>
  <c r="CS50" i="51" a="1"/>
  <c r="CS51" i="51" a="1"/>
  <c r="CS52" i="51" a="1"/>
  <c r="CS53" i="51" a="1"/>
  <c r="CS54" i="51" a="1"/>
  <c r="CS55" i="51" a="1"/>
  <c r="CS56" i="51" a="1"/>
  <c r="CS57" i="51" a="1"/>
  <c r="CS58" i="51" a="1"/>
  <c r="CS59" i="51" a="1"/>
  <c r="CS60" i="51" a="1"/>
  <c r="CS61" i="51" a="1"/>
  <c r="CS62" i="51" a="1"/>
  <c r="CS63" i="51" a="1"/>
  <c r="CS64" i="51" a="1"/>
  <c r="CS32" i="51"/>
  <c r="CS33" i="51"/>
  <c r="CS34" i="51"/>
  <c r="CS35" i="51"/>
  <c r="CS36" i="51"/>
  <c r="CS37" i="51"/>
  <c r="CS38" i="51"/>
  <c r="CS39" i="51"/>
  <c r="CS40" i="51"/>
  <c r="CS41" i="51"/>
  <c r="CS42" i="51"/>
  <c r="CS43" i="51"/>
  <c r="CS44" i="51"/>
  <c r="CS45" i="51"/>
  <c r="CS46" i="51"/>
  <c r="CS47" i="51"/>
  <c r="CS48" i="51"/>
  <c r="CS49" i="51"/>
  <c r="CS50" i="51"/>
  <c r="CS51" i="51"/>
  <c r="CS52" i="51"/>
  <c r="CS53" i="51"/>
  <c r="CS54" i="51"/>
  <c r="CS55" i="51"/>
  <c r="CS56" i="51"/>
  <c r="CS57" i="51"/>
  <c r="CS58" i="51"/>
  <c r="CS59" i="51"/>
  <c r="CS60" i="51"/>
  <c r="CS61" i="51"/>
  <c r="CS62" i="51"/>
  <c r="CS63" i="51"/>
  <c r="CS64" i="51"/>
  <c r="CS68" i="51"/>
  <c r="DG27" i="51"/>
  <c r="DG30" i="51" a="1"/>
  <c r="DG30" i="51"/>
  <c r="DG31" i="51" a="1"/>
  <c r="DG31" i="51"/>
  <c r="DG32" i="51" a="1"/>
  <c r="DG33" i="51" a="1"/>
  <c r="DG34" i="51" a="1"/>
  <c r="DG35" i="51" a="1"/>
  <c r="DG36" i="51" a="1"/>
  <c r="DG37" i="51" a="1"/>
  <c r="DG38" i="51" a="1"/>
  <c r="DG39" i="51" a="1"/>
  <c r="DG40" i="51" a="1"/>
  <c r="DG41" i="51" a="1"/>
  <c r="DG42" i="51" a="1"/>
  <c r="DG43" i="51" a="1"/>
  <c r="DG44" i="51" a="1"/>
  <c r="DG45" i="51" a="1"/>
  <c r="DG46" i="51" a="1"/>
  <c r="DG47" i="51" a="1"/>
  <c r="DG48" i="51" a="1"/>
  <c r="DG49" i="51" a="1"/>
  <c r="DG50" i="51" a="1"/>
  <c r="DG51" i="51" a="1"/>
  <c r="DG52" i="51" a="1"/>
  <c r="DG53" i="51" a="1"/>
  <c r="DG54" i="51" a="1"/>
  <c r="DG55" i="51" a="1"/>
  <c r="DG56" i="51" a="1"/>
  <c r="DG57" i="51" a="1"/>
  <c r="DG58" i="51" a="1"/>
  <c r="DG59" i="51" a="1"/>
  <c r="DG60" i="51" a="1"/>
  <c r="DG61" i="51" a="1"/>
  <c r="DG62" i="51" a="1"/>
  <c r="DG63" i="51" a="1"/>
  <c r="DG64" i="51" a="1"/>
  <c r="DG32" i="51"/>
  <c r="DG33" i="51"/>
  <c r="DG34" i="51"/>
  <c r="DG35" i="51"/>
  <c r="DG36" i="51"/>
  <c r="DG37" i="51"/>
  <c r="DG38" i="51"/>
  <c r="DG39" i="51"/>
  <c r="DG40" i="51"/>
  <c r="DG41" i="51"/>
  <c r="DG42" i="51"/>
  <c r="DG43" i="51"/>
  <c r="DG44" i="51"/>
  <c r="DG45" i="51"/>
  <c r="DG46" i="51"/>
  <c r="DG47" i="51"/>
  <c r="DG48" i="51"/>
  <c r="DG49" i="51"/>
  <c r="DG50" i="51"/>
  <c r="DG51" i="51"/>
  <c r="DG52" i="51"/>
  <c r="DG53" i="51"/>
  <c r="DG54" i="51"/>
  <c r="DG55" i="51"/>
  <c r="DG56" i="51"/>
  <c r="DG57" i="51"/>
  <c r="DG58" i="51"/>
  <c r="DG59" i="51"/>
  <c r="DG60" i="51"/>
  <c r="DG61" i="51"/>
  <c r="DG62" i="51"/>
  <c r="DG63" i="51"/>
  <c r="DG64" i="51"/>
  <c r="DG68" i="51"/>
  <c r="BS71" i="51"/>
  <c r="BR27" i="51"/>
  <c r="BR30" i="51" a="1"/>
  <c r="BR30" i="51"/>
  <c r="BR31" i="51" a="1"/>
  <c r="BR31" i="51"/>
  <c r="BR32" i="51" a="1"/>
  <c r="BR33" i="51" a="1"/>
  <c r="BR34" i="51" a="1"/>
  <c r="BR35" i="51" a="1"/>
  <c r="BR36" i="51" a="1"/>
  <c r="BR37" i="51" a="1"/>
  <c r="BR38" i="51" a="1"/>
  <c r="BR39" i="51" a="1"/>
  <c r="BR40" i="51" a="1"/>
  <c r="BR41" i="51" a="1"/>
  <c r="BR42" i="51" a="1"/>
  <c r="BR43" i="51" a="1"/>
  <c r="BR44" i="51" a="1"/>
  <c r="BR45" i="51" a="1"/>
  <c r="BR46" i="51" a="1"/>
  <c r="BR47" i="51" a="1"/>
  <c r="BR48" i="51" a="1"/>
  <c r="BR49" i="51" a="1"/>
  <c r="BR50" i="51" a="1"/>
  <c r="BR51" i="51" a="1"/>
  <c r="BR52" i="51" a="1"/>
  <c r="BR53" i="51" a="1"/>
  <c r="BR54" i="51" a="1"/>
  <c r="BR55" i="51" a="1"/>
  <c r="BR56" i="51" a="1"/>
  <c r="BR57" i="51" a="1"/>
  <c r="BR58" i="51" a="1"/>
  <c r="BR59" i="51" a="1"/>
  <c r="BR60" i="51" a="1"/>
  <c r="BR61" i="51" a="1"/>
  <c r="BR62" i="51" a="1"/>
  <c r="BR63" i="51" a="1"/>
  <c r="BR64" i="51" a="1"/>
  <c r="BR32" i="51"/>
  <c r="BR33" i="51"/>
  <c r="BR34" i="51"/>
  <c r="BR35" i="51"/>
  <c r="BR36" i="51"/>
  <c r="BR37" i="51"/>
  <c r="BR38" i="51"/>
  <c r="BR39" i="51"/>
  <c r="BR40" i="51"/>
  <c r="BR41" i="51"/>
  <c r="BR42" i="51"/>
  <c r="BR43" i="51"/>
  <c r="BR44" i="51"/>
  <c r="BR45" i="51"/>
  <c r="BR46" i="51"/>
  <c r="BR47" i="51"/>
  <c r="BR48" i="51"/>
  <c r="BR49" i="51"/>
  <c r="BR50" i="51"/>
  <c r="BR51" i="51"/>
  <c r="BR52" i="51"/>
  <c r="BR53" i="51"/>
  <c r="BR54" i="51"/>
  <c r="BR55" i="51"/>
  <c r="BR56" i="51"/>
  <c r="BR57" i="51"/>
  <c r="BR58" i="51"/>
  <c r="BR59" i="51"/>
  <c r="BR60" i="51"/>
  <c r="BR61" i="51"/>
  <c r="BR62" i="51"/>
  <c r="BR63" i="51"/>
  <c r="BR64" i="51"/>
  <c r="BR68" i="51"/>
  <c r="CF27" i="51"/>
  <c r="CF30" i="51" a="1"/>
  <c r="CF30" i="51"/>
  <c r="CF31" i="51" a="1"/>
  <c r="CF31" i="51"/>
  <c r="CF32" i="51" a="1"/>
  <c r="CF33" i="51" a="1"/>
  <c r="CF34" i="51" a="1"/>
  <c r="CF35" i="51" a="1"/>
  <c r="CF36" i="51" a="1"/>
  <c r="CF37" i="51" a="1"/>
  <c r="CF38" i="51" a="1"/>
  <c r="CF39" i="51" a="1"/>
  <c r="CF40" i="51" a="1"/>
  <c r="CF41" i="51" a="1"/>
  <c r="CF42" i="51" a="1"/>
  <c r="CF43" i="51" a="1"/>
  <c r="CF44" i="51" a="1"/>
  <c r="CF45" i="51" a="1"/>
  <c r="CF46" i="51" a="1"/>
  <c r="CF47" i="51" a="1"/>
  <c r="CF48" i="51" a="1"/>
  <c r="CF49" i="51" a="1"/>
  <c r="CF50" i="51" a="1"/>
  <c r="CF51" i="51" a="1"/>
  <c r="CF52" i="51" a="1"/>
  <c r="CF53" i="51" a="1"/>
  <c r="CF54" i="51" a="1"/>
  <c r="CF55" i="51" a="1"/>
  <c r="CF56" i="51" a="1"/>
  <c r="CF57" i="51" a="1"/>
  <c r="CF58" i="51" a="1"/>
  <c r="CF59" i="51" a="1"/>
  <c r="CF60" i="51" a="1"/>
  <c r="CF61" i="51" a="1"/>
  <c r="CF62" i="51" a="1"/>
  <c r="CF63" i="51" a="1"/>
  <c r="CF64" i="51" a="1"/>
  <c r="CF32" i="51"/>
  <c r="CF33" i="51"/>
  <c r="CF34" i="51"/>
  <c r="CF35" i="51"/>
  <c r="CF36" i="51"/>
  <c r="CF37" i="51"/>
  <c r="CF38" i="51"/>
  <c r="CF39" i="51"/>
  <c r="CF40" i="51"/>
  <c r="CF41" i="51"/>
  <c r="CF42" i="51"/>
  <c r="CF43" i="51"/>
  <c r="CF44" i="51"/>
  <c r="CF45" i="51"/>
  <c r="CF46" i="51"/>
  <c r="CF47" i="51"/>
  <c r="CF48" i="51"/>
  <c r="CF49" i="51"/>
  <c r="CF50" i="51"/>
  <c r="CF51" i="51"/>
  <c r="CF52" i="51"/>
  <c r="CF53" i="51"/>
  <c r="CF54" i="51"/>
  <c r="CF55" i="51"/>
  <c r="CF56" i="51"/>
  <c r="CF57" i="51"/>
  <c r="CF58" i="51"/>
  <c r="CF59" i="51"/>
  <c r="CF60" i="51"/>
  <c r="CF61" i="51"/>
  <c r="CF62" i="51"/>
  <c r="CF63" i="51"/>
  <c r="CF64" i="51"/>
  <c r="CF68" i="51"/>
  <c r="CR27" i="51"/>
  <c r="CR30" i="51" a="1"/>
  <c r="CR30" i="51"/>
  <c r="CR31" i="51" a="1"/>
  <c r="CR31" i="51"/>
  <c r="CR32" i="51" a="1"/>
  <c r="CR33" i="51" a="1"/>
  <c r="CR34" i="51" a="1"/>
  <c r="CR35" i="51" a="1"/>
  <c r="CR36" i="51" a="1"/>
  <c r="CR37" i="51" a="1"/>
  <c r="CR38" i="51" a="1"/>
  <c r="CR39" i="51" a="1"/>
  <c r="CR40" i="51" a="1"/>
  <c r="CR41" i="51" a="1"/>
  <c r="CR42" i="51" a="1"/>
  <c r="CR43" i="51" a="1"/>
  <c r="CR44" i="51" a="1"/>
  <c r="CR45" i="51" a="1"/>
  <c r="CR46" i="51" a="1"/>
  <c r="CR47" i="51" a="1"/>
  <c r="CR48" i="51" a="1"/>
  <c r="CR49" i="51" a="1"/>
  <c r="CR50" i="51" a="1"/>
  <c r="CR51" i="51" a="1"/>
  <c r="CR52" i="51" a="1"/>
  <c r="CR53" i="51" a="1"/>
  <c r="CR54" i="51" a="1"/>
  <c r="CR55" i="51" a="1"/>
  <c r="CR56" i="51" a="1"/>
  <c r="CR57" i="51" a="1"/>
  <c r="CR58" i="51" a="1"/>
  <c r="CR59" i="51" a="1"/>
  <c r="CR60" i="51" a="1"/>
  <c r="CR61" i="51" a="1"/>
  <c r="CR62" i="51" a="1"/>
  <c r="CR63" i="51" a="1"/>
  <c r="CR64" i="51" a="1"/>
  <c r="CR32" i="51"/>
  <c r="CR33" i="51"/>
  <c r="CR34" i="51"/>
  <c r="CR35" i="51"/>
  <c r="CR36" i="51"/>
  <c r="CR37" i="51"/>
  <c r="CR38" i="51"/>
  <c r="CR39" i="51"/>
  <c r="CR40" i="51"/>
  <c r="CR41" i="51"/>
  <c r="CR42" i="51"/>
  <c r="CR43" i="51"/>
  <c r="CR44" i="51"/>
  <c r="CR45" i="51"/>
  <c r="CR46" i="51"/>
  <c r="CR47" i="51"/>
  <c r="CR48" i="51"/>
  <c r="CR49" i="51"/>
  <c r="CR50" i="51"/>
  <c r="CR51" i="51"/>
  <c r="CR52" i="51"/>
  <c r="CR53" i="51"/>
  <c r="CR54" i="51"/>
  <c r="CR55" i="51"/>
  <c r="CR56" i="51"/>
  <c r="CR57" i="51"/>
  <c r="CR58" i="51"/>
  <c r="CR59" i="51"/>
  <c r="CR60" i="51"/>
  <c r="CR61" i="51"/>
  <c r="CR62" i="51"/>
  <c r="CR63" i="51"/>
  <c r="CR64" i="51"/>
  <c r="CR68" i="51"/>
  <c r="DF27" i="51"/>
  <c r="DF30" i="51" a="1"/>
  <c r="DF30" i="51"/>
  <c r="DF31" i="51" a="1"/>
  <c r="DF31" i="51"/>
  <c r="DF32" i="51" a="1"/>
  <c r="DF33" i="51" a="1"/>
  <c r="DF34" i="51" a="1"/>
  <c r="DF35" i="51" a="1"/>
  <c r="DF36" i="51" a="1"/>
  <c r="DF37" i="51" a="1"/>
  <c r="DF38" i="51" a="1"/>
  <c r="DF39" i="51" a="1"/>
  <c r="DF40" i="51" a="1"/>
  <c r="DF41" i="51" a="1"/>
  <c r="DF42" i="51" a="1"/>
  <c r="DF43" i="51" a="1"/>
  <c r="DF44" i="51" a="1"/>
  <c r="DF45" i="51" a="1"/>
  <c r="DF46" i="51" a="1"/>
  <c r="DF47" i="51" a="1"/>
  <c r="DF48" i="51" a="1"/>
  <c r="DF49" i="51" a="1"/>
  <c r="DF50" i="51" a="1"/>
  <c r="DF51" i="51" a="1"/>
  <c r="DF52" i="51" a="1"/>
  <c r="DF53" i="51" a="1"/>
  <c r="DF54" i="51" a="1"/>
  <c r="DF55" i="51" a="1"/>
  <c r="DF56" i="51" a="1"/>
  <c r="DF57" i="51" a="1"/>
  <c r="DF58" i="51" a="1"/>
  <c r="DF59" i="51" a="1"/>
  <c r="DF60" i="51" a="1"/>
  <c r="DF61" i="51" a="1"/>
  <c r="DF62" i="51" a="1"/>
  <c r="DF63" i="51" a="1"/>
  <c r="DF64" i="51" a="1"/>
  <c r="DF32" i="51"/>
  <c r="DF33" i="51"/>
  <c r="DF34" i="51"/>
  <c r="DF35" i="51"/>
  <c r="DF36" i="51"/>
  <c r="DF37" i="51"/>
  <c r="DF38" i="51"/>
  <c r="DF39" i="51"/>
  <c r="DF40" i="51"/>
  <c r="DF41" i="51"/>
  <c r="DF42" i="51"/>
  <c r="DF43" i="51"/>
  <c r="DF44" i="51"/>
  <c r="DF45" i="51"/>
  <c r="DF46" i="51"/>
  <c r="DF47" i="51"/>
  <c r="DF48" i="51"/>
  <c r="DF49" i="51"/>
  <c r="DF50" i="51"/>
  <c r="DF51" i="51"/>
  <c r="DF52" i="51"/>
  <c r="DF53" i="51"/>
  <c r="DF54" i="51"/>
  <c r="DF55" i="51"/>
  <c r="DF56" i="51"/>
  <c r="DF57" i="51"/>
  <c r="DF58" i="51"/>
  <c r="DF59" i="51"/>
  <c r="DF60" i="51"/>
  <c r="DF61" i="51"/>
  <c r="DF62" i="51"/>
  <c r="DF63" i="51"/>
  <c r="DF64" i="51"/>
  <c r="DF68" i="51"/>
  <c r="BR71" i="51"/>
  <c r="BQ27" i="51"/>
  <c r="BQ30" i="51" a="1"/>
  <c r="BQ30" i="51"/>
  <c r="BQ31" i="51" a="1"/>
  <c r="BQ31" i="51"/>
  <c r="BQ32" i="51" a="1"/>
  <c r="BQ33" i="51" a="1"/>
  <c r="BQ34" i="51" a="1"/>
  <c r="BQ35" i="51" a="1"/>
  <c r="BQ36" i="51" a="1"/>
  <c r="BQ37" i="51" a="1"/>
  <c r="BQ38" i="51" a="1"/>
  <c r="BQ39" i="51" a="1"/>
  <c r="BQ40" i="51" a="1"/>
  <c r="BQ41" i="51" a="1"/>
  <c r="BQ42" i="51" a="1"/>
  <c r="BQ43" i="51" a="1"/>
  <c r="BQ44" i="51" a="1"/>
  <c r="BQ45" i="51" a="1"/>
  <c r="BQ46" i="51" a="1"/>
  <c r="BQ47" i="51" a="1"/>
  <c r="BQ48" i="51" a="1"/>
  <c r="BQ49" i="51" a="1"/>
  <c r="BQ50" i="51" a="1"/>
  <c r="BQ51" i="51" a="1"/>
  <c r="BQ52" i="51" a="1"/>
  <c r="BQ53" i="51" a="1"/>
  <c r="BQ54" i="51" a="1"/>
  <c r="BQ55" i="51" a="1"/>
  <c r="BQ56" i="51" a="1"/>
  <c r="BQ57" i="51" a="1"/>
  <c r="BQ58" i="51" a="1"/>
  <c r="BQ59" i="51" a="1"/>
  <c r="BQ60" i="51" a="1"/>
  <c r="BQ61" i="51" a="1"/>
  <c r="BQ62" i="51" a="1"/>
  <c r="BQ63" i="51" a="1"/>
  <c r="BQ64" i="51" a="1"/>
  <c r="BQ32" i="51"/>
  <c r="BQ33" i="51"/>
  <c r="BQ34" i="51"/>
  <c r="BQ35" i="51"/>
  <c r="BQ36" i="51"/>
  <c r="BQ37" i="51"/>
  <c r="BQ38" i="51"/>
  <c r="BQ39" i="51"/>
  <c r="BQ40" i="51"/>
  <c r="BQ41" i="51"/>
  <c r="BQ42" i="51"/>
  <c r="BQ43" i="51"/>
  <c r="BQ44" i="51"/>
  <c r="BQ45" i="51"/>
  <c r="BQ46" i="51"/>
  <c r="BQ47" i="51"/>
  <c r="BQ48" i="51"/>
  <c r="BQ49" i="51"/>
  <c r="BQ50" i="51"/>
  <c r="BQ51" i="51"/>
  <c r="BQ52" i="51"/>
  <c r="BQ53" i="51"/>
  <c r="BQ54" i="51"/>
  <c r="BQ55" i="51"/>
  <c r="BQ56" i="51"/>
  <c r="BQ57" i="51"/>
  <c r="BQ58" i="51"/>
  <c r="BQ59" i="51"/>
  <c r="BQ60" i="51"/>
  <c r="BQ61" i="51"/>
  <c r="BQ62" i="51"/>
  <c r="BQ63" i="51"/>
  <c r="BQ64" i="51"/>
  <c r="BQ68" i="51"/>
  <c r="CE27" i="51"/>
  <c r="CE30" i="51" a="1"/>
  <c r="CE30" i="51"/>
  <c r="CE31" i="51" a="1"/>
  <c r="CE31" i="51"/>
  <c r="CE32" i="51" a="1"/>
  <c r="CE33" i="51" a="1"/>
  <c r="CE34" i="51" a="1"/>
  <c r="CE35" i="51" a="1"/>
  <c r="CE36" i="51" a="1"/>
  <c r="CE37" i="51" a="1"/>
  <c r="CE38" i="51" a="1"/>
  <c r="CE39" i="51" a="1"/>
  <c r="CE40" i="51" a="1"/>
  <c r="CE41" i="51" a="1"/>
  <c r="CE42" i="51" a="1"/>
  <c r="CE43" i="51" a="1"/>
  <c r="CE44" i="51" a="1"/>
  <c r="CE45" i="51" a="1"/>
  <c r="CE46" i="51" a="1"/>
  <c r="CE47" i="51" a="1"/>
  <c r="CE48" i="51" a="1"/>
  <c r="CE49" i="51" a="1"/>
  <c r="CE50" i="51" a="1"/>
  <c r="CE51" i="51" a="1"/>
  <c r="CE52" i="51" a="1"/>
  <c r="CE53" i="51" a="1"/>
  <c r="CE54" i="51" a="1"/>
  <c r="CE55" i="51" a="1"/>
  <c r="CE56" i="51" a="1"/>
  <c r="CE57" i="51" a="1"/>
  <c r="CE58" i="51" a="1"/>
  <c r="CE59" i="51" a="1"/>
  <c r="CE60" i="51" a="1"/>
  <c r="CE61" i="51" a="1"/>
  <c r="CE62" i="51" a="1"/>
  <c r="CE63" i="51" a="1"/>
  <c r="CE64" i="51" a="1"/>
  <c r="CE32" i="51"/>
  <c r="CE33" i="51"/>
  <c r="CE34" i="51"/>
  <c r="CE35" i="51"/>
  <c r="CE36" i="51"/>
  <c r="CE37" i="51"/>
  <c r="CE38" i="51"/>
  <c r="CE39" i="51"/>
  <c r="CE40" i="51"/>
  <c r="CE41" i="51"/>
  <c r="CE42" i="51"/>
  <c r="CE43" i="51"/>
  <c r="CE44" i="51"/>
  <c r="CE45" i="51"/>
  <c r="CE46" i="51"/>
  <c r="CE47" i="51"/>
  <c r="CE48" i="51"/>
  <c r="CE49" i="51"/>
  <c r="CE50" i="51"/>
  <c r="CE51" i="51"/>
  <c r="CE52" i="51"/>
  <c r="CE53" i="51"/>
  <c r="CE54" i="51"/>
  <c r="CE55" i="51"/>
  <c r="CE56" i="51"/>
  <c r="CE57" i="51"/>
  <c r="CE58" i="51"/>
  <c r="CE59" i="51"/>
  <c r="CE60" i="51"/>
  <c r="CE61" i="51"/>
  <c r="CE62" i="51"/>
  <c r="CE63" i="51"/>
  <c r="CE64" i="51"/>
  <c r="CE68" i="51"/>
  <c r="CQ27" i="51"/>
  <c r="CQ30" i="51" a="1"/>
  <c r="CQ30" i="51"/>
  <c r="CQ31" i="51" a="1"/>
  <c r="CQ31" i="51"/>
  <c r="CQ32" i="51" a="1"/>
  <c r="CQ33" i="51" a="1"/>
  <c r="CQ34" i="51" a="1"/>
  <c r="CQ35" i="51" a="1"/>
  <c r="CQ36" i="51" a="1"/>
  <c r="CQ37" i="51" a="1"/>
  <c r="CQ38" i="51" a="1"/>
  <c r="CQ39" i="51" a="1"/>
  <c r="CQ40" i="51" a="1"/>
  <c r="CQ41" i="51" a="1"/>
  <c r="CQ42" i="51" a="1"/>
  <c r="CQ43" i="51" a="1"/>
  <c r="CQ44" i="51" a="1"/>
  <c r="CQ45" i="51" a="1"/>
  <c r="CQ46" i="51" a="1"/>
  <c r="CQ47" i="51" a="1"/>
  <c r="CQ48" i="51" a="1"/>
  <c r="CQ49" i="51" a="1"/>
  <c r="CQ50" i="51" a="1"/>
  <c r="CQ51" i="51" a="1"/>
  <c r="CQ52" i="51" a="1"/>
  <c r="CQ53" i="51" a="1"/>
  <c r="CQ54" i="51" a="1"/>
  <c r="CQ55" i="51" a="1"/>
  <c r="CQ56" i="51" a="1"/>
  <c r="CQ57" i="51" a="1"/>
  <c r="CQ58" i="51" a="1"/>
  <c r="CQ59" i="51" a="1"/>
  <c r="CQ60" i="51" a="1"/>
  <c r="CQ61" i="51" a="1"/>
  <c r="CQ62" i="51" a="1"/>
  <c r="CQ63" i="51" a="1"/>
  <c r="CQ64" i="51" a="1"/>
  <c r="CQ32" i="51"/>
  <c r="CQ33" i="51"/>
  <c r="CQ34" i="51"/>
  <c r="CQ35" i="51"/>
  <c r="CQ36" i="51"/>
  <c r="CQ37" i="51"/>
  <c r="CQ38" i="51"/>
  <c r="CQ39" i="51"/>
  <c r="CQ40" i="51"/>
  <c r="CQ41" i="51"/>
  <c r="CQ42" i="51"/>
  <c r="CQ43" i="51"/>
  <c r="CQ44" i="51"/>
  <c r="CQ45" i="51"/>
  <c r="CQ46" i="51"/>
  <c r="CQ47" i="51"/>
  <c r="CQ48" i="51"/>
  <c r="CQ49" i="51"/>
  <c r="CQ50" i="51"/>
  <c r="CQ51" i="51"/>
  <c r="CQ52" i="51"/>
  <c r="CQ53" i="51"/>
  <c r="CQ54" i="51"/>
  <c r="CQ55" i="51"/>
  <c r="CQ56" i="51"/>
  <c r="CQ57" i="51"/>
  <c r="CQ58" i="51"/>
  <c r="CQ59" i="51"/>
  <c r="CQ60" i="51"/>
  <c r="CQ61" i="51"/>
  <c r="CQ62" i="51"/>
  <c r="CQ63" i="51"/>
  <c r="CQ64" i="51"/>
  <c r="CQ68" i="51"/>
  <c r="DE27" i="51"/>
  <c r="DE30" i="51" a="1"/>
  <c r="DE30" i="51"/>
  <c r="DE31" i="51" a="1"/>
  <c r="DE31" i="51"/>
  <c r="DE32" i="51" a="1"/>
  <c r="DE33" i="51" a="1"/>
  <c r="DE34" i="51" a="1"/>
  <c r="DE35" i="51" a="1"/>
  <c r="DE36" i="51" a="1"/>
  <c r="DE37" i="51" a="1"/>
  <c r="DE38" i="51" a="1"/>
  <c r="DE39" i="51" a="1"/>
  <c r="DE40" i="51" a="1"/>
  <c r="DE41" i="51" a="1"/>
  <c r="DE42" i="51" a="1"/>
  <c r="DE43" i="51" a="1"/>
  <c r="DE44" i="51" a="1"/>
  <c r="DE45" i="51" a="1"/>
  <c r="DE46" i="51" a="1"/>
  <c r="DE47" i="51" a="1"/>
  <c r="DE48" i="51" a="1"/>
  <c r="DE49" i="51" a="1"/>
  <c r="DE50" i="51" a="1"/>
  <c r="DE51" i="51" a="1"/>
  <c r="DE52" i="51" a="1"/>
  <c r="DE53" i="51" a="1"/>
  <c r="DE54" i="51" a="1"/>
  <c r="DE55" i="51" a="1"/>
  <c r="DE56" i="51" a="1"/>
  <c r="DE57" i="51" a="1"/>
  <c r="DE58" i="51" a="1"/>
  <c r="DE59" i="51" a="1"/>
  <c r="DE60" i="51" a="1"/>
  <c r="DE61" i="51" a="1"/>
  <c r="DE62" i="51" a="1"/>
  <c r="DE63" i="51" a="1"/>
  <c r="DE64" i="51" a="1"/>
  <c r="DE32" i="51"/>
  <c r="DE33" i="51"/>
  <c r="DE34" i="51"/>
  <c r="DE35" i="51"/>
  <c r="DE36" i="51"/>
  <c r="DE37" i="51"/>
  <c r="DE38" i="51"/>
  <c r="DE39" i="51"/>
  <c r="DE40" i="51"/>
  <c r="DE41" i="51"/>
  <c r="DE42" i="51"/>
  <c r="DE43" i="51"/>
  <c r="DE44" i="51"/>
  <c r="DE45" i="51"/>
  <c r="DE46" i="51"/>
  <c r="DE47" i="51"/>
  <c r="DE48" i="51"/>
  <c r="DE49" i="51"/>
  <c r="DE50" i="51"/>
  <c r="DE51" i="51"/>
  <c r="DE52" i="51"/>
  <c r="DE53" i="51"/>
  <c r="DE54" i="51"/>
  <c r="DE55" i="51"/>
  <c r="DE56" i="51"/>
  <c r="DE57" i="51"/>
  <c r="DE58" i="51"/>
  <c r="DE59" i="51"/>
  <c r="DE60" i="51"/>
  <c r="DE61" i="51"/>
  <c r="DE62" i="51"/>
  <c r="DE63" i="51"/>
  <c r="DE64" i="51"/>
  <c r="DE68" i="51"/>
  <c r="BQ71" i="51"/>
  <c r="BP27" i="51"/>
  <c r="BP30" i="51" a="1"/>
  <c r="BP30" i="51"/>
  <c r="BP31" i="51" a="1"/>
  <c r="BP31" i="51"/>
  <c r="BP32" i="51" a="1"/>
  <c r="BP33" i="51" a="1"/>
  <c r="BP34" i="51" a="1"/>
  <c r="BP35" i="51" a="1"/>
  <c r="BP36" i="51" a="1"/>
  <c r="BP37" i="51" a="1"/>
  <c r="BP38" i="51" a="1"/>
  <c r="BP39" i="51" a="1"/>
  <c r="BP40" i="51" a="1"/>
  <c r="BP41" i="51" a="1"/>
  <c r="BP42" i="51" a="1"/>
  <c r="BP43" i="51" a="1"/>
  <c r="BP44" i="51" a="1"/>
  <c r="BP45" i="51" a="1"/>
  <c r="BP46" i="51" a="1"/>
  <c r="BP47" i="51" a="1"/>
  <c r="BP48" i="51" a="1"/>
  <c r="BP49" i="51" a="1"/>
  <c r="BP50" i="51" a="1"/>
  <c r="BP51" i="51" a="1"/>
  <c r="BP52" i="51" a="1"/>
  <c r="BP53" i="51" a="1"/>
  <c r="BP54" i="51" a="1"/>
  <c r="BP55" i="51" a="1"/>
  <c r="BP56" i="51" a="1"/>
  <c r="BP57" i="51" a="1"/>
  <c r="BP58" i="51" a="1"/>
  <c r="BP59" i="51" a="1"/>
  <c r="BP60" i="51" a="1"/>
  <c r="BP61" i="51" a="1"/>
  <c r="BP62" i="51" a="1"/>
  <c r="BP63" i="51" a="1"/>
  <c r="BP64" i="51" a="1"/>
  <c r="BP32" i="51"/>
  <c r="BP33" i="51"/>
  <c r="BP34" i="51"/>
  <c r="BP35" i="51"/>
  <c r="BP36" i="51"/>
  <c r="BP37" i="51"/>
  <c r="BP38" i="51"/>
  <c r="BP39" i="51"/>
  <c r="BP40" i="51"/>
  <c r="BP41" i="51"/>
  <c r="BP42" i="51"/>
  <c r="BP43" i="51"/>
  <c r="BP44" i="51"/>
  <c r="BP45" i="51"/>
  <c r="BP46" i="51"/>
  <c r="BP47" i="51"/>
  <c r="BP48" i="51"/>
  <c r="BP49" i="51"/>
  <c r="BP50" i="51"/>
  <c r="BP51" i="51"/>
  <c r="BP52" i="51"/>
  <c r="BP53" i="51"/>
  <c r="BP54" i="51"/>
  <c r="BP55" i="51"/>
  <c r="BP56" i="51"/>
  <c r="BP57" i="51"/>
  <c r="BP58" i="51"/>
  <c r="BP59" i="51"/>
  <c r="BP60" i="51"/>
  <c r="BP61" i="51"/>
  <c r="BP62" i="51"/>
  <c r="BP63" i="51"/>
  <c r="BP64" i="51"/>
  <c r="BP68" i="51"/>
  <c r="CD27" i="51"/>
  <c r="CD30" i="51" a="1"/>
  <c r="CD30" i="51"/>
  <c r="CD31" i="51" a="1"/>
  <c r="CD31" i="51"/>
  <c r="CD32" i="51" a="1"/>
  <c r="CD33" i="51" a="1"/>
  <c r="CD34" i="51" a="1"/>
  <c r="CD35" i="51" a="1"/>
  <c r="CD36" i="51" a="1"/>
  <c r="CD37" i="51" a="1"/>
  <c r="CD38" i="51" a="1"/>
  <c r="CD39" i="51" a="1"/>
  <c r="CD40" i="51" a="1"/>
  <c r="CD41" i="51" a="1"/>
  <c r="CD42" i="51" a="1"/>
  <c r="CD43" i="51" a="1"/>
  <c r="CD44" i="51" a="1"/>
  <c r="CD45" i="51" a="1"/>
  <c r="CD46" i="51" a="1"/>
  <c r="CD47" i="51" a="1"/>
  <c r="CD48" i="51" a="1"/>
  <c r="CD49" i="51" a="1"/>
  <c r="CD50" i="51" a="1"/>
  <c r="CD51" i="51" a="1"/>
  <c r="CD52" i="51" a="1"/>
  <c r="CD53" i="51" a="1"/>
  <c r="CD54" i="51" a="1"/>
  <c r="CD55" i="51" a="1"/>
  <c r="CD56" i="51" a="1"/>
  <c r="CD57" i="51" a="1"/>
  <c r="CD58" i="51" a="1"/>
  <c r="CD59" i="51" a="1"/>
  <c r="CD60" i="51" a="1"/>
  <c r="CD61" i="51" a="1"/>
  <c r="CD62" i="51" a="1"/>
  <c r="CD63" i="51" a="1"/>
  <c r="CD64" i="51" a="1"/>
  <c r="CD32" i="51"/>
  <c r="CD33" i="51"/>
  <c r="CD34" i="51"/>
  <c r="CD35" i="51"/>
  <c r="CD36" i="51"/>
  <c r="CD37" i="51"/>
  <c r="CD38" i="51"/>
  <c r="CD39" i="51"/>
  <c r="CD40" i="51"/>
  <c r="CD41" i="51"/>
  <c r="CD42" i="51"/>
  <c r="CD43" i="51"/>
  <c r="CD44" i="51"/>
  <c r="CD45" i="51"/>
  <c r="CD46" i="51"/>
  <c r="CD47" i="51"/>
  <c r="CD48" i="51"/>
  <c r="CD49" i="51"/>
  <c r="CD50" i="51"/>
  <c r="CD51" i="51"/>
  <c r="CD52" i="51"/>
  <c r="CD53" i="51"/>
  <c r="CD54" i="51"/>
  <c r="CD55" i="51"/>
  <c r="CD56" i="51"/>
  <c r="CD57" i="51"/>
  <c r="CD58" i="51"/>
  <c r="CD59" i="51"/>
  <c r="CD60" i="51"/>
  <c r="CD61" i="51"/>
  <c r="CD62" i="51"/>
  <c r="CD63" i="51"/>
  <c r="CD64" i="51"/>
  <c r="CD68" i="51"/>
  <c r="CP27" i="51"/>
  <c r="CP30" i="51" a="1"/>
  <c r="CP30" i="51"/>
  <c r="CP31" i="51" a="1"/>
  <c r="CP31" i="51"/>
  <c r="CP32" i="51" a="1"/>
  <c r="CP33" i="51" a="1"/>
  <c r="CP34" i="51" a="1"/>
  <c r="CP35" i="51" a="1"/>
  <c r="CP36" i="51" a="1"/>
  <c r="CP37" i="51" a="1"/>
  <c r="CP38" i="51" a="1"/>
  <c r="CP39" i="51" a="1"/>
  <c r="CP40" i="51" a="1"/>
  <c r="CP41" i="51" a="1"/>
  <c r="CP42" i="51" a="1"/>
  <c r="CP43" i="51" a="1"/>
  <c r="CP44" i="51" a="1"/>
  <c r="CP45" i="51" a="1"/>
  <c r="CP46" i="51" a="1"/>
  <c r="CP47" i="51" a="1"/>
  <c r="CP48" i="51" a="1"/>
  <c r="CP49" i="51" a="1"/>
  <c r="CP50" i="51" a="1"/>
  <c r="CP51" i="51" a="1"/>
  <c r="CP52" i="51" a="1"/>
  <c r="CP53" i="51" a="1"/>
  <c r="CP54" i="51" a="1"/>
  <c r="CP55" i="51" a="1"/>
  <c r="CP56" i="51" a="1"/>
  <c r="CP57" i="51" a="1"/>
  <c r="CP58" i="51" a="1"/>
  <c r="CP59" i="51" a="1"/>
  <c r="CP60" i="51" a="1"/>
  <c r="CP61" i="51" a="1"/>
  <c r="CP62" i="51" a="1"/>
  <c r="CP63" i="51" a="1"/>
  <c r="CP64" i="51" a="1"/>
  <c r="CP32" i="51"/>
  <c r="CP33" i="51"/>
  <c r="CP34" i="51"/>
  <c r="CP35" i="51"/>
  <c r="CP36" i="51"/>
  <c r="CP37" i="51"/>
  <c r="CP38" i="51"/>
  <c r="CP39" i="51"/>
  <c r="CP40" i="51"/>
  <c r="CP41" i="51"/>
  <c r="CP42" i="51"/>
  <c r="CP43" i="51"/>
  <c r="CP44" i="51"/>
  <c r="CP45" i="51"/>
  <c r="CP46" i="51"/>
  <c r="CP47" i="51"/>
  <c r="CP48" i="51"/>
  <c r="CP49" i="51"/>
  <c r="CP50" i="51"/>
  <c r="CP51" i="51"/>
  <c r="CP52" i="51"/>
  <c r="CP53" i="51"/>
  <c r="CP54" i="51"/>
  <c r="CP55" i="51"/>
  <c r="CP56" i="51"/>
  <c r="CP57" i="51"/>
  <c r="CP58" i="51"/>
  <c r="CP59" i="51"/>
  <c r="CP60" i="51"/>
  <c r="CP61" i="51"/>
  <c r="CP62" i="51"/>
  <c r="CP63" i="51"/>
  <c r="CP64" i="51"/>
  <c r="CP68" i="51"/>
  <c r="DD27" i="51"/>
  <c r="DD30" i="51" a="1"/>
  <c r="DD30" i="51"/>
  <c r="DD31" i="51" a="1"/>
  <c r="DD31" i="51"/>
  <c r="DD32" i="51" a="1"/>
  <c r="DD33" i="51" a="1"/>
  <c r="DD34" i="51" a="1"/>
  <c r="DD35" i="51" a="1"/>
  <c r="DD36" i="51" a="1"/>
  <c r="DD37" i="51" a="1"/>
  <c r="DD38" i="51" a="1"/>
  <c r="DD39" i="51" a="1"/>
  <c r="DD40" i="51" a="1"/>
  <c r="DD41" i="51" a="1"/>
  <c r="DD42" i="51" a="1"/>
  <c r="DD43" i="51" a="1"/>
  <c r="DD44" i="51" a="1"/>
  <c r="DD45" i="51" a="1"/>
  <c r="DD46" i="51" a="1"/>
  <c r="DD47" i="51" a="1"/>
  <c r="DD48" i="51" a="1"/>
  <c r="DD49" i="51" a="1"/>
  <c r="DD50" i="51" a="1"/>
  <c r="DD51" i="51" a="1"/>
  <c r="DD52" i="51" a="1"/>
  <c r="DD53" i="51" a="1"/>
  <c r="DD54" i="51" a="1"/>
  <c r="DD55" i="51" a="1"/>
  <c r="DD56" i="51" a="1"/>
  <c r="DD57" i="51" a="1"/>
  <c r="DD58" i="51" a="1"/>
  <c r="DD59" i="51" a="1"/>
  <c r="DD60" i="51" a="1"/>
  <c r="DD61" i="51" a="1"/>
  <c r="DD62" i="51" a="1"/>
  <c r="DD63" i="51" a="1"/>
  <c r="DD64" i="51" a="1"/>
  <c r="DD32" i="51"/>
  <c r="DD33" i="51"/>
  <c r="DD34" i="51"/>
  <c r="DD35" i="51"/>
  <c r="DD36" i="51"/>
  <c r="DD37" i="51"/>
  <c r="DD38" i="51"/>
  <c r="DD39" i="51"/>
  <c r="DD40" i="51"/>
  <c r="DD41" i="51"/>
  <c r="DD42" i="51"/>
  <c r="DD43" i="51"/>
  <c r="DD44" i="51"/>
  <c r="DD45" i="51"/>
  <c r="DD46" i="51"/>
  <c r="DD47" i="51"/>
  <c r="DD48" i="51"/>
  <c r="DD49" i="51"/>
  <c r="DD50" i="51"/>
  <c r="DD51" i="51"/>
  <c r="DD52" i="51"/>
  <c r="DD53" i="51"/>
  <c r="DD54" i="51"/>
  <c r="DD55" i="51"/>
  <c r="DD56" i="51"/>
  <c r="DD57" i="51"/>
  <c r="DD58" i="51"/>
  <c r="DD59" i="51"/>
  <c r="DD60" i="51"/>
  <c r="DD61" i="51"/>
  <c r="DD62" i="51"/>
  <c r="DD63" i="51"/>
  <c r="DD64" i="51"/>
  <c r="DD68" i="51"/>
  <c r="BP71" i="51"/>
  <c r="BO27" i="51"/>
  <c r="BO30" i="51" a="1"/>
  <c r="BO30" i="51"/>
  <c r="BO31" i="51" a="1"/>
  <c r="BO31" i="51"/>
  <c r="BO32" i="51" a="1"/>
  <c r="BO33" i="51" a="1"/>
  <c r="BO34" i="51" a="1"/>
  <c r="BO35" i="51" a="1"/>
  <c r="BO36" i="51" a="1"/>
  <c r="BO37" i="51" a="1"/>
  <c r="BO38" i="51" a="1"/>
  <c r="BO39" i="51" a="1"/>
  <c r="BO40" i="51" a="1"/>
  <c r="BO41" i="51" a="1"/>
  <c r="BO42" i="51" a="1"/>
  <c r="BO43" i="51" a="1"/>
  <c r="BO44" i="51" a="1"/>
  <c r="BO45" i="51" a="1"/>
  <c r="BO46" i="51" a="1"/>
  <c r="BO47" i="51" a="1"/>
  <c r="BO48" i="51" a="1"/>
  <c r="BO49" i="51" a="1"/>
  <c r="BO50" i="51" a="1"/>
  <c r="BO51" i="51" a="1"/>
  <c r="BO52" i="51" a="1"/>
  <c r="BO53" i="51" a="1"/>
  <c r="BO54" i="51" a="1"/>
  <c r="BO55" i="51" a="1"/>
  <c r="BO56" i="51" a="1"/>
  <c r="BO57" i="51" a="1"/>
  <c r="BO58" i="51" a="1"/>
  <c r="BO59" i="51" a="1"/>
  <c r="BO60" i="51" a="1"/>
  <c r="BO61" i="51" a="1"/>
  <c r="BO62" i="51" a="1"/>
  <c r="BO63" i="51" a="1"/>
  <c r="BO64" i="51" a="1"/>
  <c r="BO32" i="51"/>
  <c r="BO33" i="51"/>
  <c r="BO34" i="51"/>
  <c r="BO35" i="51"/>
  <c r="BO36" i="51"/>
  <c r="BO37" i="51"/>
  <c r="BO38" i="51"/>
  <c r="BO39" i="51"/>
  <c r="BO40" i="51"/>
  <c r="BO41" i="51"/>
  <c r="BO42" i="51"/>
  <c r="BO43" i="51"/>
  <c r="BO44" i="51"/>
  <c r="BO45" i="51"/>
  <c r="BO46" i="51"/>
  <c r="BO47" i="51"/>
  <c r="BO48" i="51"/>
  <c r="BO49" i="51"/>
  <c r="BO50" i="51"/>
  <c r="BO51" i="51"/>
  <c r="BO52" i="51"/>
  <c r="BO53" i="51"/>
  <c r="BO54" i="51"/>
  <c r="BO55" i="51"/>
  <c r="BO56" i="51"/>
  <c r="BO57" i="51"/>
  <c r="BO58" i="51"/>
  <c r="BO59" i="51"/>
  <c r="BO60" i="51"/>
  <c r="BO61" i="51"/>
  <c r="BO62" i="51"/>
  <c r="BO63" i="51"/>
  <c r="BO64" i="51"/>
  <c r="BO68" i="51"/>
  <c r="CC27" i="51"/>
  <c r="CC30" i="51" a="1"/>
  <c r="CC30" i="51"/>
  <c r="CC31" i="51" a="1"/>
  <c r="CC31" i="51"/>
  <c r="CC32" i="51" a="1"/>
  <c r="CC33" i="51" a="1"/>
  <c r="CC34" i="51" a="1"/>
  <c r="CC35" i="51" a="1"/>
  <c r="CC36" i="51" a="1"/>
  <c r="CC37" i="51" a="1"/>
  <c r="CC38" i="51" a="1"/>
  <c r="CC39" i="51" a="1"/>
  <c r="CC40" i="51" a="1"/>
  <c r="CC41" i="51" a="1"/>
  <c r="CC42" i="51" a="1"/>
  <c r="CC43" i="51" a="1"/>
  <c r="CC44" i="51" a="1"/>
  <c r="CC45" i="51" a="1"/>
  <c r="CC46" i="51" a="1"/>
  <c r="CC47" i="51" a="1"/>
  <c r="CC48" i="51" a="1"/>
  <c r="CC49" i="51" a="1"/>
  <c r="CC50" i="51" a="1"/>
  <c r="CC51" i="51" a="1"/>
  <c r="CC52" i="51" a="1"/>
  <c r="CC53" i="51" a="1"/>
  <c r="CC54" i="51" a="1"/>
  <c r="CC55" i="51" a="1"/>
  <c r="CC56" i="51" a="1"/>
  <c r="CC57" i="51" a="1"/>
  <c r="CC58" i="51" a="1"/>
  <c r="CC59" i="51" a="1"/>
  <c r="CC60" i="51" a="1"/>
  <c r="CC61" i="51" a="1"/>
  <c r="CC62" i="51" a="1"/>
  <c r="CC63" i="51" a="1"/>
  <c r="CC64" i="51" a="1"/>
  <c r="CC32" i="51"/>
  <c r="CC33" i="51"/>
  <c r="CC34" i="51"/>
  <c r="CC35" i="51"/>
  <c r="CC36" i="51"/>
  <c r="CC37" i="51"/>
  <c r="CC38" i="51"/>
  <c r="CC39" i="51"/>
  <c r="CC40" i="51"/>
  <c r="CC41" i="51"/>
  <c r="CC42" i="51"/>
  <c r="CC43" i="51"/>
  <c r="CC44" i="51"/>
  <c r="CC45" i="51"/>
  <c r="CC46" i="51"/>
  <c r="CC47" i="51"/>
  <c r="CC48" i="51"/>
  <c r="CC49" i="51"/>
  <c r="CC50" i="51"/>
  <c r="CC51" i="51"/>
  <c r="CC52" i="51"/>
  <c r="CC53" i="51"/>
  <c r="CC54" i="51"/>
  <c r="CC55" i="51"/>
  <c r="CC56" i="51"/>
  <c r="CC57" i="51"/>
  <c r="CC58" i="51"/>
  <c r="CC59" i="51"/>
  <c r="CC60" i="51"/>
  <c r="CC61" i="51"/>
  <c r="CC62" i="51"/>
  <c r="CC63" i="51"/>
  <c r="CC64" i="51"/>
  <c r="CC68" i="51"/>
  <c r="CO27" i="51"/>
  <c r="CO30" i="51" a="1"/>
  <c r="CO30" i="51"/>
  <c r="CO31" i="51" a="1"/>
  <c r="CO31" i="51"/>
  <c r="CO32" i="51" a="1"/>
  <c r="CO33" i="51" a="1"/>
  <c r="CO34" i="51" a="1"/>
  <c r="CO35" i="51" a="1"/>
  <c r="CO36" i="51" a="1"/>
  <c r="CO37" i="51" a="1"/>
  <c r="CO38" i="51" a="1"/>
  <c r="CO39" i="51" a="1"/>
  <c r="CO40" i="51" a="1"/>
  <c r="CO41" i="51" a="1"/>
  <c r="CO42" i="51" a="1"/>
  <c r="CO43" i="51" a="1"/>
  <c r="CO44" i="51" a="1"/>
  <c r="CO45" i="51" a="1"/>
  <c r="CO46" i="51" a="1"/>
  <c r="CO47" i="51" a="1"/>
  <c r="CO48" i="51" a="1"/>
  <c r="CO49" i="51" a="1"/>
  <c r="CO50" i="51" a="1"/>
  <c r="CO51" i="51" a="1"/>
  <c r="CO52" i="51" a="1"/>
  <c r="CO53" i="51" a="1"/>
  <c r="CO54" i="51" a="1"/>
  <c r="CO55" i="51" a="1"/>
  <c r="CO56" i="51" a="1"/>
  <c r="CO57" i="51" a="1"/>
  <c r="CO58" i="51" a="1"/>
  <c r="CO59" i="51" a="1"/>
  <c r="CO60" i="51" a="1"/>
  <c r="CO61" i="51" a="1"/>
  <c r="CO62" i="51" a="1"/>
  <c r="CO63" i="51" a="1"/>
  <c r="CO64" i="51" a="1"/>
  <c r="CO32" i="51"/>
  <c r="CO33" i="51"/>
  <c r="CO34" i="51"/>
  <c r="CO35" i="51"/>
  <c r="CO36" i="51"/>
  <c r="CO37" i="51"/>
  <c r="CO38" i="51"/>
  <c r="CO39" i="51"/>
  <c r="CO40" i="51"/>
  <c r="CO41" i="51"/>
  <c r="CO42" i="51"/>
  <c r="CO43" i="51"/>
  <c r="CO44" i="51"/>
  <c r="CO45" i="51"/>
  <c r="CO46" i="51"/>
  <c r="CO47" i="51"/>
  <c r="CO48" i="51"/>
  <c r="CO49" i="51"/>
  <c r="CO50" i="51"/>
  <c r="CO51" i="51"/>
  <c r="CO52" i="51"/>
  <c r="CO53" i="51"/>
  <c r="CO54" i="51"/>
  <c r="CO55" i="51"/>
  <c r="CO56" i="51"/>
  <c r="CO57" i="51"/>
  <c r="CO58" i="51"/>
  <c r="CO59" i="51"/>
  <c r="CO60" i="51"/>
  <c r="CO61" i="51"/>
  <c r="CO62" i="51"/>
  <c r="CO63" i="51"/>
  <c r="CO64" i="51"/>
  <c r="CO68" i="51"/>
  <c r="DC27" i="51"/>
  <c r="DC30" i="51" a="1"/>
  <c r="DC30" i="51"/>
  <c r="DC31" i="51" a="1"/>
  <c r="DC31" i="51"/>
  <c r="DC32" i="51" a="1"/>
  <c r="DC33" i="51" a="1"/>
  <c r="DC34" i="51" a="1"/>
  <c r="DC35" i="51" a="1"/>
  <c r="DC36" i="51" a="1"/>
  <c r="DC37" i="51" a="1"/>
  <c r="DC38" i="51" a="1"/>
  <c r="DC39" i="51" a="1"/>
  <c r="DC40" i="51" a="1"/>
  <c r="DC41" i="51" a="1"/>
  <c r="DC42" i="51" a="1"/>
  <c r="DC43" i="51" a="1"/>
  <c r="DC44" i="51" a="1"/>
  <c r="DC45" i="51" a="1"/>
  <c r="DC46" i="51" a="1"/>
  <c r="DC47" i="51" a="1"/>
  <c r="DC48" i="51" a="1"/>
  <c r="DC49" i="51" a="1"/>
  <c r="DC50" i="51" a="1"/>
  <c r="DC51" i="51" a="1"/>
  <c r="DC52" i="51" a="1"/>
  <c r="DC53" i="51" a="1"/>
  <c r="DC54" i="51" a="1"/>
  <c r="DC55" i="51" a="1"/>
  <c r="DC56" i="51" a="1"/>
  <c r="DC57" i="51" a="1"/>
  <c r="DC58" i="51" a="1"/>
  <c r="DC59" i="51" a="1"/>
  <c r="DC60" i="51" a="1"/>
  <c r="DC61" i="51" a="1"/>
  <c r="DC62" i="51" a="1"/>
  <c r="DC63" i="51" a="1"/>
  <c r="DC64" i="51" a="1"/>
  <c r="DC32" i="51"/>
  <c r="DC33" i="51"/>
  <c r="DC34" i="51"/>
  <c r="DC35" i="51"/>
  <c r="DC36" i="51"/>
  <c r="DC37" i="51"/>
  <c r="DC38" i="51"/>
  <c r="DC39" i="51"/>
  <c r="DC40" i="51"/>
  <c r="DC41" i="51"/>
  <c r="DC42" i="51"/>
  <c r="DC43" i="51"/>
  <c r="DC44" i="51"/>
  <c r="DC45" i="51"/>
  <c r="DC46" i="51"/>
  <c r="DC47" i="51"/>
  <c r="DC48" i="51"/>
  <c r="DC49" i="51"/>
  <c r="DC50" i="51"/>
  <c r="DC51" i="51"/>
  <c r="DC52" i="51"/>
  <c r="DC53" i="51"/>
  <c r="DC54" i="51"/>
  <c r="DC55" i="51"/>
  <c r="DC56" i="51"/>
  <c r="DC57" i="51"/>
  <c r="DC58" i="51"/>
  <c r="DC59" i="51"/>
  <c r="DC60" i="51"/>
  <c r="DC61" i="51"/>
  <c r="DC62" i="51"/>
  <c r="DC63" i="51"/>
  <c r="DC64" i="51"/>
  <c r="DC68" i="51"/>
  <c r="BO71" i="51"/>
  <c r="BN27" i="51"/>
  <c r="BN30" i="51" a="1"/>
  <c r="BN30" i="51"/>
  <c r="BN31" i="51" a="1"/>
  <c r="BN31" i="51"/>
  <c r="BN32" i="51" a="1"/>
  <c r="BN33" i="51" a="1"/>
  <c r="BN34" i="51" a="1"/>
  <c r="BN35" i="51" a="1"/>
  <c r="BN36" i="51" a="1"/>
  <c r="BN37" i="51" a="1"/>
  <c r="BN38" i="51" a="1"/>
  <c r="BN39" i="51" a="1"/>
  <c r="BN40" i="51" a="1"/>
  <c r="BN41" i="51" a="1"/>
  <c r="BN42" i="51" a="1"/>
  <c r="BN43" i="51" a="1"/>
  <c r="BN44" i="51" a="1"/>
  <c r="BN45" i="51" a="1"/>
  <c r="BN46" i="51" a="1"/>
  <c r="BN47" i="51" a="1"/>
  <c r="BN48" i="51" a="1"/>
  <c r="BN49" i="51" a="1"/>
  <c r="BN50" i="51" a="1"/>
  <c r="BN51" i="51" a="1"/>
  <c r="BN52" i="51" a="1"/>
  <c r="BN53" i="51" a="1"/>
  <c r="BN54" i="51" a="1"/>
  <c r="BN55" i="51" a="1"/>
  <c r="BN56" i="51" a="1"/>
  <c r="BN57" i="51" a="1"/>
  <c r="BN58" i="51" a="1"/>
  <c r="BN59" i="51" a="1"/>
  <c r="BN60" i="51" a="1"/>
  <c r="BN61" i="51" a="1"/>
  <c r="BN62" i="51" a="1"/>
  <c r="BN63" i="51" a="1"/>
  <c r="BN64" i="51" a="1"/>
  <c r="BN32" i="51"/>
  <c r="BN33" i="51"/>
  <c r="BN34" i="51"/>
  <c r="BN35" i="51"/>
  <c r="BN36" i="51"/>
  <c r="BN37" i="51"/>
  <c r="BN38" i="51"/>
  <c r="BN39" i="51"/>
  <c r="BN40" i="51"/>
  <c r="BN41" i="51"/>
  <c r="BN42" i="51"/>
  <c r="BN43" i="51"/>
  <c r="BN44" i="51"/>
  <c r="BN45" i="51"/>
  <c r="BN46" i="51"/>
  <c r="BN47" i="51"/>
  <c r="BN48" i="51"/>
  <c r="BN49" i="51"/>
  <c r="BN50" i="51"/>
  <c r="BN51" i="51"/>
  <c r="BN52" i="51"/>
  <c r="BN53" i="51"/>
  <c r="BN54" i="51"/>
  <c r="BN55" i="51"/>
  <c r="BN56" i="51"/>
  <c r="BN57" i="51"/>
  <c r="BN58" i="51"/>
  <c r="BN59" i="51"/>
  <c r="BN60" i="51"/>
  <c r="BN61" i="51"/>
  <c r="BN62" i="51"/>
  <c r="BN63" i="51"/>
  <c r="BN64" i="51"/>
  <c r="BN68" i="51"/>
  <c r="CB27" i="51"/>
  <c r="CB30" i="51" a="1"/>
  <c r="CB30" i="51"/>
  <c r="CB31" i="51" a="1"/>
  <c r="CB31" i="51"/>
  <c r="CB32" i="51" a="1"/>
  <c r="CB33" i="51" a="1"/>
  <c r="CB34" i="51" a="1"/>
  <c r="CB35" i="51" a="1"/>
  <c r="CB36" i="51" a="1"/>
  <c r="CB37" i="51" a="1"/>
  <c r="CB38" i="51" a="1"/>
  <c r="CB39" i="51" a="1"/>
  <c r="CB40" i="51" a="1"/>
  <c r="CB41" i="51" a="1"/>
  <c r="CB42" i="51" a="1"/>
  <c r="CB43" i="51" a="1"/>
  <c r="CB44" i="51" a="1"/>
  <c r="CB45" i="51" a="1"/>
  <c r="CB46" i="51" a="1"/>
  <c r="CB47" i="51" a="1"/>
  <c r="CB48" i="51" a="1"/>
  <c r="CB49" i="51" a="1"/>
  <c r="CB50" i="51" a="1"/>
  <c r="CB51" i="51" a="1"/>
  <c r="CB52" i="51" a="1"/>
  <c r="CB53" i="51" a="1"/>
  <c r="CB54" i="51" a="1"/>
  <c r="CB55" i="51" a="1"/>
  <c r="CB56" i="51" a="1"/>
  <c r="CB57" i="51" a="1"/>
  <c r="CB58" i="51" a="1"/>
  <c r="CB59" i="51" a="1"/>
  <c r="CB60" i="51" a="1"/>
  <c r="CB61" i="51" a="1"/>
  <c r="CB62" i="51" a="1"/>
  <c r="CB63" i="51" a="1"/>
  <c r="CB64" i="51" a="1"/>
  <c r="CB32" i="51"/>
  <c r="CB33" i="51"/>
  <c r="CB34" i="51"/>
  <c r="CB35" i="51"/>
  <c r="CB36" i="51"/>
  <c r="CB37" i="51"/>
  <c r="CB38" i="51"/>
  <c r="CB39" i="51"/>
  <c r="CB40" i="51"/>
  <c r="CB41" i="51"/>
  <c r="CB42" i="51"/>
  <c r="CB43" i="51"/>
  <c r="CB44" i="51"/>
  <c r="CB45" i="51"/>
  <c r="CB46" i="51"/>
  <c r="CB47" i="51"/>
  <c r="CB48" i="51"/>
  <c r="CB49" i="51"/>
  <c r="CB50" i="51"/>
  <c r="CB51" i="51"/>
  <c r="CB52" i="51"/>
  <c r="CB53" i="51"/>
  <c r="CB54" i="51"/>
  <c r="CB55" i="51"/>
  <c r="CB56" i="51"/>
  <c r="CB57" i="51"/>
  <c r="CB58" i="51"/>
  <c r="CB59" i="51"/>
  <c r="CB60" i="51"/>
  <c r="CB61" i="51"/>
  <c r="CB62" i="51"/>
  <c r="CB63" i="51"/>
  <c r="CB64" i="51"/>
  <c r="CB68" i="51"/>
  <c r="CN27" i="51"/>
  <c r="CN30" i="51" a="1"/>
  <c r="CN30" i="51"/>
  <c r="CN31" i="51" a="1"/>
  <c r="CN31" i="51"/>
  <c r="CN32" i="51" a="1"/>
  <c r="CN33" i="51" a="1"/>
  <c r="CN34" i="51" a="1"/>
  <c r="CN35" i="51" a="1"/>
  <c r="CN36" i="51" a="1"/>
  <c r="CN37" i="51" a="1"/>
  <c r="CN38" i="51" a="1"/>
  <c r="CN39" i="51" a="1"/>
  <c r="CN40" i="51" a="1"/>
  <c r="CN41" i="51" a="1"/>
  <c r="CN42" i="51" a="1"/>
  <c r="CN43" i="51" a="1"/>
  <c r="CN44" i="51" a="1"/>
  <c r="CN45" i="51" a="1"/>
  <c r="CN46" i="51" a="1"/>
  <c r="CN47" i="51" a="1"/>
  <c r="CN48" i="51" a="1"/>
  <c r="CN49" i="51" a="1"/>
  <c r="CN50" i="51" a="1"/>
  <c r="CN51" i="51" a="1"/>
  <c r="CN52" i="51" a="1"/>
  <c r="CN53" i="51" a="1"/>
  <c r="CN54" i="51" a="1"/>
  <c r="CN55" i="51" a="1"/>
  <c r="CN56" i="51" a="1"/>
  <c r="CN57" i="51" a="1"/>
  <c r="CN58" i="51" a="1"/>
  <c r="CN59" i="51" a="1"/>
  <c r="CN60" i="51" a="1"/>
  <c r="CN61" i="51" a="1"/>
  <c r="CN62" i="51" a="1"/>
  <c r="CN63" i="51" a="1"/>
  <c r="CN64" i="51" a="1"/>
  <c r="CN32" i="51"/>
  <c r="CN33" i="51"/>
  <c r="CN34" i="51"/>
  <c r="CN35" i="51"/>
  <c r="CN36" i="51"/>
  <c r="CN37" i="51"/>
  <c r="CN38" i="51"/>
  <c r="CN39" i="51"/>
  <c r="CN40" i="51"/>
  <c r="CN41" i="51"/>
  <c r="CN42" i="51"/>
  <c r="CN43" i="51"/>
  <c r="CN44" i="51"/>
  <c r="CN45" i="51"/>
  <c r="CN46" i="51"/>
  <c r="CN47" i="51"/>
  <c r="CN48" i="51"/>
  <c r="CN49" i="51"/>
  <c r="CN50" i="51"/>
  <c r="CN51" i="51"/>
  <c r="CN52" i="51"/>
  <c r="CN53" i="51"/>
  <c r="CN54" i="51"/>
  <c r="CN55" i="51"/>
  <c r="CN56" i="51"/>
  <c r="CN57" i="51"/>
  <c r="CN58" i="51"/>
  <c r="CN59" i="51"/>
  <c r="CN60" i="51"/>
  <c r="CN61" i="51"/>
  <c r="CN62" i="51"/>
  <c r="CN63" i="51"/>
  <c r="CN64" i="51"/>
  <c r="CN68" i="51"/>
  <c r="DB27" i="51"/>
  <c r="DB30" i="51" a="1"/>
  <c r="DB30" i="51"/>
  <c r="DB31" i="51" a="1"/>
  <c r="DB31" i="51"/>
  <c r="DB32" i="51" a="1"/>
  <c r="DB33" i="51" a="1"/>
  <c r="DB34" i="51" a="1"/>
  <c r="DB35" i="51" a="1"/>
  <c r="DB36" i="51" a="1"/>
  <c r="DB37" i="51" a="1"/>
  <c r="DB38" i="51" a="1"/>
  <c r="DB39" i="51" a="1"/>
  <c r="DB40" i="51" a="1"/>
  <c r="DB41" i="51" a="1"/>
  <c r="DB42" i="51" a="1"/>
  <c r="DB43" i="51" a="1"/>
  <c r="DB44" i="51" a="1"/>
  <c r="DB45" i="51" a="1"/>
  <c r="DB46" i="51" a="1"/>
  <c r="DB47" i="51" a="1"/>
  <c r="DB48" i="51" a="1"/>
  <c r="DB49" i="51" a="1"/>
  <c r="DB50" i="51" a="1"/>
  <c r="DB51" i="51" a="1"/>
  <c r="DB52" i="51" a="1"/>
  <c r="DB53" i="51" a="1"/>
  <c r="DB54" i="51" a="1"/>
  <c r="DB55" i="51" a="1"/>
  <c r="DB56" i="51" a="1"/>
  <c r="DB57" i="51" a="1"/>
  <c r="DB58" i="51" a="1"/>
  <c r="DB59" i="51" a="1"/>
  <c r="DB60" i="51" a="1"/>
  <c r="DB61" i="51" a="1"/>
  <c r="DB62" i="51" a="1"/>
  <c r="DB63" i="51" a="1"/>
  <c r="DB64" i="51" a="1"/>
  <c r="DB32" i="51"/>
  <c r="DB33" i="51"/>
  <c r="DB34" i="51"/>
  <c r="DB35" i="51"/>
  <c r="DB36" i="51"/>
  <c r="DB37" i="51"/>
  <c r="DB38" i="51"/>
  <c r="DB39" i="51"/>
  <c r="DB40" i="51"/>
  <c r="DB41" i="51"/>
  <c r="DB42" i="51"/>
  <c r="DB43" i="51"/>
  <c r="DB44" i="51"/>
  <c r="DB45" i="51"/>
  <c r="DB46" i="51"/>
  <c r="DB47" i="51"/>
  <c r="DB48" i="51"/>
  <c r="DB49" i="51"/>
  <c r="DB50" i="51"/>
  <c r="DB51" i="51"/>
  <c r="DB52" i="51"/>
  <c r="DB53" i="51"/>
  <c r="DB54" i="51"/>
  <c r="DB55" i="51"/>
  <c r="DB56" i="51"/>
  <c r="DB57" i="51"/>
  <c r="DB58" i="51"/>
  <c r="DB59" i="51"/>
  <c r="DB60" i="51"/>
  <c r="DB61" i="51"/>
  <c r="DB62" i="51"/>
  <c r="DB63" i="51"/>
  <c r="DB64" i="51"/>
  <c r="DB68" i="51"/>
  <c r="BN71" i="51"/>
  <c r="BM27" i="51"/>
  <c r="BM30" i="51" a="1"/>
  <c r="BM30" i="51"/>
  <c r="BM31" i="51" a="1"/>
  <c r="BM31" i="51"/>
  <c r="BM32" i="51" a="1"/>
  <c r="BM33" i="51" a="1"/>
  <c r="BM34" i="51" a="1"/>
  <c r="BM35" i="51" a="1"/>
  <c r="BM36" i="51" a="1"/>
  <c r="BM37" i="51" a="1"/>
  <c r="BM38" i="51" a="1"/>
  <c r="BM39" i="51" a="1"/>
  <c r="BM40" i="51" a="1"/>
  <c r="BM41" i="51" a="1"/>
  <c r="BM42" i="51" a="1"/>
  <c r="BM43" i="51" a="1"/>
  <c r="BM44" i="51" a="1"/>
  <c r="BM45" i="51" a="1"/>
  <c r="BM46" i="51" a="1"/>
  <c r="BM47" i="51" a="1"/>
  <c r="BM48" i="51" a="1"/>
  <c r="BM49" i="51" a="1"/>
  <c r="BM50" i="51" a="1"/>
  <c r="BM51" i="51" a="1"/>
  <c r="BM52" i="51" a="1"/>
  <c r="BM53" i="51" a="1"/>
  <c r="BM54" i="51" a="1"/>
  <c r="BM55" i="51" a="1"/>
  <c r="BM56" i="51" a="1"/>
  <c r="BM57" i="51" a="1"/>
  <c r="BM58" i="51" a="1"/>
  <c r="BM59" i="51" a="1"/>
  <c r="BM60" i="51" a="1"/>
  <c r="BM61" i="51" a="1"/>
  <c r="BM62" i="51" a="1"/>
  <c r="BM63" i="51" a="1"/>
  <c r="BM64" i="51" a="1"/>
  <c r="BM32" i="51"/>
  <c r="BM33" i="51"/>
  <c r="BM34" i="51"/>
  <c r="BM35" i="51"/>
  <c r="BM36" i="51"/>
  <c r="BM37" i="51"/>
  <c r="BM38" i="51"/>
  <c r="BM39" i="51"/>
  <c r="BM40" i="51"/>
  <c r="BM41" i="51"/>
  <c r="BM42" i="51"/>
  <c r="BM43" i="51"/>
  <c r="BM44" i="51"/>
  <c r="BM45" i="51"/>
  <c r="BM46" i="51"/>
  <c r="BM47" i="51"/>
  <c r="BM48" i="51"/>
  <c r="BM49" i="51"/>
  <c r="BM50" i="51"/>
  <c r="BM51" i="51"/>
  <c r="BM52" i="51"/>
  <c r="BM53" i="51"/>
  <c r="BM54" i="51"/>
  <c r="BM55" i="51"/>
  <c r="BM56" i="51"/>
  <c r="BM57" i="51"/>
  <c r="BM58" i="51"/>
  <c r="BM59" i="51"/>
  <c r="BM60" i="51"/>
  <c r="BM61" i="51"/>
  <c r="BM62" i="51"/>
  <c r="BM63" i="51"/>
  <c r="BM64" i="51"/>
  <c r="BM68" i="51"/>
  <c r="CA27" i="51"/>
  <c r="CA30" i="51" a="1"/>
  <c r="CA30" i="51"/>
  <c r="CA31" i="51" a="1"/>
  <c r="CA31" i="51"/>
  <c r="CA32" i="51" a="1"/>
  <c r="CA33" i="51" a="1"/>
  <c r="CA34" i="51" a="1"/>
  <c r="CA35" i="51" a="1"/>
  <c r="CA36" i="51" a="1"/>
  <c r="CA37" i="51" a="1"/>
  <c r="CA38" i="51" a="1"/>
  <c r="CA39" i="51" a="1"/>
  <c r="CA40" i="51" a="1"/>
  <c r="CA41" i="51" a="1"/>
  <c r="CA42" i="51" a="1"/>
  <c r="CA43" i="51" a="1"/>
  <c r="CA44" i="51" a="1"/>
  <c r="CA45" i="51" a="1"/>
  <c r="CA46" i="51" a="1"/>
  <c r="CA47" i="51" a="1"/>
  <c r="CA48" i="51" a="1"/>
  <c r="CA49" i="51" a="1"/>
  <c r="CA50" i="51" a="1"/>
  <c r="CA51" i="51" a="1"/>
  <c r="CA52" i="51" a="1"/>
  <c r="CA53" i="51" a="1"/>
  <c r="CA54" i="51" a="1"/>
  <c r="CA55" i="51" a="1"/>
  <c r="CA56" i="51" a="1"/>
  <c r="CA57" i="51" a="1"/>
  <c r="CA58" i="51" a="1"/>
  <c r="CA59" i="51" a="1"/>
  <c r="CA60" i="51" a="1"/>
  <c r="CA61" i="51" a="1"/>
  <c r="CA62" i="51" a="1"/>
  <c r="CA63" i="51" a="1"/>
  <c r="CA64" i="51" a="1"/>
  <c r="CA32" i="51"/>
  <c r="CA33" i="51"/>
  <c r="CA34" i="51"/>
  <c r="CA35" i="51"/>
  <c r="CA36" i="51"/>
  <c r="CA37" i="51"/>
  <c r="CA38" i="51"/>
  <c r="CA39" i="51"/>
  <c r="CA40" i="51"/>
  <c r="CA41" i="51"/>
  <c r="CA42" i="51"/>
  <c r="CA43" i="51"/>
  <c r="CA44" i="51"/>
  <c r="CA45" i="51"/>
  <c r="CA46" i="51"/>
  <c r="CA47" i="51"/>
  <c r="CA48" i="51"/>
  <c r="CA49" i="51"/>
  <c r="CA50" i="51"/>
  <c r="CA51" i="51"/>
  <c r="CA52" i="51"/>
  <c r="CA53" i="51"/>
  <c r="CA54" i="51"/>
  <c r="CA55" i="51"/>
  <c r="CA56" i="51"/>
  <c r="CA57" i="51"/>
  <c r="CA58" i="51"/>
  <c r="CA59" i="51"/>
  <c r="CA60" i="51"/>
  <c r="CA61" i="51"/>
  <c r="CA62" i="51"/>
  <c r="CA63" i="51"/>
  <c r="CA64" i="51"/>
  <c r="CA68" i="51"/>
  <c r="DA27" i="51"/>
  <c r="DA30" i="51" a="1"/>
  <c r="DA30" i="51"/>
  <c r="DA31" i="51" a="1"/>
  <c r="DA31" i="51"/>
  <c r="DA32" i="51" a="1"/>
  <c r="DA33" i="51" a="1"/>
  <c r="DA34" i="51" a="1"/>
  <c r="DA35" i="51" a="1"/>
  <c r="DA36" i="51" a="1"/>
  <c r="DA37" i="51" a="1"/>
  <c r="DA38" i="51" a="1"/>
  <c r="DA39" i="51" a="1"/>
  <c r="DA40" i="51" a="1"/>
  <c r="DA41" i="51" a="1"/>
  <c r="DA42" i="51" a="1"/>
  <c r="DA43" i="51" a="1"/>
  <c r="DA44" i="51" a="1"/>
  <c r="DA45" i="51" a="1"/>
  <c r="DA46" i="51" a="1"/>
  <c r="DA47" i="51" a="1"/>
  <c r="DA48" i="51" a="1"/>
  <c r="DA49" i="51" a="1"/>
  <c r="DA50" i="51" a="1"/>
  <c r="DA51" i="51" a="1"/>
  <c r="DA52" i="51" a="1"/>
  <c r="DA53" i="51" a="1"/>
  <c r="DA54" i="51" a="1"/>
  <c r="DA55" i="51" a="1"/>
  <c r="DA56" i="51" a="1"/>
  <c r="DA57" i="51" a="1"/>
  <c r="DA58" i="51" a="1"/>
  <c r="DA59" i="51" a="1"/>
  <c r="DA60" i="51" a="1"/>
  <c r="DA61" i="51" a="1"/>
  <c r="DA62" i="51" a="1"/>
  <c r="DA63" i="51" a="1"/>
  <c r="DA64" i="51" a="1"/>
  <c r="DA32" i="51"/>
  <c r="DA33" i="51"/>
  <c r="DA34" i="51"/>
  <c r="DA35" i="51"/>
  <c r="DA36" i="51"/>
  <c r="DA37" i="51"/>
  <c r="DA38" i="51"/>
  <c r="DA39" i="51"/>
  <c r="DA40" i="51"/>
  <c r="DA41" i="51"/>
  <c r="DA42" i="51"/>
  <c r="DA43" i="51"/>
  <c r="DA44" i="51"/>
  <c r="DA45" i="51"/>
  <c r="DA46" i="51"/>
  <c r="DA47" i="51"/>
  <c r="DA48" i="51"/>
  <c r="DA49" i="51"/>
  <c r="DA50" i="51"/>
  <c r="DA51" i="51"/>
  <c r="DA52" i="51"/>
  <c r="DA53" i="51"/>
  <c r="DA54" i="51"/>
  <c r="DA55" i="51"/>
  <c r="DA56" i="51"/>
  <c r="DA57" i="51"/>
  <c r="DA58" i="51"/>
  <c r="DA59" i="51"/>
  <c r="DA60" i="51"/>
  <c r="DA61" i="51"/>
  <c r="DA62" i="51"/>
  <c r="DA63" i="51"/>
  <c r="DA64" i="51"/>
  <c r="DA68" i="51"/>
  <c r="BM71" i="51"/>
  <c r="BZ70" i="51"/>
  <c r="BY70" i="51"/>
  <c r="BX70" i="51"/>
  <c r="BW70" i="51"/>
  <c r="BV70" i="51"/>
  <c r="BU70" i="51"/>
  <c r="BT70" i="51"/>
  <c r="BS70" i="51"/>
  <c r="BR70" i="51"/>
  <c r="BQ70" i="51"/>
  <c r="BP70" i="51"/>
  <c r="BO70" i="51"/>
  <c r="BN70" i="51"/>
  <c r="BM70" i="51"/>
  <c r="EB30" i="51"/>
  <c r="EB31" i="51"/>
  <c r="EB32" i="51"/>
  <c r="EB33" i="51"/>
  <c r="EB34" i="51"/>
  <c r="EB35" i="51"/>
  <c r="EB36" i="51"/>
  <c r="EB37" i="51"/>
  <c r="EB38" i="51"/>
  <c r="EB39" i="51"/>
  <c r="EB40" i="51"/>
  <c r="EB41" i="51"/>
  <c r="EB42" i="51"/>
  <c r="EB43" i="51"/>
  <c r="EB44" i="51"/>
  <c r="EB45" i="51"/>
  <c r="EB46" i="51"/>
  <c r="EB47" i="51"/>
  <c r="EB48" i="51"/>
  <c r="EB49" i="51"/>
  <c r="EB50" i="51"/>
  <c r="EB51" i="51"/>
  <c r="EB52" i="51"/>
  <c r="EB53" i="51"/>
  <c r="EB54" i="51"/>
  <c r="EB55" i="51"/>
  <c r="EB56" i="51"/>
  <c r="EB57" i="51"/>
  <c r="EB58" i="51"/>
  <c r="EB59" i="51"/>
  <c r="EB60" i="51"/>
  <c r="EB61" i="51"/>
  <c r="EB62" i="51"/>
  <c r="EB63" i="51"/>
  <c r="EB64" i="51"/>
  <c r="EB68" i="51"/>
  <c r="DF69" i="51"/>
  <c r="DT30" i="51"/>
  <c r="DT31" i="51"/>
  <c r="DT32" i="51"/>
  <c r="DT33" i="51"/>
  <c r="DT34" i="51"/>
  <c r="DT35" i="51"/>
  <c r="DT36" i="51"/>
  <c r="DT37" i="51"/>
  <c r="DT38" i="51"/>
  <c r="DT39" i="51"/>
  <c r="DT40" i="51"/>
  <c r="DT41" i="51"/>
  <c r="DT42" i="51"/>
  <c r="DT43" i="51"/>
  <c r="DT44" i="51"/>
  <c r="DT45" i="51"/>
  <c r="DT46" i="51"/>
  <c r="DT47" i="51"/>
  <c r="DT48" i="51"/>
  <c r="DT49" i="51"/>
  <c r="DT50" i="51"/>
  <c r="DT51" i="51"/>
  <c r="DT52" i="51"/>
  <c r="DT53" i="51"/>
  <c r="DT54" i="51"/>
  <c r="DT55" i="51"/>
  <c r="DT56" i="51"/>
  <c r="DT57" i="51"/>
  <c r="DT58" i="51"/>
  <c r="DT59" i="51"/>
  <c r="DT60" i="51"/>
  <c r="DT61" i="51"/>
  <c r="DT62" i="51"/>
  <c r="DT63" i="51"/>
  <c r="DT64" i="51"/>
  <c r="DT68" i="51"/>
  <c r="CZ69" i="51"/>
  <c r="DU30" i="51"/>
  <c r="DU31" i="51"/>
  <c r="DU32" i="51"/>
  <c r="DU33" i="51"/>
  <c r="DU34" i="51"/>
  <c r="DU35" i="51"/>
  <c r="DU36" i="51"/>
  <c r="DU37" i="51"/>
  <c r="DU38" i="51"/>
  <c r="DU39" i="51"/>
  <c r="DU40" i="51"/>
  <c r="DU41" i="51"/>
  <c r="DU42" i="51"/>
  <c r="DU43" i="51"/>
  <c r="DU44" i="51"/>
  <c r="DU45" i="51"/>
  <c r="DU46" i="51"/>
  <c r="DU47" i="51"/>
  <c r="DU48" i="51"/>
  <c r="DU49" i="51"/>
  <c r="DU50" i="51"/>
  <c r="DU51" i="51"/>
  <c r="DU52" i="51"/>
  <c r="DU53" i="51"/>
  <c r="DU54" i="51"/>
  <c r="DU55" i="51"/>
  <c r="DU56" i="51"/>
  <c r="DU57" i="51"/>
  <c r="DU58" i="51"/>
  <c r="DU59" i="51"/>
  <c r="DU60" i="51"/>
  <c r="DU61" i="51"/>
  <c r="DU62" i="51"/>
  <c r="DU63" i="51"/>
  <c r="DU64" i="51"/>
  <c r="DU68" i="51"/>
  <c r="CY69" i="51"/>
  <c r="CX69" i="51"/>
  <c r="DS30" i="51"/>
  <c r="DS31" i="51"/>
  <c r="DS32" i="51"/>
  <c r="DS33" i="51"/>
  <c r="DS34" i="51"/>
  <c r="DS35" i="51"/>
  <c r="DS36" i="51"/>
  <c r="DS37" i="51"/>
  <c r="DS38" i="51"/>
  <c r="DS39" i="51"/>
  <c r="DS40" i="51"/>
  <c r="DS41" i="51"/>
  <c r="DS42" i="51"/>
  <c r="DS43" i="51"/>
  <c r="DS44" i="51"/>
  <c r="DS45" i="51"/>
  <c r="DS46" i="51"/>
  <c r="DS47" i="51"/>
  <c r="DS48" i="51"/>
  <c r="DS49" i="51"/>
  <c r="DS50" i="51"/>
  <c r="DS51" i="51"/>
  <c r="DS52" i="51"/>
  <c r="DS53" i="51"/>
  <c r="DS54" i="51"/>
  <c r="DS55" i="51"/>
  <c r="DS56" i="51"/>
  <c r="DS57" i="51"/>
  <c r="DS58" i="51"/>
  <c r="DS59" i="51"/>
  <c r="DS60" i="51"/>
  <c r="DS61" i="51"/>
  <c r="DS62" i="51"/>
  <c r="DS63" i="51"/>
  <c r="DS64" i="51"/>
  <c r="DS68" i="51"/>
  <c r="CW69" i="51"/>
  <c r="DR30" i="51"/>
  <c r="DR31" i="51"/>
  <c r="DR32" i="51"/>
  <c r="DR33" i="51"/>
  <c r="DR34" i="51"/>
  <c r="DR35" i="51"/>
  <c r="DR36" i="51"/>
  <c r="DR37" i="51"/>
  <c r="DR38" i="51"/>
  <c r="DR39" i="51"/>
  <c r="DR40" i="51"/>
  <c r="DR41" i="51"/>
  <c r="DR42" i="51"/>
  <c r="DR43" i="51"/>
  <c r="DR44" i="51"/>
  <c r="DR45" i="51"/>
  <c r="DR46" i="51"/>
  <c r="DR47" i="51"/>
  <c r="DR48" i="51"/>
  <c r="DR49" i="51"/>
  <c r="DR50" i="51"/>
  <c r="DR51" i="51"/>
  <c r="DR52" i="51"/>
  <c r="DR53" i="51"/>
  <c r="DR54" i="51"/>
  <c r="DR55" i="51"/>
  <c r="DR56" i="51"/>
  <c r="DR57" i="51"/>
  <c r="DR58" i="51"/>
  <c r="DR59" i="51"/>
  <c r="DR60" i="51"/>
  <c r="DR61" i="51"/>
  <c r="DR62" i="51"/>
  <c r="DR63" i="51"/>
  <c r="DR64" i="51"/>
  <c r="DR68" i="51"/>
  <c r="CV69" i="51"/>
  <c r="DQ30" i="51"/>
  <c r="DQ31" i="51"/>
  <c r="DQ32" i="51"/>
  <c r="DQ33" i="51"/>
  <c r="DQ34" i="51"/>
  <c r="DQ35" i="51"/>
  <c r="DQ36" i="51"/>
  <c r="DQ37" i="51"/>
  <c r="DQ38" i="51"/>
  <c r="DQ39" i="51"/>
  <c r="DQ40" i="51"/>
  <c r="DQ41" i="51"/>
  <c r="DQ42" i="51"/>
  <c r="DQ43" i="51"/>
  <c r="DQ44" i="51"/>
  <c r="DQ45" i="51"/>
  <c r="DQ46" i="51"/>
  <c r="DQ47" i="51"/>
  <c r="DQ48" i="51"/>
  <c r="DQ49" i="51"/>
  <c r="DQ50" i="51"/>
  <c r="DQ51" i="51"/>
  <c r="DQ52" i="51"/>
  <c r="DQ53" i="51"/>
  <c r="DQ54" i="51"/>
  <c r="DQ55" i="51"/>
  <c r="DQ56" i="51"/>
  <c r="DQ57" i="51"/>
  <c r="DQ58" i="51"/>
  <c r="DQ59" i="51"/>
  <c r="DQ60" i="51"/>
  <c r="DQ61" i="51"/>
  <c r="DQ62" i="51"/>
  <c r="DQ63" i="51"/>
  <c r="DQ64" i="51"/>
  <c r="DQ68" i="51"/>
  <c r="CU69" i="51"/>
  <c r="DP30" i="51"/>
  <c r="DP31" i="51"/>
  <c r="DP32" i="51"/>
  <c r="DP33" i="51"/>
  <c r="DP34" i="51"/>
  <c r="DP35" i="51"/>
  <c r="DP36" i="51"/>
  <c r="DP37" i="51"/>
  <c r="DP38" i="51"/>
  <c r="DP39" i="51"/>
  <c r="DP40" i="51"/>
  <c r="DP41" i="51"/>
  <c r="DP42" i="51"/>
  <c r="DP43" i="51"/>
  <c r="DP44" i="51"/>
  <c r="DP45" i="51"/>
  <c r="DP46" i="51"/>
  <c r="DP47" i="51"/>
  <c r="DP48" i="51"/>
  <c r="DP49" i="51"/>
  <c r="DP50" i="51"/>
  <c r="DP51" i="51"/>
  <c r="DP52" i="51"/>
  <c r="DP53" i="51"/>
  <c r="DP54" i="51"/>
  <c r="DP55" i="51"/>
  <c r="DP56" i="51"/>
  <c r="DP57" i="51"/>
  <c r="DP58" i="51"/>
  <c r="DP59" i="51"/>
  <c r="DP60" i="51"/>
  <c r="DP61" i="51"/>
  <c r="DP62" i="51"/>
  <c r="DP63" i="51"/>
  <c r="DP64" i="51"/>
  <c r="DP68" i="51"/>
  <c r="CT69" i="51"/>
  <c r="DO30" i="51"/>
  <c r="DO31" i="51"/>
  <c r="DO32" i="51"/>
  <c r="DO33" i="51"/>
  <c r="DO34" i="51"/>
  <c r="DO35" i="51"/>
  <c r="DO36" i="51"/>
  <c r="DO37" i="51"/>
  <c r="DO38" i="51"/>
  <c r="DO39" i="51"/>
  <c r="DO40" i="51"/>
  <c r="DO41" i="51"/>
  <c r="DO42" i="51"/>
  <c r="DO43" i="51"/>
  <c r="DO44" i="51"/>
  <c r="DO45" i="51"/>
  <c r="DO46" i="51"/>
  <c r="DO47" i="51"/>
  <c r="DO48" i="51"/>
  <c r="DO49" i="51"/>
  <c r="DO50" i="51"/>
  <c r="DO51" i="51"/>
  <c r="DO52" i="51"/>
  <c r="DO53" i="51"/>
  <c r="DO54" i="51"/>
  <c r="DO55" i="51"/>
  <c r="DO56" i="51"/>
  <c r="DO57" i="51"/>
  <c r="DO58" i="51"/>
  <c r="DO59" i="51"/>
  <c r="DO60" i="51"/>
  <c r="DO61" i="51"/>
  <c r="DO62" i="51"/>
  <c r="DO63" i="51"/>
  <c r="DO64" i="51"/>
  <c r="DO68" i="51"/>
  <c r="CS69" i="51"/>
  <c r="BZ69" i="51"/>
  <c r="BY69" i="51"/>
  <c r="BX69" i="51"/>
  <c r="BW69" i="51"/>
  <c r="BV69" i="51"/>
  <c r="BU69" i="51"/>
  <c r="BT69" i="51"/>
  <c r="BS69" i="51"/>
  <c r="BR69" i="51"/>
  <c r="BQ69" i="51"/>
  <c r="BP69" i="51"/>
  <c r="BO69" i="51"/>
  <c r="BN69" i="51"/>
  <c r="BM69" i="51"/>
  <c r="EA30" i="51"/>
  <c r="EA31" i="51"/>
  <c r="EA32" i="51"/>
  <c r="EA33" i="51"/>
  <c r="EA34" i="51"/>
  <c r="EA35" i="51"/>
  <c r="EA36" i="51"/>
  <c r="EA37" i="51"/>
  <c r="EA38" i="51"/>
  <c r="EA39" i="51"/>
  <c r="EA40" i="51"/>
  <c r="EA41" i="51"/>
  <c r="EA42" i="51"/>
  <c r="EA43" i="51"/>
  <c r="EA44" i="51"/>
  <c r="EA45" i="51"/>
  <c r="EA46" i="51"/>
  <c r="EA47" i="51"/>
  <c r="EA48" i="51"/>
  <c r="EA49" i="51"/>
  <c r="EA50" i="51"/>
  <c r="EA51" i="51"/>
  <c r="EA52" i="51"/>
  <c r="EA53" i="51"/>
  <c r="EA54" i="51"/>
  <c r="EA55" i="51"/>
  <c r="EA56" i="51"/>
  <c r="EA57" i="51"/>
  <c r="EA58" i="51"/>
  <c r="EA59" i="51"/>
  <c r="EA60" i="51"/>
  <c r="EA61" i="51"/>
  <c r="EA62" i="51"/>
  <c r="EA63" i="51"/>
  <c r="EA64" i="51"/>
  <c r="EA68" i="51"/>
  <c r="DZ30" i="51"/>
  <c r="DZ31" i="51"/>
  <c r="DZ32" i="51"/>
  <c r="DZ33" i="51"/>
  <c r="DZ34" i="51"/>
  <c r="DZ35" i="51"/>
  <c r="DZ36" i="51"/>
  <c r="DZ37" i="51"/>
  <c r="DZ38" i="51"/>
  <c r="DZ39" i="51"/>
  <c r="DZ40" i="51"/>
  <c r="DZ41" i="51"/>
  <c r="DZ42" i="51"/>
  <c r="DZ43" i="51"/>
  <c r="DZ44" i="51"/>
  <c r="DZ45" i="51"/>
  <c r="DZ46" i="51"/>
  <c r="DZ47" i="51"/>
  <c r="DZ48" i="51"/>
  <c r="DZ49" i="51"/>
  <c r="DZ50" i="51"/>
  <c r="DZ51" i="51"/>
  <c r="DZ52" i="51"/>
  <c r="DZ53" i="51"/>
  <c r="DZ54" i="51"/>
  <c r="DZ55" i="51"/>
  <c r="DZ56" i="51"/>
  <c r="DZ57" i="51"/>
  <c r="DZ58" i="51"/>
  <c r="DZ59" i="51"/>
  <c r="DZ60" i="51"/>
  <c r="DZ61" i="51"/>
  <c r="DZ62" i="51"/>
  <c r="DZ63" i="51"/>
  <c r="DZ64" i="51"/>
  <c r="DZ68" i="51"/>
  <c r="DY30" i="51"/>
  <c r="DY31" i="51"/>
  <c r="DY32" i="51"/>
  <c r="DY33" i="51"/>
  <c r="DY34" i="51"/>
  <c r="DY35" i="51"/>
  <c r="DY36" i="51"/>
  <c r="DY37" i="51"/>
  <c r="DY38" i="51"/>
  <c r="DY39" i="51"/>
  <c r="DY40" i="51"/>
  <c r="DY41" i="51"/>
  <c r="DY42" i="51"/>
  <c r="DY43" i="51"/>
  <c r="DY44" i="51"/>
  <c r="DY45" i="51"/>
  <c r="DY46" i="51"/>
  <c r="DY47" i="51"/>
  <c r="DY48" i="51"/>
  <c r="DY49" i="51"/>
  <c r="DY50" i="51"/>
  <c r="DY51" i="51"/>
  <c r="DY52" i="51"/>
  <c r="DY53" i="51"/>
  <c r="DY54" i="51"/>
  <c r="DY55" i="51"/>
  <c r="DY56" i="51"/>
  <c r="DY57" i="51"/>
  <c r="DY58" i="51"/>
  <c r="DY59" i="51"/>
  <c r="DY60" i="51"/>
  <c r="DY61" i="51"/>
  <c r="DY62" i="51"/>
  <c r="DY63" i="51"/>
  <c r="DY64" i="51"/>
  <c r="DY68" i="51"/>
  <c r="DX30" i="51"/>
  <c r="DX31" i="51"/>
  <c r="DX32" i="51"/>
  <c r="DX33" i="51"/>
  <c r="DX34" i="51"/>
  <c r="DX35" i="51"/>
  <c r="DX36" i="51"/>
  <c r="DX37" i="51"/>
  <c r="DX38" i="51"/>
  <c r="DX39" i="51"/>
  <c r="DX40" i="51"/>
  <c r="DX41" i="51"/>
  <c r="DX42" i="51"/>
  <c r="DX43" i="51"/>
  <c r="DX44" i="51"/>
  <c r="DX45" i="51"/>
  <c r="DX46" i="51"/>
  <c r="DX47" i="51"/>
  <c r="DX48" i="51"/>
  <c r="DX49" i="51"/>
  <c r="DX50" i="51"/>
  <c r="DX51" i="51"/>
  <c r="DX52" i="51"/>
  <c r="DX53" i="51"/>
  <c r="DX54" i="51"/>
  <c r="DX55" i="51"/>
  <c r="DX56" i="51"/>
  <c r="DX57" i="51"/>
  <c r="DX58" i="51"/>
  <c r="DX59" i="51"/>
  <c r="DX60" i="51"/>
  <c r="DX61" i="51"/>
  <c r="DX62" i="51"/>
  <c r="DX63" i="51"/>
  <c r="DX64" i="51"/>
  <c r="DX68" i="51"/>
  <c r="DW30" i="51"/>
  <c r="DW31" i="51"/>
  <c r="DW32" i="51"/>
  <c r="DW33" i="51"/>
  <c r="DW34" i="51"/>
  <c r="DW35" i="51"/>
  <c r="DW36" i="51"/>
  <c r="DW37" i="51"/>
  <c r="DW38" i="51"/>
  <c r="DW39" i="51"/>
  <c r="DW40" i="51"/>
  <c r="DW41" i="51"/>
  <c r="DW42" i="51"/>
  <c r="DW43" i="51"/>
  <c r="DW44" i="51"/>
  <c r="DW45" i="51"/>
  <c r="DW46" i="51"/>
  <c r="DW47" i="51"/>
  <c r="DW48" i="51"/>
  <c r="DW49" i="51"/>
  <c r="DW50" i="51"/>
  <c r="DW51" i="51"/>
  <c r="DW52" i="51"/>
  <c r="DW53" i="51"/>
  <c r="DW54" i="51"/>
  <c r="DW55" i="51"/>
  <c r="DW56" i="51"/>
  <c r="DW57" i="51"/>
  <c r="DW58" i="51"/>
  <c r="DW59" i="51"/>
  <c r="DW60" i="51"/>
  <c r="DW61" i="51"/>
  <c r="DW62" i="51"/>
  <c r="DW63" i="51"/>
  <c r="DW64" i="51"/>
  <c r="DW68" i="51"/>
  <c r="DV30" i="51"/>
  <c r="DV31" i="51"/>
  <c r="DV32" i="51"/>
  <c r="DV33" i="51"/>
  <c r="DV34" i="51"/>
  <c r="DV35" i="51"/>
  <c r="DV36" i="51"/>
  <c r="DV37" i="51"/>
  <c r="DV38" i="51"/>
  <c r="DV39" i="51"/>
  <c r="DV40" i="51"/>
  <c r="DV41" i="51"/>
  <c r="DV42" i="51"/>
  <c r="DV43" i="51"/>
  <c r="DV44" i="51"/>
  <c r="DV45" i="51"/>
  <c r="DV46" i="51"/>
  <c r="DV47" i="51"/>
  <c r="DV48" i="51"/>
  <c r="DV49" i="51"/>
  <c r="DV50" i="51"/>
  <c r="DV51" i="51"/>
  <c r="DV52" i="51"/>
  <c r="DV53" i="51"/>
  <c r="DV54" i="51"/>
  <c r="DV55" i="51"/>
  <c r="DV56" i="51"/>
  <c r="DV57" i="51"/>
  <c r="DV58" i="51"/>
  <c r="DV59" i="51"/>
  <c r="DV60" i="51"/>
  <c r="DV61" i="51"/>
  <c r="DV62" i="51"/>
  <c r="DV63" i="51"/>
  <c r="DV64" i="51"/>
  <c r="DV68" i="51"/>
  <c r="AU30" i="51"/>
  <c r="BK30" i="51"/>
  <c r="AU31" i="51"/>
  <c r="BK31" i="51"/>
  <c r="AU32" i="51"/>
  <c r="BK32" i="51"/>
  <c r="BK27" i="51"/>
  <c r="D33" i="51"/>
  <c r="AU33" i="51"/>
  <c r="BK33" i="51" a="1"/>
  <c r="BK33" i="51"/>
  <c r="D34" i="51"/>
  <c r="AU34" i="51"/>
  <c r="BK34" i="51" a="1"/>
  <c r="D35" i="51"/>
  <c r="AU35" i="51"/>
  <c r="BK35" i="51" a="1"/>
  <c r="D36" i="51"/>
  <c r="AU36" i="51"/>
  <c r="BK36" i="51" a="1"/>
  <c r="D37" i="51"/>
  <c r="AU37" i="51"/>
  <c r="BK37" i="51" a="1"/>
  <c r="D38" i="51"/>
  <c r="AU38" i="51"/>
  <c r="BK38" i="51" a="1"/>
  <c r="D39" i="51"/>
  <c r="AU39" i="51"/>
  <c r="BK39" i="51" a="1"/>
  <c r="D40" i="51"/>
  <c r="AU40" i="51"/>
  <c r="BK40" i="51" a="1"/>
  <c r="D41" i="51"/>
  <c r="AU41" i="51"/>
  <c r="BK41" i="51" a="1"/>
  <c r="AU42" i="51"/>
  <c r="BK42" i="51" a="1"/>
  <c r="AU43" i="51"/>
  <c r="BK43" i="51" a="1"/>
  <c r="AU44" i="51"/>
  <c r="BK44" i="51" a="1"/>
  <c r="AU45" i="51"/>
  <c r="BK45" i="51" a="1"/>
  <c r="AU46" i="51"/>
  <c r="BK46" i="51" a="1"/>
  <c r="AU47" i="51"/>
  <c r="BK47" i="51" a="1"/>
  <c r="AU48" i="51"/>
  <c r="BK48" i="51" a="1"/>
  <c r="D49" i="51"/>
  <c r="AU49" i="51"/>
  <c r="BK49" i="51" a="1"/>
  <c r="D50" i="51"/>
  <c r="AU50" i="51"/>
  <c r="BK50" i="51" a="1"/>
  <c r="D51" i="51"/>
  <c r="AU51" i="51"/>
  <c r="BK51" i="51" a="1"/>
  <c r="D52" i="51"/>
  <c r="AU52" i="51"/>
  <c r="BK52" i="51" a="1"/>
  <c r="D53" i="51"/>
  <c r="AU53" i="51"/>
  <c r="BK53" i="51" a="1"/>
  <c r="D54" i="51"/>
  <c r="AU54" i="51"/>
  <c r="BK54" i="51" a="1"/>
  <c r="D55" i="51"/>
  <c r="AU55" i="51"/>
  <c r="BK55" i="51" a="1"/>
  <c r="D56" i="51"/>
  <c r="AU56" i="51"/>
  <c r="BK56" i="51" a="1"/>
  <c r="D57" i="51"/>
  <c r="AU57" i="51"/>
  <c r="BK57" i="51" a="1"/>
  <c r="D58" i="51"/>
  <c r="AU58" i="51"/>
  <c r="BK58" i="51" a="1"/>
  <c r="AU59" i="51"/>
  <c r="BK59" i="51" a="1"/>
  <c r="AU60" i="51"/>
  <c r="BK60" i="51" a="1"/>
  <c r="D61" i="51"/>
  <c r="AU61" i="51"/>
  <c r="BK61" i="51" a="1"/>
  <c r="D62" i="51"/>
  <c r="AU62" i="51"/>
  <c r="BK62" i="51" a="1"/>
  <c r="D63" i="51"/>
  <c r="AU63" i="51"/>
  <c r="BK63" i="51" a="1"/>
  <c r="AU64" i="51"/>
  <c r="BK64" i="51" a="1"/>
  <c r="BK34" i="51"/>
  <c r="BK35" i="51"/>
  <c r="BK36" i="51"/>
  <c r="BK37" i="51"/>
  <c r="BK38" i="51"/>
  <c r="BK39" i="51"/>
  <c r="BK40" i="51"/>
  <c r="BK41" i="51"/>
  <c r="BK42" i="51"/>
  <c r="BK43" i="51"/>
  <c r="BK44" i="51"/>
  <c r="BK45" i="51"/>
  <c r="BK46" i="51"/>
  <c r="BK47" i="51"/>
  <c r="BK48" i="51"/>
  <c r="BK49" i="51"/>
  <c r="BK50" i="51"/>
  <c r="BK51" i="51"/>
  <c r="BK52" i="51"/>
  <c r="BK53" i="51"/>
  <c r="BK54" i="51"/>
  <c r="BK55" i="51"/>
  <c r="BK56" i="51"/>
  <c r="BK57" i="51"/>
  <c r="BK58" i="51"/>
  <c r="BK59" i="51"/>
  <c r="BK60" i="51"/>
  <c r="BK61" i="51"/>
  <c r="BK62" i="51"/>
  <c r="BK63" i="51"/>
  <c r="BK64" i="51"/>
  <c r="D66" i="51"/>
  <c r="F66" i="51"/>
  <c r="E66" i="51"/>
  <c r="AP66" i="51"/>
  <c r="AQ66" i="51"/>
  <c r="AM66" i="51"/>
  <c r="AO66" i="51"/>
  <c r="AR66" i="51"/>
  <c r="AT66" i="51"/>
  <c r="AU66" i="51"/>
  <c r="BK66" i="51" a="1"/>
  <c r="BK66" i="51"/>
  <c r="BK68" i="51"/>
  <c r="BJ30" i="51"/>
  <c r="BJ31" i="51"/>
  <c r="BJ32" i="51"/>
  <c r="BJ27" i="51"/>
  <c r="BJ33" i="51" a="1"/>
  <c r="BJ33" i="51"/>
  <c r="BJ34" i="51" a="1"/>
  <c r="BJ35" i="51" a="1"/>
  <c r="BJ36" i="51" a="1"/>
  <c r="BJ37" i="51" a="1"/>
  <c r="BJ38" i="51" a="1"/>
  <c r="BJ39" i="51" a="1"/>
  <c r="BJ40" i="51" a="1"/>
  <c r="BJ41" i="51" a="1"/>
  <c r="BJ42" i="51" a="1"/>
  <c r="BJ43" i="51" a="1"/>
  <c r="BJ44" i="51" a="1"/>
  <c r="BJ45" i="51" a="1"/>
  <c r="BJ46" i="51" a="1"/>
  <c r="BJ47" i="51" a="1"/>
  <c r="BJ48" i="51" a="1"/>
  <c r="BJ49" i="51" a="1"/>
  <c r="BJ50" i="51" a="1"/>
  <c r="BJ51" i="51" a="1"/>
  <c r="BJ52" i="51" a="1"/>
  <c r="BJ53" i="51" a="1"/>
  <c r="BJ54" i="51" a="1"/>
  <c r="BJ55" i="51" a="1"/>
  <c r="BJ56" i="51" a="1"/>
  <c r="BJ57" i="51" a="1"/>
  <c r="BJ58" i="51" a="1"/>
  <c r="BJ59" i="51" a="1"/>
  <c r="BJ60" i="51" a="1"/>
  <c r="BJ61" i="51" a="1"/>
  <c r="BJ62" i="51" a="1"/>
  <c r="BJ63" i="51" a="1"/>
  <c r="BJ64" i="51" a="1"/>
  <c r="BJ34" i="51"/>
  <c r="BJ35" i="51"/>
  <c r="BJ36" i="51"/>
  <c r="BJ37" i="51"/>
  <c r="BJ38" i="51"/>
  <c r="BJ39" i="51"/>
  <c r="BJ40" i="51"/>
  <c r="BJ41" i="51"/>
  <c r="BJ42" i="51"/>
  <c r="BJ43" i="51"/>
  <c r="BJ44" i="51"/>
  <c r="BJ45" i="51"/>
  <c r="BJ46" i="51"/>
  <c r="BJ47" i="51"/>
  <c r="BJ48" i="51"/>
  <c r="BJ49" i="51"/>
  <c r="BJ50" i="51"/>
  <c r="BJ51" i="51"/>
  <c r="BJ52" i="51"/>
  <c r="BJ53" i="51"/>
  <c r="BJ54" i="51"/>
  <c r="BJ55" i="51"/>
  <c r="BJ56" i="51"/>
  <c r="BJ57" i="51"/>
  <c r="BJ58" i="51"/>
  <c r="BJ59" i="51"/>
  <c r="BJ60" i="51"/>
  <c r="BJ61" i="51"/>
  <c r="BJ62" i="51"/>
  <c r="BJ63" i="51"/>
  <c r="BJ64" i="51"/>
  <c r="BJ66" i="51" a="1"/>
  <c r="BJ66" i="51"/>
  <c r="BJ68" i="51"/>
  <c r="BI30" i="51"/>
  <c r="BI31" i="51"/>
  <c r="BI32" i="51"/>
  <c r="BI27" i="51"/>
  <c r="BI33" i="51" a="1"/>
  <c r="BI33" i="51"/>
  <c r="BI34" i="51" a="1"/>
  <c r="BI35" i="51" a="1"/>
  <c r="BI36" i="51" a="1"/>
  <c r="BI37" i="51" a="1"/>
  <c r="BI38" i="51" a="1"/>
  <c r="BI39" i="51" a="1"/>
  <c r="BI40" i="51" a="1"/>
  <c r="BI41" i="51" a="1"/>
  <c r="BI42" i="51" a="1"/>
  <c r="BI43" i="51" a="1"/>
  <c r="BI44" i="51" a="1"/>
  <c r="BI45" i="51" a="1"/>
  <c r="BI46" i="51" a="1"/>
  <c r="BI47" i="51" a="1"/>
  <c r="BI48" i="51" a="1"/>
  <c r="BI49" i="51" a="1"/>
  <c r="BI50" i="51" a="1"/>
  <c r="BI51" i="51" a="1"/>
  <c r="BI52" i="51" a="1"/>
  <c r="BI53" i="51" a="1"/>
  <c r="BI54" i="51" a="1"/>
  <c r="BI55" i="51" a="1"/>
  <c r="BI56" i="51" a="1"/>
  <c r="BI57" i="51" a="1"/>
  <c r="BI58" i="51" a="1"/>
  <c r="BI59" i="51" a="1"/>
  <c r="BI60" i="51" a="1"/>
  <c r="BI61" i="51" a="1"/>
  <c r="BI62" i="51" a="1"/>
  <c r="BI63" i="51" a="1"/>
  <c r="BI64" i="51" a="1"/>
  <c r="BI34" i="51"/>
  <c r="BI35" i="51"/>
  <c r="BI36" i="51"/>
  <c r="BI37" i="51"/>
  <c r="BI38" i="51"/>
  <c r="BI39" i="51"/>
  <c r="BI40" i="51"/>
  <c r="BI41" i="51"/>
  <c r="BI42" i="51"/>
  <c r="BI43" i="51"/>
  <c r="BI44" i="51"/>
  <c r="BI45" i="51"/>
  <c r="BI46" i="51"/>
  <c r="BI47" i="51"/>
  <c r="BI48" i="51"/>
  <c r="BI49" i="51"/>
  <c r="BI50" i="51"/>
  <c r="BI51" i="51"/>
  <c r="BI52" i="51"/>
  <c r="BI53" i="51"/>
  <c r="BI54" i="51"/>
  <c r="BI55" i="51"/>
  <c r="BI56" i="51"/>
  <c r="BI57" i="51"/>
  <c r="BI58" i="51"/>
  <c r="BI59" i="51"/>
  <c r="BI60" i="51"/>
  <c r="BI61" i="51"/>
  <c r="BI62" i="51"/>
  <c r="BI63" i="51"/>
  <c r="BI64" i="51"/>
  <c r="BI66" i="51" a="1"/>
  <c r="BI66" i="51"/>
  <c r="BI68" i="51"/>
  <c r="BH30" i="51"/>
  <c r="BH31" i="51"/>
  <c r="BH32" i="51"/>
  <c r="BH27" i="51"/>
  <c r="BH33" i="51" a="1"/>
  <c r="BH33" i="51"/>
  <c r="BH34" i="51" a="1"/>
  <c r="BH35" i="51" a="1"/>
  <c r="BH36" i="51" a="1"/>
  <c r="BH37" i="51" a="1"/>
  <c r="BH38" i="51" a="1"/>
  <c r="BH39" i="51" a="1"/>
  <c r="BH40" i="51" a="1"/>
  <c r="BH41" i="51" a="1"/>
  <c r="BH42" i="51" a="1"/>
  <c r="BH43" i="51" a="1"/>
  <c r="BH44" i="51" a="1"/>
  <c r="BH45" i="51" a="1"/>
  <c r="BH46" i="51" a="1"/>
  <c r="BH47" i="51" a="1"/>
  <c r="BH48" i="51" a="1"/>
  <c r="BH49" i="51" a="1"/>
  <c r="BH50" i="51" a="1"/>
  <c r="BH51" i="51" a="1"/>
  <c r="BH52" i="51" a="1"/>
  <c r="BH53" i="51" a="1"/>
  <c r="BH54" i="51" a="1"/>
  <c r="BH55" i="51" a="1"/>
  <c r="BH56" i="51" a="1"/>
  <c r="BH57" i="51" a="1"/>
  <c r="BH58" i="51" a="1"/>
  <c r="BH59" i="51" a="1"/>
  <c r="BH60" i="51" a="1"/>
  <c r="BH61" i="51" a="1"/>
  <c r="BH62" i="51" a="1"/>
  <c r="BH63" i="51" a="1"/>
  <c r="BH64" i="51" a="1"/>
  <c r="BH34" i="51"/>
  <c r="BH35" i="51"/>
  <c r="BH36" i="51"/>
  <c r="BH37" i="51"/>
  <c r="BH38" i="51"/>
  <c r="BH39" i="51"/>
  <c r="BH40" i="51"/>
  <c r="BH41" i="51"/>
  <c r="BH42" i="51"/>
  <c r="BH43" i="51"/>
  <c r="BH44" i="51"/>
  <c r="BH45" i="51"/>
  <c r="BH46" i="51"/>
  <c r="BH47" i="51"/>
  <c r="BH48" i="51"/>
  <c r="BH49" i="51"/>
  <c r="BH50" i="51"/>
  <c r="BH51" i="51"/>
  <c r="BH52" i="51"/>
  <c r="BH53" i="51"/>
  <c r="BH54" i="51"/>
  <c r="BH55" i="51"/>
  <c r="BH56" i="51"/>
  <c r="BH57" i="51"/>
  <c r="BH58" i="51"/>
  <c r="BH59" i="51"/>
  <c r="BH60" i="51"/>
  <c r="BH61" i="51"/>
  <c r="BH62" i="51"/>
  <c r="BH63" i="51"/>
  <c r="BH64" i="51"/>
  <c r="BH66" i="51" a="1"/>
  <c r="BH66" i="51"/>
  <c r="BH68" i="51"/>
  <c r="BG30" i="51"/>
  <c r="BG31" i="51"/>
  <c r="BG32" i="51"/>
  <c r="BG27" i="51"/>
  <c r="BG33" i="51" a="1"/>
  <c r="BG33" i="51"/>
  <c r="BG34" i="51" a="1"/>
  <c r="BG35" i="51" a="1"/>
  <c r="BG36" i="51" a="1"/>
  <c r="BG37" i="51" a="1"/>
  <c r="BG38" i="51" a="1"/>
  <c r="BG39" i="51" a="1"/>
  <c r="BG40" i="51" a="1"/>
  <c r="BG41" i="51" a="1"/>
  <c r="BG42" i="51" a="1"/>
  <c r="BG43" i="51" a="1"/>
  <c r="BG44" i="51" a="1"/>
  <c r="BG45" i="51" a="1"/>
  <c r="BG46" i="51" a="1"/>
  <c r="BG47" i="51" a="1"/>
  <c r="BG48" i="51" a="1"/>
  <c r="BG49" i="51" a="1"/>
  <c r="BG50" i="51" a="1"/>
  <c r="BG51" i="51" a="1"/>
  <c r="BG52" i="51" a="1"/>
  <c r="BG53" i="51" a="1"/>
  <c r="BG54" i="51" a="1"/>
  <c r="BG55" i="51" a="1"/>
  <c r="BG56" i="51" a="1"/>
  <c r="BG57" i="51" a="1"/>
  <c r="BG58" i="51" a="1"/>
  <c r="BG59" i="51" a="1"/>
  <c r="BG60" i="51" a="1"/>
  <c r="BG61" i="51" a="1"/>
  <c r="BG62" i="51" a="1"/>
  <c r="BG63" i="51" a="1"/>
  <c r="BG64" i="51" a="1"/>
  <c r="BG34" i="51"/>
  <c r="BG35" i="51"/>
  <c r="BG36" i="51"/>
  <c r="BG37" i="51"/>
  <c r="BG38" i="51"/>
  <c r="BG39" i="51"/>
  <c r="BG40" i="51"/>
  <c r="BG41" i="51"/>
  <c r="BG42" i="51"/>
  <c r="BG43" i="51"/>
  <c r="BG44" i="51"/>
  <c r="BG45" i="51"/>
  <c r="BG46" i="51"/>
  <c r="BG47" i="51"/>
  <c r="BG48" i="51"/>
  <c r="BG49" i="51"/>
  <c r="BG50" i="51"/>
  <c r="BG51" i="51"/>
  <c r="BG52" i="51"/>
  <c r="BG53" i="51"/>
  <c r="BG54" i="51"/>
  <c r="BG55" i="51"/>
  <c r="BG56" i="51"/>
  <c r="BG57" i="51"/>
  <c r="BG58" i="51"/>
  <c r="BG59" i="51"/>
  <c r="BG60" i="51"/>
  <c r="BG61" i="51"/>
  <c r="BG62" i="51"/>
  <c r="BG63" i="51"/>
  <c r="BG64" i="51"/>
  <c r="BG66" i="51" a="1"/>
  <c r="BG66" i="51"/>
  <c r="BG68" i="51"/>
  <c r="BF30" i="51"/>
  <c r="BF31" i="51"/>
  <c r="BF32" i="51"/>
  <c r="BF27" i="51"/>
  <c r="BF33" i="51" a="1"/>
  <c r="BF33" i="51"/>
  <c r="BF34" i="51" a="1"/>
  <c r="BF35" i="51" a="1"/>
  <c r="BF36" i="51" a="1"/>
  <c r="BF37" i="51" a="1"/>
  <c r="BF38" i="51" a="1"/>
  <c r="BF39" i="51" a="1"/>
  <c r="BF40" i="51" a="1"/>
  <c r="BF41" i="51" a="1"/>
  <c r="BF42" i="51" a="1"/>
  <c r="BF43" i="51" a="1"/>
  <c r="BF44" i="51" a="1"/>
  <c r="BF45" i="51" a="1"/>
  <c r="BF46" i="51" a="1"/>
  <c r="BF47" i="51" a="1"/>
  <c r="BF48" i="51" a="1"/>
  <c r="BF49" i="51" a="1"/>
  <c r="BF50" i="51" a="1"/>
  <c r="BF51" i="51" a="1"/>
  <c r="BF52" i="51" a="1"/>
  <c r="BF53" i="51" a="1"/>
  <c r="BF54" i="51" a="1"/>
  <c r="BF55" i="51" a="1"/>
  <c r="BF56" i="51" a="1"/>
  <c r="BF57" i="51" a="1"/>
  <c r="BF58" i="51" a="1"/>
  <c r="BF59" i="51" a="1"/>
  <c r="BF60" i="51" a="1"/>
  <c r="BF61" i="51" a="1"/>
  <c r="BF62" i="51" a="1"/>
  <c r="BF63" i="51" a="1"/>
  <c r="BF64" i="51" a="1"/>
  <c r="BF34" i="51"/>
  <c r="BF35" i="51"/>
  <c r="BF36" i="51"/>
  <c r="BF37" i="51"/>
  <c r="BF38" i="51"/>
  <c r="BF39" i="51"/>
  <c r="BF40" i="51"/>
  <c r="BF41" i="51"/>
  <c r="BF42" i="51"/>
  <c r="BF43" i="51"/>
  <c r="BF44" i="51"/>
  <c r="BF45" i="51"/>
  <c r="BF46" i="51"/>
  <c r="BF47" i="51"/>
  <c r="BF48" i="51"/>
  <c r="BF49" i="51"/>
  <c r="BF50" i="51"/>
  <c r="BF51" i="51"/>
  <c r="BF52" i="51"/>
  <c r="BF53" i="51"/>
  <c r="BF54" i="51"/>
  <c r="BF55" i="51"/>
  <c r="BF56" i="51"/>
  <c r="BF57" i="51"/>
  <c r="BF58" i="51"/>
  <c r="BF59" i="51"/>
  <c r="BF60" i="51"/>
  <c r="BF61" i="51"/>
  <c r="BF62" i="51"/>
  <c r="BF63" i="51"/>
  <c r="BF64" i="51"/>
  <c r="BF66" i="51" a="1"/>
  <c r="BF66" i="51"/>
  <c r="BF68" i="51"/>
  <c r="BE30" i="51"/>
  <c r="BE31" i="51"/>
  <c r="BE32" i="51"/>
  <c r="BE27" i="51"/>
  <c r="BE33" i="51" a="1"/>
  <c r="BE33" i="51"/>
  <c r="BE34" i="51" a="1"/>
  <c r="BE35" i="51" a="1"/>
  <c r="BE36" i="51" a="1"/>
  <c r="BE37" i="51" a="1"/>
  <c r="BE38" i="51" a="1"/>
  <c r="BE39" i="51" a="1"/>
  <c r="BE40" i="51" a="1"/>
  <c r="BE41" i="51" a="1"/>
  <c r="BE42" i="51" a="1"/>
  <c r="BE43" i="51" a="1"/>
  <c r="BE44" i="51" a="1"/>
  <c r="BE45" i="51" a="1"/>
  <c r="BE46" i="51" a="1"/>
  <c r="BE47" i="51" a="1"/>
  <c r="BE48" i="51" a="1"/>
  <c r="BE49" i="51" a="1"/>
  <c r="BE50" i="51" a="1"/>
  <c r="BE51" i="51" a="1"/>
  <c r="BE52" i="51" a="1"/>
  <c r="BE53" i="51" a="1"/>
  <c r="BE54" i="51" a="1"/>
  <c r="BE55" i="51" a="1"/>
  <c r="BE56" i="51" a="1"/>
  <c r="BE57" i="51" a="1"/>
  <c r="BE58" i="51" a="1"/>
  <c r="BE59" i="51" a="1"/>
  <c r="BE60" i="51" a="1"/>
  <c r="BE61" i="51" a="1"/>
  <c r="BE62" i="51" a="1"/>
  <c r="BE63" i="51" a="1"/>
  <c r="BE64" i="51" a="1"/>
  <c r="BE34" i="51"/>
  <c r="BE35" i="51"/>
  <c r="BE36" i="51"/>
  <c r="BE37" i="51"/>
  <c r="BE38" i="51"/>
  <c r="BE39" i="51"/>
  <c r="BE40" i="51"/>
  <c r="BE41" i="51"/>
  <c r="BE42" i="51"/>
  <c r="BE43" i="51"/>
  <c r="BE44" i="51"/>
  <c r="BE45" i="51"/>
  <c r="BE46" i="51"/>
  <c r="BE47" i="51"/>
  <c r="BE48" i="51"/>
  <c r="BE49" i="51"/>
  <c r="BE50" i="51"/>
  <c r="BE51" i="51"/>
  <c r="BE52" i="51"/>
  <c r="BE53" i="51"/>
  <c r="BE54" i="51"/>
  <c r="BE55" i="51"/>
  <c r="BE56" i="51"/>
  <c r="BE57" i="51"/>
  <c r="BE58" i="51"/>
  <c r="BE59" i="51"/>
  <c r="BE60" i="51"/>
  <c r="BE61" i="51"/>
  <c r="BE62" i="51"/>
  <c r="BE63" i="51"/>
  <c r="BE64" i="51"/>
  <c r="BE66" i="51" a="1"/>
  <c r="BE66" i="51"/>
  <c r="BE68" i="51"/>
  <c r="BD30" i="51"/>
  <c r="BD31" i="51"/>
  <c r="BD32" i="51"/>
  <c r="BD27" i="51"/>
  <c r="BD33" i="51" a="1"/>
  <c r="BD33" i="51"/>
  <c r="BD34" i="51" a="1"/>
  <c r="BD35" i="51" a="1"/>
  <c r="BD36" i="51" a="1"/>
  <c r="BD37" i="51" a="1"/>
  <c r="BD38" i="51" a="1"/>
  <c r="BD39" i="51" a="1"/>
  <c r="BD40" i="51" a="1"/>
  <c r="BD41" i="51" a="1"/>
  <c r="BD42" i="51" a="1"/>
  <c r="BD43" i="51" a="1"/>
  <c r="BD44" i="51" a="1"/>
  <c r="BD45" i="51" a="1"/>
  <c r="BD46" i="51" a="1"/>
  <c r="BD47" i="51" a="1"/>
  <c r="BD48" i="51" a="1"/>
  <c r="BD49" i="51" a="1"/>
  <c r="BD50" i="51" a="1"/>
  <c r="BD51" i="51" a="1"/>
  <c r="BD52" i="51" a="1"/>
  <c r="BD53" i="51" a="1"/>
  <c r="BD54" i="51" a="1"/>
  <c r="BD55" i="51" a="1"/>
  <c r="BD56" i="51" a="1"/>
  <c r="BD57" i="51" a="1"/>
  <c r="BD58" i="51" a="1"/>
  <c r="BD59" i="51" a="1"/>
  <c r="BD60" i="51" a="1"/>
  <c r="BD61" i="51" a="1"/>
  <c r="BD62" i="51" a="1"/>
  <c r="BD63" i="51" a="1"/>
  <c r="BD64" i="51" a="1"/>
  <c r="BD34" i="51"/>
  <c r="BD35" i="51"/>
  <c r="BD36" i="51"/>
  <c r="BD37" i="51"/>
  <c r="BD38" i="51"/>
  <c r="BD39" i="51"/>
  <c r="BD40" i="51"/>
  <c r="BD41" i="51"/>
  <c r="BD42" i="51"/>
  <c r="BD43" i="51"/>
  <c r="BD44" i="51"/>
  <c r="BD45" i="51"/>
  <c r="BD46" i="51"/>
  <c r="BD47" i="51"/>
  <c r="BD48" i="51"/>
  <c r="BD49" i="51"/>
  <c r="BD50" i="51"/>
  <c r="BD51" i="51"/>
  <c r="BD52" i="51"/>
  <c r="BD53" i="51"/>
  <c r="BD54" i="51"/>
  <c r="BD55" i="51"/>
  <c r="BD56" i="51"/>
  <c r="BD57" i="51"/>
  <c r="BD58" i="51"/>
  <c r="BD59" i="51"/>
  <c r="BD60" i="51"/>
  <c r="BD61" i="51"/>
  <c r="BD62" i="51"/>
  <c r="BD63" i="51"/>
  <c r="BD64" i="51"/>
  <c r="BD66" i="51" a="1"/>
  <c r="BD66" i="51"/>
  <c r="BD68" i="51"/>
  <c r="BC30" i="51"/>
  <c r="BC31" i="51"/>
  <c r="BC32" i="51"/>
  <c r="BC27" i="51"/>
  <c r="BC33" i="51" a="1"/>
  <c r="BC33" i="51"/>
  <c r="BC34" i="51" a="1"/>
  <c r="BC35" i="51" a="1"/>
  <c r="BC36" i="51" a="1"/>
  <c r="BC37" i="51" a="1"/>
  <c r="BC38" i="51" a="1"/>
  <c r="BC39" i="51" a="1"/>
  <c r="BC40" i="51" a="1"/>
  <c r="BC41" i="51" a="1"/>
  <c r="BC42" i="51" a="1"/>
  <c r="BC43" i="51" a="1"/>
  <c r="BC44" i="51" a="1"/>
  <c r="BC45" i="51" a="1"/>
  <c r="BC46" i="51" a="1"/>
  <c r="BC47" i="51" a="1"/>
  <c r="BC48" i="51" a="1"/>
  <c r="BC49" i="51" a="1"/>
  <c r="BC50" i="51" a="1"/>
  <c r="BC51" i="51" a="1"/>
  <c r="BC52" i="51" a="1"/>
  <c r="BC53" i="51" a="1"/>
  <c r="BC54" i="51" a="1"/>
  <c r="BC55" i="51" a="1"/>
  <c r="BC56" i="51" a="1"/>
  <c r="BC57" i="51" a="1"/>
  <c r="BC58" i="51" a="1"/>
  <c r="BC59" i="51" a="1"/>
  <c r="BC60" i="51" a="1"/>
  <c r="BC61" i="51" a="1"/>
  <c r="BC62" i="51" a="1"/>
  <c r="BC63" i="51" a="1"/>
  <c r="BC64" i="51" a="1"/>
  <c r="BC34" i="51"/>
  <c r="BC35" i="51"/>
  <c r="BC36" i="51"/>
  <c r="BC37" i="51"/>
  <c r="BC38" i="51"/>
  <c r="BC39" i="51"/>
  <c r="BC40" i="51"/>
  <c r="BC41" i="51"/>
  <c r="BC42" i="51"/>
  <c r="BC43" i="51"/>
  <c r="BC44" i="51"/>
  <c r="BC45" i="51"/>
  <c r="BC46" i="51"/>
  <c r="BC47" i="51"/>
  <c r="BC48" i="51"/>
  <c r="BC49" i="51"/>
  <c r="BC50" i="51"/>
  <c r="BC51" i="51"/>
  <c r="BC52" i="51"/>
  <c r="BC53" i="51"/>
  <c r="BC54" i="51"/>
  <c r="BC55" i="51"/>
  <c r="BC56" i="51"/>
  <c r="BC57" i="51"/>
  <c r="BC58" i="51"/>
  <c r="BC59" i="51"/>
  <c r="BC60" i="51"/>
  <c r="BC61" i="51"/>
  <c r="BC62" i="51"/>
  <c r="BC63" i="51"/>
  <c r="BC64" i="51"/>
  <c r="BC66" i="51" a="1"/>
  <c r="BC66" i="51"/>
  <c r="BC68" i="51"/>
  <c r="BB30" i="51"/>
  <c r="BB31" i="51"/>
  <c r="BB32" i="51"/>
  <c r="BB27" i="51"/>
  <c r="BB33" i="51" a="1"/>
  <c r="BB33" i="51"/>
  <c r="BB34" i="51" a="1"/>
  <c r="BB35" i="51" a="1"/>
  <c r="BB36" i="51" a="1"/>
  <c r="BB37" i="51" a="1"/>
  <c r="BB38" i="51" a="1"/>
  <c r="BB39" i="51" a="1"/>
  <c r="BB40" i="51" a="1"/>
  <c r="BB41" i="51" a="1"/>
  <c r="BB42" i="51" a="1"/>
  <c r="BB43" i="51" a="1"/>
  <c r="BB44" i="51" a="1"/>
  <c r="BB45" i="51" a="1"/>
  <c r="BB46" i="51" a="1"/>
  <c r="BB47" i="51" a="1"/>
  <c r="BB48" i="51" a="1"/>
  <c r="BB49" i="51" a="1"/>
  <c r="BB50" i="51" a="1"/>
  <c r="BB51" i="51" a="1"/>
  <c r="BB52" i="51" a="1"/>
  <c r="BB53" i="51" a="1"/>
  <c r="BB54" i="51" a="1"/>
  <c r="BB55" i="51" a="1"/>
  <c r="BB56" i="51" a="1"/>
  <c r="BB57" i="51" a="1"/>
  <c r="BB58" i="51" a="1"/>
  <c r="BB59" i="51" a="1"/>
  <c r="BB60" i="51" a="1"/>
  <c r="BB61" i="51" a="1"/>
  <c r="BB62" i="51" a="1"/>
  <c r="BB63" i="51" a="1"/>
  <c r="BB64" i="51" a="1"/>
  <c r="BB34" i="51"/>
  <c r="BB35" i="51"/>
  <c r="BB36" i="51"/>
  <c r="BB37" i="51"/>
  <c r="BB38" i="51"/>
  <c r="BB39" i="51"/>
  <c r="BB40" i="51"/>
  <c r="BB41" i="51"/>
  <c r="BB42" i="51"/>
  <c r="BB43" i="51"/>
  <c r="BB44" i="51"/>
  <c r="BB45" i="51"/>
  <c r="BB46" i="51"/>
  <c r="BB47" i="51"/>
  <c r="BB48" i="51"/>
  <c r="BB49" i="51"/>
  <c r="BB50" i="51"/>
  <c r="BB51" i="51"/>
  <c r="BB52" i="51"/>
  <c r="BB53" i="51"/>
  <c r="BB54" i="51"/>
  <c r="BB55" i="51"/>
  <c r="BB56" i="51"/>
  <c r="BB57" i="51"/>
  <c r="BB58" i="51"/>
  <c r="BB59" i="51"/>
  <c r="BB60" i="51"/>
  <c r="BB61" i="51"/>
  <c r="BB62" i="51"/>
  <c r="BB63" i="51"/>
  <c r="BB64" i="51"/>
  <c r="BB66" i="51" a="1"/>
  <c r="BB66" i="51"/>
  <c r="BB68" i="51"/>
  <c r="BA30" i="51"/>
  <c r="BA31" i="51"/>
  <c r="BA32" i="51"/>
  <c r="BA27" i="51"/>
  <c r="BA33" i="51" a="1"/>
  <c r="BA33" i="51"/>
  <c r="BA34" i="51" a="1"/>
  <c r="BA35" i="51" a="1"/>
  <c r="BA36" i="51" a="1"/>
  <c r="BA37" i="51" a="1"/>
  <c r="BA38" i="51" a="1"/>
  <c r="BA39" i="51" a="1"/>
  <c r="BA40" i="51" a="1"/>
  <c r="BA41" i="51" a="1"/>
  <c r="BA42" i="51" a="1"/>
  <c r="BA43" i="51" a="1"/>
  <c r="BA44" i="51" a="1"/>
  <c r="BA45" i="51" a="1"/>
  <c r="BA46" i="51" a="1"/>
  <c r="BA47" i="51" a="1"/>
  <c r="BA48" i="51" a="1"/>
  <c r="BA49" i="51" a="1"/>
  <c r="BA50" i="51" a="1"/>
  <c r="BA51" i="51" a="1"/>
  <c r="BA52" i="51" a="1"/>
  <c r="BA53" i="51" a="1"/>
  <c r="BA54" i="51" a="1"/>
  <c r="BA55" i="51" a="1"/>
  <c r="BA56" i="51" a="1"/>
  <c r="BA57" i="51" a="1"/>
  <c r="BA58" i="51" a="1"/>
  <c r="BA59" i="51" a="1"/>
  <c r="BA60" i="51" a="1"/>
  <c r="BA61" i="51" a="1"/>
  <c r="BA62" i="51" a="1"/>
  <c r="BA63" i="51" a="1"/>
  <c r="BA64" i="51" a="1"/>
  <c r="BA34" i="51"/>
  <c r="BA35" i="51"/>
  <c r="BA36" i="51"/>
  <c r="BA37" i="51"/>
  <c r="BA38" i="51"/>
  <c r="BA39" i="51"/>
  <c r="BA40" i="51"/>
  <c r="BA41" i="51"/>
  <c r="BA42" i="51"/>
  <c r="BA43" i="51"/>
  <c r="BA44" i="51"/>
  <c r="BA45" i="51"/>
  <c r="BA46" i="51"/>
  <c r="BA47" i="51"/>
  <c r="BA48" i="51"/>
  <c r="BA49" i="51"/>
  <c r="BA50" i="51"/>
  <c r="BA51" i="51"/>
  <c r="BA52" i="51"/>
  <c r="BA53" i="51"/>
  <c r="BA54" i="51"/>
  <c r="BA55" i="51"/>
  <c r="BA56" i="51"/>
  <c r="BA57" i="51"/>
  <c r="BA58" i="51"/>
  <c r="BA59" i="51"/>
  <c r="BA60" i="51"/>
  <c r="BA61" i="51"/>
  <c r="BA62" i="51"/>
  <c r="BA63" i="51"/>
  <c r="BA64" i="51"/>
  <c r="BA66" i="51" a="1"/>
  <c r="BA66" i="51"/>
  <c r="BA68" i="51"/>
  <c r="AZ30" i="51"/>
  <c r="AZ31" i="51"/>
  <c r="AZ32" i="51"/>
  <c r="AZ27" i="51"/>
  <c r="AZ33" i="51" a="1"/>
  <c r="AZ33" i="51"/>
  <c r="AZ34" i="51" a="1"/>
  <c r="AZ35" i="51" a="1"/>
  <c r="AZ36" i="51" a="1"/>
  <c r="AZ37" i="51" a="1"/>
  <c r="AZ38" i="51" a="1"/>
  <c r="AZ39" i="51" a="1"/>
  <c r="AZ40" i="51" a="1"/>
  <c r="AZ41" i="51" a="1"/>
  <c r="AZ42" i="51" a="1"/>
  <c r="AZ43" i="51" a="1"/>
  <c r="AZ44" i="51" a="1"/>
  <c r="AZ45" i="51" a="1"/>
  <c r="AZ46" i="51" a="1"/>
  <c r="AZ47" i="51" a="1"/>
  <c r="AZ48" i="51" a="1"/>
  <c r="AZ49" i="51" a="1"/>
  <c r="AZ50" i="51" a="1"/>
  <c r="AZ51" i="51" a="1"/>
  <c r="AZ52" i="51" a="1"/>
  <c r="AZ53" i="51" a="1"/>
  <c r="AZ54" i="51" a="1"/>
  <c r="AZ55" i="51" a="1"/>
  <c r="AZ56" i="51" a="1"/>
  <c r="AZ57" i="51" a="1"/>
  <c r="AZ58" i="51" a="1"/>
  <c r="AZ59" i="51" a="1"/>
  <c r="AZ60" i="51" a="1"/>
  <c r="AZ61" i="51" a="1"/>
  <c r="AZ62" i="51" a="1"/>
  <c r="AZ63" i="51" a="1"/>
  <c r="AZ64" i="51" a="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6" i="51" a="1"/>
  <c r="AZ66" i="51"/>
  <c r="AZ68" i="51"/>
  <c r="AY30" i="51"/>
  <c r="AY31" i="51"/>
  <c r="AY32" i="51"/>
  <c r="AY27" i="51"/>
  <c r="AY33" i="51" a="1"/>
  <c r="AY33" i="51"/>
  <c r="AY34" i="51" a="1"/>
  <c r="AY35" i="51" a="1"/>
  <c r="AY36" i="51" a="1"/>
  <c r="AY37" i="51" a="1"/>
  <c r="AY38" i="51" a="1"/>
  <c r="AY39" i="51" a="1"/>
  <c r="AY40" i="51" a="1"/>
  <c r="AY41" i="51" a="1"/>
  <c r="AY42" i="51" a="1"/>
  <c r="AY43" i="51" a="1"/>
  <c r="AY44" i="51" a="1"/>
  <c r="AY45" i="51" a="1"/>
  <c r="AY46" i="51" a="1"/>
  <c r="AY47" i="51" a="1"/>
  <c r="AY48" i="51" a="1"/>
  <c r="AY49" i="51" a="1"/>
  <c r="AY50" i="51" a="1"/>
  <c r="AY51" i="51" a="1"/>
  <c r="AY52" i="51" a="1"/>
  <c r="AY53" i="51" a="1"/>
  <c r="AY54" i="51" a="1"/>
  <c r="AY55" i="51" a="1"/>
  <c r="AY56" i="51" a="1"/>
  <c r="AY57" i="51" a="1"/>
  <c r="AY58" i="51" a="1"/>
  <c r="AY59" i="51" a="1"/>
  <c r="AY60" i="51" a="1"/>
  <c r="AY61" i="51" a="1"/>
  <c r="AY62" i="51" a="1"/>
  <c r="AY63" i="51" a="1"/>
  <c r="AY64" i="51" a="1"/>
  <c r="AY34" i="51"/>
  <c r="AY35" i="51"/>
  <c r="AY36" i="51"/>
  <c r="AY37" i="51"/>
  <c r="AY38" i="51"/>
  <c r="AY39" i="51"/>
  <c r="AY40" i="51"/>
  <c r="AY41" i="51"/>
  <c r="AY42" i="51"/>
  <c r="AY43" i="51"/>
  <c r="AY44" i="51"/>
  <c r="AY45" i="51"/>
  <c r="AY46" i="51"/>
  <c r="AY47" i="51"/>
  <c r="AY48" i="51"/>
  <c r="AY49" i="51"/>
  <c r="AY50" i="51"/>
  <c r="AY51" i="51"/>
  <c r="AY52" i="51"/>
  <c r="AY53" i="51"/>
  <c r="AY54" i="51"/>
  <c r="AY55" i="51"/>
  <c r="AY56" i="51"/>
  <c r="AY57" i="51"/>
  <c r="AY58" i="51"/>
  <c r="AY59" i="51"/>
  <c r="AY60" i="51"/>
  <c r="AY61" i="51"/>
  <c r="AY62" i="51"/>
  <c r="AY63" i="51"/>
  <c r="AY64" i="51"/>
  <c r="AY66" i="51" a="1"/>
  <c r="AY66" i="51"/>
  <c r="AY68" i="51"/>
  <c r="AX30" i="51"/>
  <c r="AX31" i="51"/>
  <c r="AX32" i="51"/>
  <c r="AX27" i="51"/>
  <c r="AX33" i="51" a="1"/>
  <c r="AX33" i="51"/>
  <c r="AX34" i="51" a="1"/>
  <c r="AX35" i="51" a="1"/>
  <c r="AX36" i="51" a="1"/>
  <c r="AX37" i="51" a="1"/>
  <c r="AX38" i="51" a="1"/>
  <c r="AX39" i="51" a="1"/>
  <c r="AX40" i="51" a="1"/>
  <c r="AX41" i="51" a="1"/>
  <c r="AX42" i="51" a="1"/>
  <c r="AX43" i="51" a="1"/>
  <c r="AX44" i="51" a="1"/>
  <c r="AX45" i="51" a="1"/>
  <c r="AX46" i="51" a="1"/>
  <c r="AX47" i="51" a="1"/>
  <c r="AX48" i="51" a="1"/>
  <c r="AX49" i="51" a="1"/>
  <c r="AX50" i="51" a="1"/>
  <c r="AX51" i="51" a="1"/>
  <c r="AX52" i="51" a="1"/>
  <c r="AX53" i="51" a="1"/>
  <c r="AX54" i="51" a="1"/>
  <c r="AX55" i="51" a="1"/>
  <c r="AX56" i="51" a="1"/>
  <c r="AX57" i="51" a="1"/>
  <c r="AX58" i="51" a="1"/>
  <c r="AX59" i="51" a="1"/>
  <c r="AX60" i="51" a="1"/>
  <c r="AX61" i="51" a="1"/>
  <c r="AX62" i="51" a="1"/>
  <c r="AX63" i="51" a="1"/>
  <c r="AX64" i="51" a="1"/>
  <c r="AX34" i="51"/>
  <c r="AX35" i="51"/>
  <c r="AX36" i="51"/>
  <c r="AX37" i="51"/>
  <c r="AX38" i="51"/>
  <c r="AX39" i="51"/>
  <c r="AX40" i="51"/>
  <c r="AX41" i="51"/>
  <c r="AX42" i="51"/>
  <c r="AX43" i="51"/>
  <c r="AX44" i="51"/>
  <c r="AX45" i="51"/>
  <c r="AX46" i="51"/>
  <c r="AX47" i="51"/>
  <c r="AX48" i="51"/>
  <c r="AX49" i="51"/>
  <c r="AX50" i="51"/>
  <c r="AX51" i="51"/>
  <c r="AX52" i="51"/>
  <c r="AX53" i="51"/>
  <c r="AX54" i="51"/>
  <c r="AX55" i="51"/>
  <c r="AX56" i="51"/>
  <c r="AX57" i="51"/>
  <c r="AX58" i="51"/>
  <c r="AX59" i="51"/>
  <c r="AX60" i="51"/>
  <c r="AX61" i="51"/>
  <c r="AX62" i="51"/>
  <c r="AX63" i="51"/>
  <c r="AX64" i="51"/>
  <c r="AX66" i="51" a="1"/>
  <c r="AX66" i="51"/>
  <c r="AX68" i="51"/>
  <c r="AU65" i="51"/>
  <c r="AU68" i="51"/>
  <c r="AT68" i="51"/>
  <c r="H68" i="51"/>
  <c r="AO16" i="51"/>
  <c r="D67" i="51"/>
  <c r="E67" i="51"/>
  <c r="AP67" i="51"/>
  <c r="AQ67" i="51"/>
  <c r="AM67" i="51"/>
  <c r="AO67" i="51"/>
  <c r="AR67" i="51"/>
  <c r="AT67" i="51"/>
  <c r="AU67" i="51"/>
  <c r="BK67" i="51" a="1"/>
  <c r="BK67" i="51"/>
  <c r="BJ67" i="51" a="1"/>
  <c r="BJ67" i="51"/>
  <c r="BI67" i="51" a="1"/>
  <c r="BI67" i="51"/>
  <c r="BH67" i="51" a="1"/>
  <c r="BH67" i="51"/>
  <c r="BG67" i="51" a="1"/>
  <c r="BG67" i="51"/>
  <c r="BF67" i="51" a="1"/>
  <c r="BF67" i="51"/>
  <c r="BE67" i="51" a="1"/>
  <c r="BE67" i="51"/>
  <c r="BD67" i="51" a="1"/>
  <c r="BD67" i="51"/>
  <c r="BC67" i="51" a="1"/>
  <c r="BC67" i="51"/>
  <c r="BB67" i="51" a="1"/>
  <c r="BB67" i="51"/>
  <c r="BA67" i="51" a="1"/>
  <c r="BA67" i="51"/>
  <c r="AZ67" i="51" a="1"/>
  <c r="AZ67" i="51"/>
  <c r="AY67" i="51" a="1"/>
  <c r="AY67" i="51"/>
  <c r="AX67" i="51" a="1"/>
  <c r="AX67" i="51"/>
  <c r="AW67" i="51"/>
  <c r="AS67" i="51"/>
  <c r="X67" i="51"/>
  <c r="Y67" i="51"/>
  <c r="C67" i="51"/>
  <c r="B67" i="51"/>
  <c r="AW66" i="51"/>
  <c r="AV66" i="51"/>
  <c r="AS66" i="51"/>
  <c r="X66" i="51"/>
  <c r="Y66" i="51"/>
  <c r="H66" i="51"/>
  <c r="G66" i="51"/>
  <c r="C66" i="51"/>
  <c r="B66" i="51"/>
  <c r="BK65" i="51" a="1"/>
  <c r="BK65" i="51"/>
  <c r="BJ65" i="51" a="1"/>
  <c r="BJ65" i="51"/>
  <c r="BI65" i="51" a="1"/>
  <c r="BI65" i="51"/>
  <c r="BH65" i="51" a="1"/>
  <c r="BH65" i="51"/>
  <c r="BG65" i="51" a="1"/>
  <c r="BG65" i="51"/>
  <c r="BF65" i="51" a="1"/>
  <c r="BF65" i="51"/>
  <c r="BE65" i="51" a="1"/>
  <c r="BE65" i="51"/>
  <c r="BD65" i="51" a="1"/>
  <c r="BD65" i="51"/>
  <c r="BC65" i="51" a="1"/>
  <c r="BC65" i="51"/>
  <c r="BB65" i="51" a="1"/>
  <c r="BB65" i="51"/>
  <c r="BA65" i="51" a="1"/>
  <c r="BA65" i="51"/>
  <c r="AZ65" i="51" a="1"/>
  <c r="AZ65" i="51"/>
  <c r="AY65" i="51" a="1"/>
  <c r="AY65" i="51"/>
  <c r="AX65" i="51" a="1"/>
  <c r="AX65" i="51"/>
  <c r="AW65" i="51"/>
  <c r="AS65" i="51"/>
  <c r="X65" i="51"/>
  <c r="Y65" i="51"/>
  <c r="I65" i="51"/>
  <c r="H65" i="51"/>
  <c r="C65" i="51"/>
  <c r="B65" i="51"/>
  <c r="AW64" i="51"/>
  <c r="AS64" i="51"/>
  <c r="AG64" i="51"/>
  <c r="I64" i="51"/>
  <c r="H64" i="51"/>
  <c r="C64" i="51"/>
  <c r="B64" i="51"/>
  <c r="AM63" i="51"/>
  <c r="AW63" i="51"/>
  <c r="AS63" i="51"/>
  <c r="AO63" i="51"/>
  <c r="AG63" i="51"/>
  <c r="I63" i="51"/>
  <c r="H63" i="51"/>
  <c r="C63" i="51"/>
  <c r="B63" i="51"/>
  <c r="AM62" i="51"/>
  <c r="AW62" i="51"/>
  <c r="AS62" i="51"/>
  <c r="AO62" i="51"/>
  <c r="AG62" i="51"/>
  <c r="I62" i="51"/>
  <c r="H62" i="51"/>
  <c r="C62" i="51"/>
  <c r="B62" i="51"/>
  <c r="AM61" i="51"/>
  <c r="AW61" i="51"/>
  <c r="AS61" i="51"/>
  <c r="AO61" i="51"/>
  <c r="AG61" i="51"/>
  <c r="I61" i="51"/>
  <c r="H61" i="51"/>
  <c r="C61" i="51"/>
  <c r="B61" i="51"/>
  <c r="AW60" i="51"/>
  <c r="AS60" i="51"/>
  <c r="AG60" i="51"/>
  <c r="I60" i="51"/>
  <c r="H60" i="51"/>
  <c r="C60" i="51"/>
  <c r="B60" i="51"/>
  <c r="AW59" i="51"/>
  <c r="AS59" i="51"/>
  <c r="AG59" i="51"/>
  <c r="I59" i="51"/>
  <c r="H59" i="51"/>
  <c r="C59" i="51"/>
  <c r="B59" i="51"/>
  <c r="AM58" i="51"/>
  <c r="AW58" i="51"/>
  <c r="AS58" i="51"/>
  <c r="AO58" i="51"/>
  <c r="AG58" i="51"/>
  <c r="I58" i="51"/>
  <c r="H58" i="51"/>
  <c r="C58" i="51"/>
  <c r="B58" i="51"/>
  <c r="AM57" i="51"/>
  <c r="AW57" i="51"/>
  <c r="AS57" i="51"/>
  <c r="AO57" i="51"/>
  <c r="AG57" i="51"/>
  <c r="I57" i="51"/>
  <c r="H57" i="51"/>
  <c r="C57" i="51"/>
  <c r="B57" i="51"/>
  <c r="AM56" i="51"/>
  <c r="AW56" i="51"/>
  <c r="AS56" i="51"/>
  <c r="AO56" i="51"/>
  <c r="AG56" i="51"/>
  <c r="I56" i="51"/>
  <c r="H56" i="51"/>
  <c r="C56" i="51"/>
  <c r="B56" i="51"/>
  <c r="AM55" i="51"/>
  <c r="AW55" i="51"/>
  <c r="AS55" i="51"/>
  <c r="AO55" i="51"/>
  <c r="AG55" i="51"/>
  <c r="I55" i="51"/>
  <c r="H55" i="51"/>
  <c r="C55" i="51"/>
  <c r="B55" i="51"/>
  <c r="AM54" i="51"/>
  <c r="AW54" i="51"/>
  <c r="AS54" i="51"/>
  <c r="AO54" i="51"/>
  <c r="AG54" i="51"/>
  <c r="I54" i="51"/>
  <c r="H54" i="51"/>
  <c r="C54" i="51"/>
  <c r="B54" i="51"/>
  <c r="AM53" i="51"/>
  <c r="AW53" i="51"/>
  <c r="AS53" i="51"/>
  <c r="AO53" i="51"/>
  <c r="AG53" i="51"/>
  <c r="I53" i="51"/>
  <c r="H53" i="51"/>
  <c r="C53" i="51"/>
  <c r="B53" i="51"/>
  <c r="AM52" i="51"/>
  <c r="AW52" i="51"/>
  <c r="AS52" i="51"/>
  <c r="AO52" i="51"/>
  <c r="AG52" i="51"/>
  <c r="I52" i="51"/>
  <c r="H52" i="51"/>
  <c r="C52" i="51"/>
  <c r="B52" i="51"/>
  <c r="AM51" i="51"/>
  <c r="AW51" i="51"/>
  <c r="AS51" i="51"/>
  <c r="AO51" i="51"/>
  <c r="AG51" i="51"/>
  <c r="I51" i="51"/>
  <c r="H51" i="51"/>
  <c r="C51" i="51"/>
  <c r="B51" i="51"/>
  <c r="AM50" i="51"/>
  <c r="AW50" i="51"/>
  <c r="AS50" i="51"/>
  <c r="AO50" i="51"/>
  <c r="AG50" i="51"/>
  <c r="I50" i="51"/>
  <c r="H50" i="51"/>
  <c r="C50" i="51"/>
  <c r="B50" i="51"/>
  <c r="AM49" i="51"/>
  <c r="AW49" i="51"/>
  <c r="AS49" i="51"/>
  <c r="AO49" i="51"/>
  <c r="AG49" i="51"/>
  <c r="I49" i="51"/>
  <c r="H49" i="51"/>
  <c r="C49" i="51"/>
  <c r="B49" i="51"/>
  <c r="AW48" i="51"/>
  <c r="AS48" i="51"/>
  <c r="AG48" i="51"/>
  <c r="I48" i="51"/>
  <c r="H48" i="51"/>
  <c r="C48" i="51"/>
  <c r="B48" i="51"/>
  <c r="AW47" i="51"/>
  <c r="AS47" i="51"/>
  <c r="AG47" i="51"/>
  <c r="I47" i="51"/>
  <c r="H47" i="51"/>
  <c r="C47" i="51"/>
  <c r="B47" i="51"/>
  <c r="AW46" i="51"/>
  <c r="AS46" i="51"/>
  <c r="AG46" i="51"/>
  <c r="I46" i="51"/>
  <c r="H46" i="51"/>
  <c r="C46" i="51"/>
  <c r="B46" i="51"/>
  <c r="AW45" i="51"/>
  <c r="AS45" i="51"/>
  <c r="AG45" i="51"/>
  <c r="I45" i="51"/>
  <c r="H45" i="51"/>
  <c r="C45" i="51"/>
  <c r="B45" i="51"/>
  <c r="AW44" i="51"/>
  <c r="AS44" i="51"/>
  <c r="AG44" i="51"/>
  <c r="I44" i="51"/>
  <c r="H44" i="51"/>
  <c r="C44" i="51"/>
  <c r="B44" i="51"/>
  <c r="AW43" i="51"/>
  <c r="AS43" i="51"/>
  <c r="AG43" i="51"/>
  <c r="I43" i="51"/>
  <c r="H43" i="51"/>
  <c r="C43" i="51"/>
  <c r="B43" i="51"/>
  <c r="AW42" i="51"/>
  <c r="AS42" i="51"/>
  <c r="AG42" i="51"/>
  <c r="I42" i="51"/>
  <c r="H42" i="51"/>
  <c r="C42" i="51"/>
  <c r="B42" i="51"/>
  <c r="AM41" i="51"/>
  <c r="AW41" i="51"/>
  <c r="AS41" i="51"/>
  <c r="AO41" i="51"/>
  <c r="AG41" i="51"/>
  <c r="I41" i="51"/>
  <c r="H41" i="51"/>
  <c r="C41" i="51"/>
  <c r="B41" i="51"/>
  <c r="AM40" i="51"/>
  <c r="AW40" i="51"/>
  <c r="AS40" i="51"/>
  <c r="AO40" i="51"/>
  <c r="AG40" i="51"/>
  <c r="I40" i="51"/>
  <c r="H40" i="51"/>
  <c r="C40" i="51"/>
  <c r="B40" i="51"/>
  <c r="AM39" i="51"/>
  <c r="AW39" i="51"/>
  <c r="AS39" i="51"/>
  <c r="AO39" i="51"/>
  <c r="AG39" i="51"/>
  <c r="I39" i="51"/>
  <c r="H39" i="51"/>
  <c r="C39" i="51"/>
  <c r="B39" i="51"/>
  <c r="AM38" i="51"/>
  <c r="AW38" i="51"/>
  <c r="AS38" i="51"/>
  <c r="AO38" i="51"/>
  <c r="AG38" i="51"/>
  <c r="I38" i="51"/>
  <c r="H38" i="51"/>
  <c r="C38" i="51"/>
  <c r="B38" i="51"/>
  <c r="AM37" i="51"/>
  <c r="AW37" i="51"/>
  <c r="AS37" i="51"/>
  <c r="AO37" i="51"/>
  <c r="AG37" i="51"/>
  <c r="I37" i="51"/>
  <c r="H37" i="51"/>
  <c r="C37" i="51"/>
  <c r="B37" i="51"/>
  <c r="AM36" i="51"/>
  <c r="AW36" i="51"/>
  <c r="AS36" i="51"/>
  <c r="AO36" i="51"/>
  <c r="AG36" i="51"/>
  <c r="I36" i="51"/>
  <c r="H36" i="51"/>
  <c r="C36" i="51"/>
  <c r="B36" i="51"/>
  <c r="AM35" i="51"/>
  <c r="AW35" i="51"/>
  <c r="AS35" i="51"/>
  <c r="AO35" i="51"/>
  <c r="AG35" i="51"/>
  <c r="I35" i="51"/>
  <c r="H35" i="51"/>
  <c r="C35" i="51"/>
  <c r="B35" i="51"/>
  <c r="AM34" i="51"/>
  <c r="AW34" i="51"/>
  <c r="AS34" i="51"/>
  <c r="AO34" i="51"/>
  <c r="AG34" i="51"/>
  <c r="I34" i="51"/>
  <c r="H34" i="51"/>
  <c r="C34" i="51"/>
  <c r="B34" i="51"/>
  <c r="AM33" i="51"/>
  <c r="AW33" i="51"/>
  <c r="AS33" i="51"/>
  <c r="AO33" i="51"/>
  <c r="AG33" i="51"/>
  <c r="I33" i="51"/>
  <c r="H33" i="51"/>
  <c r="C33" i="51"/>
  <c r="B33" i="51"/>
  <c r="D32" i="51"/>
  <c r="AM32" i="51"/>
  <c r="AW32" i="51"/>
  <c r="AS32" i="51"/>
  <c r="AO32" i="51"/>
  <c r="AG32" i="51"/>
  <c r="I32" i="51"/>
  <c r="H32" i="51"/>
  <c r="C32" i="51"/>
  <c r="B32" i="51"/>
  <c r="D31" i="51"/>
  <c r="AM31" i="51"/>
  <c r="AW31" i="51"/>
  <c r="AS31" i="51"/>
  <c r="AO31" i="51"/>
  <c r="AG31" i="51"/>
  <c r="I31" i="51"/>
  <c r="H31" i="51"/>
  <c r="C31" i="51"/>
  <c r="B31" i="51"/>
  <c r="D30" i="51"/>
  <c r="AM30" i="51"/>
  <c r="AW30" i="51"/>
  <c r="AS30" i="51"/>
  <c r="AO30" i="51"/>
  <c r="AG30" i="51"/>
  <c r="I30" i="51"/>
  <c r="H30" i="51"/>
  <c r="C30" i="51"/>
  <c r="B30" i="51"/>
  <c r="EB28" i="51"/>
  <c r="DY28" i="51"/>
  <c r="DX28" i="51"/>
  <c r="DW28" i="51"/>
  <c r="DV28" i="51"/>
  <c r="DU28" i="51"/>
  <c r="DT28" i="51"/>
  <c r="DS28" i="51"/>
  <c r="DR28" i="51"/>
  <c r="DQ28" i="51"/>
  <c r="DP28" i="51"/>
  <c r="DO28" i="51"/>
  <c r="DN28" i="51"/>
  <c r="DK28" i="51"/>
  <c r="DJ28" i="51"/>
  <c r="DI28" i="51"/>
  <c r="DH28" i="51"/>
  <c r="DG28" i="51"/>
  <c r="DF28" i="51"/>
  <c r="DE28" i="51"/>
  <c r="DD28" i="51"/>
  <c r="DC28" i="51"/>
  <c r="DB28" i="51"/>
  <c r="DA28" i="51"/>
  <c r="CZ28" i="51"/>
  <c r="CW28" i="51"/>
  <c r="CV28" i="51"/>
  <c r="CU28" i="51"/>
  <c r="CT28" i="51"/>
  <c r="CS28" i="51"/>
  <c r="CR28" i="51"/>
  <c r="CQ28" i="51"/>
  <c r="CP28" i="51"/>
  <c r="CO28" i="51"/>
  <c r="CN28" i="51"/>
  <c r="CM28" i="51"/>
  <c r="CL28" i="51"/>
  <c r="CK28" i="51"/>
  <c r="CJ28" i="51"/>
  <c r="CI28" i="51"/>
  <c r="CH28" i="51"/>
  <c r="CG28" i="51"/>
  <c r="CF28" i="51"/>
  <c r="CE28" i="51"/>
  <c r="CD28" i="51"/>
  <c r="CC28" i="51"/>
  <c r="CB28" i="51"/>
  <c r="CA28" i="51"/>
  <c r="BZ28" i="51"/>
  <c r="BY28" i="51"/>
  <c r="BX28" i="51"/>
  <c r="BW28" i="51"/>
  <c r="BV28" i="51"/>
  <c r="BU28" i="51"/>
  <c r="BT28" i="51"/>
  <c r="BS28" i="51"/>
  <c r="BR28" i="51"/>
  <c r="BQ28" i="51"/>
  <c r="BP28" i="51"/>
  <c r="BO28" i="51"/>
  <c r="BN28" i="51"/>
  <c r="BM28" i="51"/>
  <c r="BK28" i="51"/>
  <c r="BJ28" i="51"/>
  <c r="BI28" i="51"/>
  <c r="BH28" i="51"/>
  <c r="BG28" i="51"/>
  <c r="BF28" i="51"/>
  <c r="BE28" i="51"/>
  <c r="BD28" i="51"/>
  <c r="BC28" i="51"/>
  <c r="BB28" i="51"/>
  <c r="BA28" i="51"/>
  <c r="AZ28" i="51"/>
  <c r="AY28" i="51"/>
  <c r="AX28" i="51"/>
  <c r="Z2" i="51"/>
  <c r="Y4" i="51"/>
  <c r="C28" i="51"/>
  <c r="EB27" i="51"/>
  <c r="DY27" i="51"/>
  <c r="DX27" i="51"/>
  <c r="DW27" i="51"/>
  <c r="DV27" i="51"/>
  <c r="DU27" i="51"/>
  <c r="DT27" i="51"/>
  <c r="DS27" i="51"/>
  <c r="DR27" i="51"/>
  <c r="DQ27" i="51"/>
  <c r="DP27" i="51"/>
  <c r="DO27" i="51"/>
  <c r="C23" i="51"/>
  <c r="C22" i="51"/>
  <c r="C21" i="51"/>
  <c r="C20" i="51"/>
  <c r="AQ18" i="51"/>
  <c r="D18" i="51"/>
  <c r="AM18" i="51"/>
  <c r="X18" i="51"/>
  <c r="Y18" i="51"/>
  <c r="W13" i="51"/>
  <c r="X13" i="51"/>
  <c r="B18" i="51"/>
  <c r="AY12" i="51"/>
  <c r="AX12" i="51"/>
  <c r="AX11" i="51"/>
  <c r="AX13" i="51"/>
  <c r="AX14" i="51"/>
  <c r="AX16" i="51"/>
  <c r="AY16" i="51"/>
  <c r="AN16" i="51"/>
  <c r="AM16" i="51"/>
  <c r="X16" i="51"/>
  <c r="B16" i="51"/>
  <c r="AX15" i="51"/>
  <c r="AY15" i="51"/>
  <c r="AY14" i="51"/>
  <c r="AW13" i="51"/>
  <c r="AZ12" i="51"/>
  <c r="AW12" i="51"/>
  <c r="W12" i="51"/>
  <c r="AY11" i="51"/>
  <c r="AW11" i="51"/>
  <c r="X11" i="51"/>
  <c r="W11" i="51"/>
  <c r="Y9" i="51"/>
  <c r="G11" i="51"/>
  <c r="AX10" i="51"/>
  <c r="AY10" i="51"/>
  <c r="AY9" i="51"/>
  <c r="AX9" i="51"/>
  <c r="C9" i="51"/>
  <c r="BK5" i="51"/>
  <c r="BY7" i="51"/>
  <c r="BY8" i="51"/>
  <c r="BJ5" i="51"/>
  <c r="BX7" i="51"/>
  <c r="BX8" i="51"/>
  <c r="BI5" i="51"/>
  <c r="BW7" i="51"/>
  <c r="BW8" i="51"/>
  <c r="BH5" i="51"/>
  <c r="BV7" i="51"/>
  <c r="BV8" i="51"/>
  <c r="BG5" i="51"/>
  <c r="BU7" i="51"/>
  <c r="BU8" i="51"/>
  <c r="BF5" i="51"/>
  <c r="BT7" i="51"/>
  <c r="BT8" i="51"/>
  <c r="BE5" i="51"/>
  <c r="BS7" i="51"/>
  <c r="BS8" i="51"/>
  <c r="BD5" i="51"/>
  <c r="BR7" i="51"/>
  <c r="BR8" i="51"/>
  <c r="BC5" i="51"/>
  <c r="BQ7" i="51"/>
  <c r="BQ8" i="51"/>
  <c r="BB5" i="51"/>
  <c r="BP7" i="51"/>
  <c r="BP8" i="51"/>
  <c r="BA5" i="51"/>
  <c r="BO7" i="51"/>
  <c r="BO8" i="51"/>
  <c r="AZ5" i="51"/>
  <c r="BN7" i="51"/>
  <c r="BN8" i="51"/>
  <c r="AY5" i="51"/>
  <c r="BM7" i="51"/>
  <c r="BM8" i="51"/>
  <c r="AX5" i="51"/>
  <c r="BL7" i="51"/>
  <c r="BL8" i="51"/>
  <c r="BK4" i="51"/>
  <c r="BK6" i="51"/>
  <c r="BK7" i="51"/>
  <c r="BK8" i="51"/>
  <c r="BJ4" i="51"/>
  <c r="BJ6" i="51"/>
  <c r="BJ7" i="51"/>
  <c r="BJ8" i="51"/>
  <c r="BI4" i="51"/>
  <c r="BI6" i="51"/>
  <c r="BI7" i="51"/>
  <c r="BI8" i="51"/>
  <c r="BH4" i="51"/>
  <c r="BH6" i="51"/>
  <c r="BH7" i="51"/>
  <c r="BH8" i="51"/>
  <c r="BG4" i="51"/>
  <c r="BG6" i="51"/>
  <c r="BG7" i="51"/>
  <c r="BG8" i="51"/>
  <c r="BF4" i="51"/>
  <c r="BF6" i="51"/>
  <c r="BF7" i="51"/>
  <c r="BF8" i="51"/>
  <c r="BE4" i="51"/>
  <c r="BE6" i="51"/>
  <c r="BE7" i="51"/>
  <c r="BE8" i="51"/>
  <c r="BD4" i="51"/>
  <c r="BD6" i="51"/>
  <c r="BD7" i="51"/>
  <c r="BD8" i="51"/>
  <c r="BC4" i="51"/>
  <c r="BC6" i="51"/>
  <c r="BC7" i="51"/>
  <c r="BC8" i="51"/>
  <c r="BB4" i="51"/>
  <c r="BB6" i="51"/>
  <c r="BB7" i="51"/>
  <c r="BB8" i="51"/>
  <c r="BA4" i="51"/>
  <c r="BA6" i="51"/>
  <c r="BA7" i="51"/>
  <c r="BA8" i="51"/>
  <c r="AZ4" i="51"/>
  <c r="AZ6" i="51"/>
  <c r="AZ7" i="51"/>
  <c r="AZ8" i="51"/>
  <c r="AY4" i="51"/>
  <c r="AY6" i="51"/>
  <c r="AY7" i="51"/>
  <c r="AY8" i="51"/>
  <c r="AX4" i="51"/>
  <c r="AX6" i="51"/>
  <c r="AX7" i="51"/>
  <c r="AX8" i="51"/>
  <c r="BY6" i="51"/>
  <c r="BX6" i="51"/>
  <c r="BW6" i="51"/>
  <c r="BV6" i="51"/>
  <c r="BU6" i="51"/>
  <c r="BT6" i="51"/>
  <c r="BS6" i="51"/>
  <c r="BR6" i="51"/>
  <c r="BQ6" i="51"/>
  <c r="BP6" i="51"/>
  <c r="BO6" i="51"/>
  <c r="BN6" i="51"/>
  <c r="BM6" i="51"/>
  <c r="BL6" i="51"/>
  <c r="C6" i="51"/>
  <c r="BY5" i="51"/>
  <c r="BX5" i="51"/>
  <c r="BW5" i="51"/>
  <c r="BV5" i="51"/>
  <c r="BU5" i="51"/>
  <c r="BT5" i="51"/>
  <c r="BS5" i="51"/>
  <c r="BR5" i="51"/>
  <c r="BQ5" i="51"/>
  <c r="BP5" i="51"/>
  <c r="BO5" i="51"/>
  <c r="BN5" i="51"/>
  <c r="BM5" i="51"/>
  <c r="BL5" i="51"/>
  <c r="BY4" i="51"/>
  <c r="BX4" i="51"/>
  <c r="BW4" i="51"/>
  <c r="BV4" i="51"/>
  <c r="BU4" i="51"/>
  <c r="BT4" i="51"/>
  <c r="BS4" i="51"/>
  <c r="BR4" i="51"/>
  <c r="BQ4" i="51"/>
  <c r="BP4" i="51"/>
  <c r="BO4" i="51"/>
  <c r="BN4" i="51"/>
  <c r="BM4" i="51"/>
  <c r="BL4" i="51"/>
  <c r="BY3" i="51"/>
  <c r="BX3" i="51"/>
  <c r="BV3" i="51"/>
  <c r="BU3" i="51"/>
  <c r="BT3" i="51"/>
  <c r="BS3" i="51"/>
  <c r="BR3" i="51"/>
  <c r="BQ3" i="51"/>
  <c r="BP3" i="51"/>
  <c r="BO3" i="51"/>
  <c r="BN3" i="51"/>
  <c r="BM3" i="51"/>
  <c r="BL3" i="51"/>
  <c r="BK3" i="51"/>
  <c r="BJ3" i="51"/>
  <c r="BI3" i="51"/>
  <c r="BH3" i="51"/>
  <c r="BG3" i="51"/>
  <c r="BF3" i="51"/>
  <c r="BE3" i="51"/>
  <c r="BD3" i="51"/>
  <c r="BC3" i="51"/>
  <c r="BB3" i="51"/>
  <c r="BA3" i="51"/>
  <c r="AZ3" i="51"/>
  <c r="AY3" i="51"/>
  <c r="AX3" i="51"/>
  <c r="Y3" i="51"/>
  <c r="C2" i="51"/>
  <c r="AE18" i="45"/>
  <c r="F18" i="45"/>
  <c r="AD18" i="45"/>
  <c r="E18" i="45"/>
  <c r="Z2" i="45"/>
  <c r="Y4" i="45"/>
  <c r="C23" i="45"/>
  <c r="E16" i="45"/>
  <c r="Y9" i="45"/>
  <c r="G11" i="45"/>
  <c r="B5" i="5"/>
  <c r="G1" i="30"/>
  <c r="J215" i="30"/>
  <c r="I215" i="30"/>
  <c r="H215" i="30"/>
  <c r="G215" i="30"/>
  <c r="J201" i="30"/>
  <c r="I201" i="30"/>
  <c r="H201" i="30"/>
  <c r="G201" i="30"/>
  <c r="J187" i="30"/>
  <c r="I187" i="30"/>
  <c r="H187" i="30"/>
  <c r="G187" i="30"/>
  <c r="J173" i="30"/>
  <c r="I173" i="30"/>
  <c r="H173" i="30"/>
  <c r="G173" i="30"/>
  <c r="J159" i="30"/>
  <c r="I159" i="30"/>
  <c r="H159" i="30"/>
  <c r="G159" i="30"/>
  <c r="J145" i="30"/>
  <c r="I145" i="30"/>
  <c r="H145" i="30"/>
  <c r="G145" i="30"/>
  <c r="J131" i="30"/>
  <c r="I131" i="30"/>
  <c r="H131" i="30"/>
  <c r="G131" i="30"/>
  <c r="J117" i="30"/>
  <c r="I117" i="30"/>
  <c r="H117" i="30"/>
  <c r="G117" i="30"/>
  <c r="J103" i="30"/>
  <c r="I103" i="30"/>
  <c r="H103" i="30"/>
  <c r="G103" i="30"/>
  <c r="J89" i="30"/>
  <c r="I89" i="30"/>
  <c r="H89" i="30"/>
  <c r="G89" i="30"/>
  <c r="J75" i="30"/>
  <c r="I75" i="30"/>
  <c r="H75" i="30"/>
  <c r="G75" i="30"/>
  <c r="J61" i="30"/>
  <c r="I61" i="30"/>
  <c r="H61" i="30"/>
  <c r="G61" i="30"/>
  <c r="J47" i="30"/>
  <c r="I47" i="30"/>
  <c r="H47" i="30"/>
  <c r="G47" i="30"/>
  <c r="J33" i="30"/>
  <c r="I33" i="30"/>
  <c r="H33" i="30"/>
  <c r="G33" i="30"/>
  <c r="G19" i="30"/>
  <c r="I19" i="30"/>
  <c r="J19" i="30"/>
  <c r="H19" i="30"/>
  <c r="AB43" i="48"/>
  <c r="AC45" i="48"/>
  <c r="P8" i="30"/>
  <c r="AD45" i="48"/>
  <c r="Q8" i="30"/>
  <c r="AE45" i="48"/>
  <c r="R8" i="30"/>
  <c r="AF45" i="48"/>
  <c r="S8" i="30"/>
  <c r="AG45" i="48"/>
  <c r="T8" i="30"/>
  <c r="AH45" i="48"/>
  <c r="U8" i="30"/>
  <c r="W8" i="30"/>
  <c r="X8" i="30"/>
  <c r="Y8" i="30"/>
  <c r="Z8" i="30"/>
  <c r="AC8" i="30"/>
  <c r="G75" i="45"/>
  <c r="E8" i="5"/>
  <c r="B7" i="1"/>
  <c r="B13" i="5"/>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 r="F217" i="30"/>
  <c r="F216" i="30"/>
  <c r="F215" i="30"/>
  <c r="F214" i="30"/>
  <c r="F213" i="30"/>
  <c r="F212" i="30"/>
  <c r="F211" i="30"/>
  <c r="E51" i="48"/>
  <c r="F210" i="30"/>
  <c r="E50" i="48"/>
  <c r="F209" i="30"/>
  <c r="E56" i="48"/>
  <c r="F208" i="30"/>
  <c r="E55" i="48"/>
  <c r="F207" i="30"/>
  <c r="E53" i="48"/>
  <c r="F206" i="30"/>
  <c r="E52" i="48"/>
  <c r="F205" i="30"/>
  <c r="E49" i="48"/>
  <c r="F204" i="30"/>
  <c r="F203" i="30"/>
  <c r="F202" i="30"/>
  <c r="F201" i="30"/>
  <c r="F200" i="30"/>
  <c r="F199" i="30"/>
  <c r="F198" i="30"/>
  <c r="F197" i="30"/>
  <c r="F196" i="30"/>
  <c r="F195" i="30"/>
  <c r="F194" i="30"/>
  <c r="F193" i="30"/>
  <c r="F192" i="30"/>
  <c r="F191" i="30"/>
  <c r="F190" i="30"/>
  <c r="F189" i="30"/>
  <c r="F188" i="30"/>
  <c r="F187" i="30"/>
  <c r="F186" i="30"/>
  <c r="F185" i="30"/>
  <c r="F184" i="30"/>
  <c r="F183" i="30"/>
  <c r="F182" i="30"/>
  <c r="F181" i="30"/>
  <c r="F180" i="30"/>
  <c r="F179" i="30"/>
  <c r="F178" i="30"/>
  <c r="F177" i="30"/>
  <c r="F176" i="30"/>
  <c r="F175" i="30"/>
  <c r="F174" i="30"/>
  <c r="F173" i="30"/>
  <c r="F172" i="30"/>
  <c r="F171" i="30"/>
  <c r="F170" i="30"/>
  <c r="F169" i="30"/>
  <c r="F168" i="30"/>
  <c r="F167" i="30"/>
  <c r="F166" i="30"/>
  <c r="F165" i="30"/>
  <c r="F164" i="30"/>
  <c r="F163" i="30"/>
  <c r="F162" i="30"/>
  <c r="F147" i="30"/>
  <c r="F146" i="30"/>
  <c r="F145" i="30"/>
  <c r="F144" i="30"/>
  <c r="F143" i="30"/>
  <c r="F142" i="30"/>
  <c r="F141" i="30"/>
  <c r="F140" i="30"/>
  <c r="F139" i="30"/>
  <c r="F138" i="30"/>
  <c r="F137" i="30"/>
  <c r="F136" i="30"/>
  <c r="F135" i="30"/>
  <c r="F134" i="30"/>
  <c r="F119" i="30"/>
  <c r="F118" i="30"/>
  <c r="F117" i="30"/>
  <c r="F116" i="30"/>
  <c r="F115" i="30"/>
  <c r="F114" i="30"/>
  <c r="F113" i="30"/>
  <c r="F112" i="30"/>
  <c r="F111" i="30"/>
  <c r="F110" i="30"/>
  <c r="F109" i="30"/>
  <c r="F108" i="30"/>
  <c r="F107" i="30"/>
  <c r="F106" i="30"/>
  <c r="F105" i="30"/>
  <c r="F104" i="30"/>
  <c r="F103" i="30"/>
  <c r="F102" i="30"/>
  <c r="F101" i="30"/>
  <c r="F100" i="30"/>
  <c r="F99" i="30"/>
  <c r="F98" i="30"/>
  <c r="F97" i="30"/>
  <c r="F96" i="30"/>
  <c r="F95" i="30"/>
  <c r="F94" i="30"/>
  <c r="F93" i="30"/>
  <c r="F92" i="30"/>
  <c r="F49" i="30"/>
  <c r="F48" i="30"/>
  <c r="F47" i="30"/>
  <c r="F46" i="30"/>
  <c r="F45" i="30"/>
  <c r="F44" i="30"/>
  <c r="F43" i="30"/>
  <c r="F42" i="30"/>
  <c r="F41" i="30"/>
  <c r="F40" i="30"/>
  <c r="F39" i="30"/>
  <c r="F38" i="30"/>
  <c r="F37" i="30"/>
  <c r="F36" i="30"/>
  <c r="F35" i="30"/>
  <c r="F34" i="30"/>
  <c r="F33" i="30"/>
  <c r="F32" i="30"/>
  <c r="F31" i="30"/>
  <c r="F30" i="30"/>
  <c r="F29" i="30"/>
  <c r="F28" i="30"/>
  <c r="F27" i="30"/>
  <c r="F26" i="30"/>
  <c r="F25" i="30"/>
  <c r="F24" i="30"/>
  <c r="F23" i="30"/>
  <c r="F22" i="30"/>
  <c r="F21" i="30"/>
  <c r="F20" i="30"/>
  <c r="F19" i="30"/>
  <c r="F18" i="30"/>
  <c r="F17" i="30"/>
  <c r="F16" i="30"/>
  <c r="F15" i="30"/>
  <c r="F14" i="30"/>
  <c r="F11" i="30"/>
  <c r="F90" i="30"/>
  <c r="F91" i="30"/>
  <c r="E90" i="30"/>
  <c r="E91" i="30"/>
  <c r="F12" i="30"/>
  <c r="F10" i="30"/>
  <c r="F9" i="30"/>
  <c r="C9" i="45"/>
  <c r="C20" i="45"/>
  <c r="Y3" i="45"/>
  <c r="C28" i="45"/>
  <c r="D18" i="45"/>
  <c r="AH58" i="48"/>
  <c r="U217" i="30"/>
  <c r="T217" i="30"/>
  <c r="S217" i="30"/>
  <c r="R217" i="30"/>
  <c r="Q217" i="30"/>
  <c r="P217" i="30"/>
  <c r="AH57" i="48"/>
  <c r="U216" i="30"/>
  <c r="T216" i="30"/>
  <c r="S216" i="30"/>
  <c r="R216" i="30"/>
  <c r="Q216" i="30"/>
  <c r="P216" i="30"/>
  <c r="AH56" i="48"/>
  <c r="U215" i="30"/>
  <c r="T215" i="30"/>
  <c r="S215" i="30"/>
  <c r="R215" i="30"/>
  <c r="Q215" i="30"/>
  <c r="P215" i="30"/>
  <c r="AC55" i="48"/>
  <c r="AD55" i="48"/>
  <c r="AE55" i="48"/>
  <c r="AF55" i="48"/>
  <c r="AG55" i="48"/>
  <c r="AH55" i="48"/>
  <c r="U214" i="30"/>
  <c r="T214" i="30"/>
  <c r="S214" i="30"/>
  <c r="R214" i="30"/>
  <c r="Q214" i="30"/>
  <c r="P214" i="30"/>
  <c r="AC54" i="48"/>
  <c r="AD54" i="48"/>
  <c r="AE54" i="48"/>
  <c r="AF54" i="48"/>
  <c r="AG54" i="48"/>
  <c r="AH54" i="48"/>
  <c r="U213" i="30"/>
  <c r="T213" i="30"/>
  <c r="S213" i="30"/>
  <c r="R213" i="30"/>
  <c r="Q213" i="30"/>
  <c r="P213" i="30"/>
  <c r="AC53" i="48"/>
  <c r="AD53" i="48"/>
  <c r="AE53" i="48"/>
  <c r="AF53" i="48"/>
  <c r="AG53" i="48"/>
  <c r="AH53" i="48"/>
  <c r="U212" i="30"/>
  <c r="T212" i="30"/>
  <c r="S212" i="30"/>
  <c r="R212" i="30"/>
  <c r="Q212" i="30"/>
  <c r="P212" i="30"/>
  <c r="AC52" i="48"/>
  <c r="AD52" i="48"/>
  <c r="AE52" i="48"/>
  <c r="AF52" i="48"/>
  <c r="AG52" i="48"/>
  <c r="AH52" i="48"/>
  <c r="U211" i="30"/>
  <c r="T211" i="30"/>
  <c r="S211" i="30"/>
  <c r="R211" i="30"/>
  <c r="Q211" i="30"/>
  <c r="P211" i="30"/>
  <c r="AC51" i="48"/>
  <c r="AD51" i="48"/>
  <c r="AE51" i="48"/>
  <c r="AF51" i="48"/>
  <c r="AG51" i="48"/>
  <c r="AH51" i="48"/>
  <c r="U210" i="30"/>
  <c r="T210" i="30"/>
  <c r="S210" i="30"/>
  <c r="R210" i="30"/>
  <c r="Q210" i="30"/>
  <c r="P210" i="30"/>
  <c r="AC50" i="48"/>
  <c r="AD50" i="48"/>
  <c r="AE50" i="48"/>
  <c r="AF50" i="48"/>
  <c r="AG50" i="48"/>
  <c r="AH50" i="48"/>
  <c r="U209" i="30"/>
  <c r="T209" i="30"/>
  <c r="S209" i="30"/>
  <c r="R209" i="30"/>
  <c r="Q209" i="30"/>
  <c r="P209" i="30"/>
  <c r="AC49" i="48"/>
  <c r="AD49" i="48"/>
  <c r="AE49" i="48"/>
  <c r="AF49" i="48"/>
  <c r="AG49" i="48"/>
  <c r="AH49" i="48"/>
  <c r="U208" i="30"/>
  <c r="T208" i="30"/>
  <c r="S208" i="30"/>
  <c r="R208" i="30"/>
  <c r="Q208" i="30"/>
  <c r="P208" i="30"/>
  <c r="AC48" i="48"/>
  <c r="AD48" i="48"/>
  <c r="AE48" i="48"/>
  <c r="AF48" i="48"/>
  <c r="AG48" i="48"/>
  <c r="AH48" i="48"/>
  <c r="U207" i="30"/>
  <c r="T207" i="30"/>
  <c r="S207" i="30"/>
  <c r="R207" i="30"/>
  <c r="Q207" i="30"/>
  <c r="P207" i="30"/>
  <c r="AC47" i="48"/>
  <c r="AD47" i="48"/>
  <c r="AE47" i="48"/>
  <c r="AF47" i="48"/>
  <c r="AG47" i="48"/>
  <c r="AH47" i="48"/>
  <c r="U206" i="30"/>
  <c r="T206" i="30"/>
  <c r="S206" i="30"/>
  <c r="R206" i="30"/>
  <c r="Q206" i="30"/>
  <c r="P206" i="30"/>
  <c r="AC46" i="48"/>
  <c r="AD46" i="48"/>
  <c r="AE46" i="48"/>
  <c r="AF46" i="48"/>
  <c r="AG46" i="48"/>
  <c r="AH46" i="48"/>
  <c r="U205" i="30"/>
  <c r="T205" i="30"/>
  <c r="S205" i="30"/>
  <c r="R205" i="30"/>
  <c r="Q205" i="30"/>
  <c r="P205" i="30"/>
  <c r="U204" i="30"/>
  <c r="T204" i="30"/>
  <c r="S204" i="30"/>
  <c r="R204" i="30"/>
  <c r="Q204" i="30"/>
  <c r="P204" i="30"/>
  <c r="U203" i="30"/>
  <c r="T203" i="30"/>
  <c r="S203" i="30"/>
  <c r="R203" i="30"/>
  <c r="Q203" i="30"/>
  <c r="P203" i="30"/>
  <c r="U202" i="30"/>
  <c r="T202" i="30"/>
  <c r="S202" i="30"/>
  <c r="R202" i="30"/>
  <c r="Q202" i="30"/>
  <c r="P202" i="30"/>
  <c r="U201" i="30"/>
  <c r="T201" i="30"/>
  <c r="S201" i="30"/>
  <c r="R201" i="30"/>
  <c r="Q201" i="30"/>
  <c r="P201" i="30"/>
  <c r="U200" i="30"/>
  <c r="T200" i="30"/>
  <c r="S200" i="30"/>
  <c r="R200" i="30"/>
  <c r="Q200" i="30"/>
  <c r="P200" i="30"/>
  <c r="U199" i="30"/>
  <c r="T199" i="30"/>
  <c r="S199" i="30"/>
  <c r="R199" i="30"/>
  <c r="Q199" i="30"/>
  <c r="P199" i="30"/>
  <c r="U198" i="30"/>
  <c r="T198" i="30"/>
  <c r="S198" i="30"/>
  <c r="R198" i="30"/>
  <c r="Q198" i="30"/>
  <c r="P198" i="30"/>
  <c r="U197" i="30"/>
  <c r="T197" i="30"/>
  <c r="S197" i="30"/>
  <c r="R197" i="30"/>
  <c r="Q197" i="30"/>
  <c r="P197" i="30"/>
  <c r="U196" i="30"/>
  <c r="T196" i="30"/>
  <c r="S196" i="30"/>
  <c r="R196" i="30"/>
  <c r="Q196" i="30"/>
  <c r="P196" i="30"/>
  <c r="U195" i="30"/>
  <c r="T195" i="30"/>
  <c r="S195" i="30"/>
  <c r="R195" i="30"/>
  <c r="Q195" i="30"/>
  <c r="P195" i="30"/>
  <c r="U194" i="30"/>
  <c r="T194" i="30"/>
  <c r="S194" i="30"/>
  <c r="R194" i="30"/>
  <c r="Q194" i="30"/>
  <c r="P194" i="30"/>
  <c r="U193" i="30"/>
  <c r="T193" i="30"/>
  <c r="S193" i="30"/>
  <c r="R193" i="30"/>
  <c r="Q193" i="30"/>
  <c r="P193" i="30"/>
  <c r="U192" i="30"/>
  <c r="T192" i="30"/>
  <c r="S192" i="30"/>
  <c r="R192" i="30"/>
  <c r="Q192" i="30"/>
  <c r="P192" i="30"/>
  <c r="U191" i="30"/>
  <c r="T191" i="30"/>
  <c r="S191" i="30"/>
  <c r="R191" i="30"/>
  <c r="Q191" i="30"/>
  <c r="P191" i="30"/>
  <c r="U190" i="30"/>
  <c r="T190" i="30"/>
  <c r="S190" i="30"/>
  <c r="R190" i="30"/>
  <c r="Q190" i="30"/>
  <c r="P190" i="30"/>
  <c r="U189" i="30"/>
  <c r="T189" i="30"/>
  <c r="S189" i="30"/>
  <c r="R189" i="30"/>
  <c r="Q189" i="30"/>
  <c r="P189" i="30"/>
  <c r="U188" i="30"/>
  <c r="T188" i="30"/>
  <c r="S188" i="30"/>
  <c r="R188" i="30"/>
  <c r="Q188" i="30"/>
  <c r="P188" i="30"/>
  <c r="U187" i="30"/>
  <c r="T187" i="30"/>
  <c r="S187" i="30"/>
  <c r="R187" i="30"/>
  <c r="Q187" i="30"/>
  <c r="P187" i="30"/>
  <c r="U186" i="30"/>
  <c r="T186" i="30"/>
  <c r="S186" i="30"/>
  <c r="R186" i="30"/>
  <c r="Q186" i="30"/>
  <c r="P186" i="30"/>
  <c r="U185" i="30"/>
  <c r="T185" i="30"/>
  <c r="S185" i="30"/>
  <c r="R185" i="30"/>
  <c r="Q185" i="30"/>
  <c r="P185" i="30"/>
  <c r="U184" i="30"/>
  <c r="T184" i="30"/>
  <c r="S184" i="30"/>
  <c r="R184" i="30"/>
  <c r="Q184" i="30"/>
  <c r="P184" i="30"/>
  <c r="U183" i="30"/>
  <c r="T183" i="30"/>
  <c r="S183" i="30"/>
  <c r="R183" i="30"/>
  <c r="Q183" i="30"/>
  <c r="P183" i="30"/>
  <c r="U182" i="30"/>
  <c r="T182" i="30"/>
  <c r="S182" i="30"/>
  <c r="R182" i="30"/>
  <c r="Q182" i="30"/>
  <c r="P182" i="30"/>
  <c r="U181" i="30"/>
  <c r="T181" i="30"/>
  <c r="S181" i="30"/>
  <c r="R181" i="30"/>
  <c r="Q181" i="30"/>
  <c r="P181" i="30"/>
  <c r="U180" i="30"/>
  <c r="T180" i="30"/>
  <c r="S180" i="30"/>
  <c r="R180" i="30"/>
  <c r="Q180" i="30"/>
  <c r="P180" i="30"/>
  <c r="U179" i="30"/>
  <c r="T179" i="30"/>
  <c r="S179" i="30"/>
  <c r="R179" i="30"/>
  <c r="Q179" i="30"/>
  <c r="P179" i="30"/>
  <c r="U178" i="30"/>
  <c r="T178" i="30"/>
  <c r="S178" i="30"/>
  <c r="R178" i="30"/>
  <c r="Q178" i="30"/>
  <c r="P178" i="30"/>
  <c r="U177" i="30"/>
  <c r="T177" i="30"/>
  <c r="S177" i="30"/>
  <c r="R177" i="30"/>
  <c r="Q177" i="30"/>
  <c r="P177" i="30"/>
  <c r="U176" i="30"/>
  <c r="T176" i="30"/>
  <c r="S176" i="30"/>
  <c r="R176" i="30"/>
  <c r="Q176" i="30"/>
  <c r="P176" i="30"/>
  <c r="U175" i="30"/>
  <c r="T175" i="30"/>
  <c r="S175" i="30"/>
  <c r="R175" i="30"/>
  <c r="Q175" i="30"/>
  <c r="P175" i="30"/>
  <c r="U174" i="30"/>
  <c r="T174" i="30"/>
  <c r="S174" i="30"/>
  <c r="R174" i="30"/>
  <c r="Q174" i="30"/>
  <c r="P174" i="30"/>
  <c r="U173" i="30"/>
  <c r="T173" i="30"/>
  <c r="S173" i="30"/>
  <c r="R173" i="30"/>
  <c r="Q173" i="30"/>
  <c r="P173" i="30"/>
  <c r="U172" i="30"/>
  <c r="T172" i="30"/>
  <c r="S172" i="30"/>
  <c r="R172" i="30"/>
  <c r="Q172" i="30"/>
  <c r="P172" i="30"/>
  <c r="U171" i="30"/>
  <c r="T171" i="30"/>
  <c r="S171" i="30"/>
  <c r="R171" i="30"/>
  <c r="Q171" i="30"/>
  <c r="P171" i="30"/>
  <c r="U170" i="30"/>
  <c r="T170" i="30"/>
  <c r="S170" i="30"/>
  <c r="R170" i="30"/>
  <c r="Q170" i="30"/>
  <c r="P170" i="30"/>
  <c r="U169" i="30"/>
  <c r="T169" i="30"/>
  <c r="S169" i="30"/>
  <c r="R169" i="30"/>
  <c r="Q169" i="30"/>
  <c r="P169" i="30"/>
  <c r="U168" i="30"/>
  <c r="T168" i="30"/>
  <c r="S168" i="30"/>
  <c r="R168" i="30"/>
  <c r="Q168" i="30"/>
  <c r="P168" i="30"/>
  <c r="U167" i="30"/>
  <c r="T167" i="30"/>
  <c r="S167" i="30"/>
  <c r="R167" i="30"/>
  <c r="Q167" i="30"/>
  <c r="P167" i="30"/>
  <c r="U166" i="30"/>
  <c r="T166" i="30"/>
  <c r="S166" i="30"/>
  <c r="R166" i="30"/>
  <c r="Q166" i="30"/>
  <c r="P166" i="30"/>
  <c r="U165" i="30"/>
  <c r="T165" i="30"/>
  <c r="S165" i="30"/>
  <c r="R165" i="30"/>
  <c r="Q165" i="30"/>
  <c r="P165" i="30"/>
  <c r="U164" i="30"/>
  <c r="T164" i="30"/>
  <c r="S164" i="30"/>
  <c r="R164" i="30"/>
  <c r="Q164" i="30"/>
  <c r="P164" i="30"/>
  <c r="U163" i="30"/>
  <c r="T163" i="30"/>
  <c r="S163" i="30"/>
  <c r="R163" i="30"/>
  <c r="Q163" i="30"/>
  <c r="P163" i="30"/>
  <c r="U162" i="30"/>
  <c r="T162" i="30"/>
  <c r="S162" i="30"/>
  <c r="R162" i="30"/>
  <c r="Q162" i="30"/>
  <c r="P162" i="30"/>
  <c r="U161" i="30"/>
  <c r="T161" i="30"/>
  <c r="S161" i="30"/>
  <c r="R161" i="30"/>
  <c r="Q161" i="30"/>
  <c r="P161" i="30"/>
  <c r="U160" i="30"/>
  <c r="T160" i="30"/>
  <c r="S160" i="30"/>
  <c r="R160" i="30"/>
  <c r="Q160" i="30"/>
  <c r="P160" i="30"/>
  <c r="U159" i="30"/>
  <c r="T159" i="30"/>
  <c r="S159" i="30"/>
  <c r="R159" i="30"/>
  <c r="Q159" i="30"/>
  <c r="P159" i="30"/>
  <c r="U158" i="30"/>
  <c r="T158" i="30"/>
  <c r="S158" i="30"/>
  <c r="R158" i="30"/>
  <c r="Q158" i="30"/>
  <c r="P158" i="30"/>
  <c r="U157" i="30"/>
  <c r="T157" i="30"/>
  <c r="S157" i="30"/>
  <c r="R157" i="30"/>
  <c r="Q157" i="30"/>
  <c r="P157" i="30"/>
  <c r="U156" i="30"/>
  <c r="T156" i="30"/>
  <c r="S156" i="30"/>
  <c r="R156" i="30"/>
  <c r="Q156" i="30"/>
  <c r="P156" i="30"/>
  <c r="U155" i="30"/>
  <c r="T155" i="30"/>
  <c r="S155" i="30"/>
  <c r="R155" i="30"/>
  <c r="Q155" i="30"/>
  <c r="P155" i="30"/>
  <c r="U154" i="30"/>
  <c r="T154" i="30"/>
  <c r="S154" i="30"/>
  <c r="R154" i="30"/>
  <c r="Q154" i="30"/>
  <c r="P154" i="30"/>
  <c r="U153" i="30"/>
  <c r="T153" i="30"/>
  <c r="S153" i="30"/>
  <c r="R153" i="30"/>
  <c r="Q153" i="30"/>
  <c r="P153" i="30"/>
  <c r="U152" i="30"/>
  <c r="T152" i="30"/>
  <c r="S152" i="30"/>
  <c r="R152" i="30"/>
  <c r="Q152" i="30"/>
  <c r="P152" i="30"/>
  <c r="U151" i="30"/>
  <c r="T151" i="30"/>
  <c r="S151" i="30"/>
  <c r="R151" i="30"/>
  <c r="Q151" i="30"/>
  <c r="P151" i="30"/>
  <c r="U150" i="30"/>
  <c r="T150" i="30"/>
  <c r="S150" i="30"/>
  <c r="R150" i="30"/>
  <c r="Q150" i="30"/>
  <c r="P150" i="30"/>
  <c r="U149" i="30"/>
  <c r="T149" i="30"/>
  <c r="S149" i="30"/>
  <c r="R149" i="30"/>
  <c r="Q149" i="30"/>
  <c r="P149" i="30"/>
  <c r="U148" i="30"/>
  <c r="T148" i="30"/>
  <c r="S148" i="30"/>
  <c r="R148" i="30"/>
  <c r="Q148" i="30"/>
  <c r="P148" i="30"/>
  <c r="U147" i="30"/>
  <c r="T147" i="30"/>
  <c r="S147" i="30"/>
  <c r="R147" i="30"/>
  <c r="Q147" i="30"/>
  <c r="P147" i="30"/>
  <c r="U146" i="30"/>
  <c r="T146" i="30"/>
  <c r="S146" i="30"/>
  <c r="R146" i="30"/>
  <c r="Q146" i="30"/>
  <c r="P146" i="30"/>
  <c r="U145" i="30"/>
  <c r="T145" i="30"/>
  <c r="S145" i="30"/>
  <c r="R145" i="30"/>
  <c r="Q145" i="30"/>
  <c r="P145" i="30"/>
  <c r="U144" i="30"/>
  <c r="T144" i="30"/>
  <c r="S144" i="30"/>
  <c r="R144" i="30"/>
  <c r="Q144" i="30"/>
  <c r="P144" i="30"/>
  <c r="U143" i="30"/>
  <c r="T143" i="30"/>
  <c r="S143" i="30"/>
  <c r="R143" i="30"/>
  <c r="Q143" i="30"/>
  <c r="P143" i="30"/>
  <c r="U142" i="30"/>
  <c r="T142" i="30"/>
  <c r="S142" i="30"/>
  <c r="R142" i="30"/>
  <c r="Q142" i="30"/>
  <c r="P142" i="30"/>
  <c r="U141" i="30"/>
  <c r="T141" i="30"/>
  <c r="S141" i="30"/>
  <c r="R141" i="30"/>
  <c r="Q141" i="30"/>
  <c r="P141" i="30"/>
  <c r="U140" i="30"/>
  <c r="T140" i="30"/>
  <c r="S140" i="30"/>
  <c r="R140" i="30"/>
  <c r="Q140" i="30"/>
  <c r="P140" i="30"/>
  <c r="U139" i="30"/>
  <c r="T139" i="30"/>
  <c r="S139" i="30"/>
  <c r="R139" i="30"/>
  <c r="Q139" i="30"/>
  <c r="P139" i="30"/>
  <c r="U138" i="30"/>
  <c r="T138" i="30"/>
  <c r="S138" i="30"/>
  <c r="R138" i="30"/>
  <c r="Q138" i="30"/>
  <c r="P138" i="30"/>
  <c r="U137" i="30"/>
  <c r="T137" i="30"/>
  <c r="S137" i="30"/>
  <c r="R137" i="30"/>
  <c r="Q137" i="30"/>
  <c r="P137" i="30"/>
  <c r="U136" i="30"/>
  <c r="T136" i="30"/>
  <c r="S136" i="30"/>
  <c r="R136" i="30"/>
  <c r="Q136" i="30"/>
  <c r="P136" i="30"/>
  <c r="U135" i="30"/>
  <c r="T135" i="30"/>
  <c r="S135" i="30"/>
  <c r="R135" i="30"/>
  <c r="Q135" i="30"/>
  <c r="P135" i="30"/>
  <c r="U134" i="30"/>
  <c r="T134" i="30"/>
  <c r="S134" i="30"/>
  <c r="R134" i="30"/>
  <c r="Q134" i="30"/>
  <c r="P134" i="30"/>
  <c r="U133" i="30"/>
  <c r="T133" i="30"/>
  <c r="S133" i="30"/>
  <c r="R133" i="30"/>
  <c r="Q133" i="30"/>
  <c r="P133" i="30"/>
  <c r="U132" i="30"/>
  <c r="T132" i="30"/>
  <c r="S132" i="30"/>
  <c r="R132" i="30"/>
  <c r="Q132" i="30"/>
  <c r="P132" i="30"/>
  <c r="U131" i="30"/>
  <c r="T131" i="30"/>
  <c r="S131" i="30"/>
  <c r="R131" i="30"/>
  <c r="Q131" i="30"/>
  <c r="P131" i="30"/>
  <c r="U130" i="30"/>
  <c r="T130" i="30"/>
  <c r="S130" i="30"/>
  <c r="R130" i="30"/>
  <c r="Q130" i="30"/>
  <c r="P130" i="30"/>
  <c r="U129" i="30"/>
  <c r="T129" i="30"/>
  <c r="S129" i="30"/>
  <c r="R129" i="30"/>
  <c r="Q129" i="30"/>
  <c r="P129" i="30"/>
  <c r="U128" i="30"/>
  <c r="T128" i="30"/>
  <c r="S128" i="30"/>
  <c r="R128" i="30"/>
  <c r="Q128" i="30"/>
  <c r="P128" i="30"/>
  <c r="U127" i="30"/>
  <c r="T127" i="30"/>
  <c r="S127" i="30"/>
  <c r="R127" i="30"/>
  <c r="Q127" i="30"/>
  <c r="P127" i="30"/>
  <c r="U126" i="30"/>
  <c r="T126" i="30"/>
  <c r="S126" i="30"/>
  <c r="R126" i="30"/>
  <c r="Q126" i="30"/>
  <c r="P126" i="30"/>
  <c r="U125" i="30"/>
  <c r="T125" i="30"/>
  <c r="S125" i="30"/>
  <c r="R125" i="30"/>
  <c r="Q125" i="30"/>
  <c r="P125" i="30"/>
  <c r="U124" i="30"/>
  <c r="T124" i="30"/>
  <c r="S124" i="30"/>
  <c r="R124" i="30"/>
  <c r="Q124" i="30"/>
  <c r="P124" i="30"/>
  <c r="U123" i="30"/>
  <c r="T123" i="30"/>
  <c r="S123" i="30"/>
  <c r="R123" i="30"/>
  <c r="Q123" i="30"/>
  <c r="P123" i="30"/>
  <c r="U122" i="30"/>
  <c r="T122" i="30"/>
  <c r="S122" i="30"/>
  <c r="R122" i="30"/>
  <c r="Q122" i="30"/>
  <c r="P122" i="30"/>
  <c r="U121" i="30"/>
  <c r="T121" i="30"/>
  <c r="S121" i="30"/>
  <c r="R121" i="30"/>
  <c r="Q121" i="30"/>
  <c r="P121" i="30"/>
  <c r="U120" i="30"/>
  <c r="T120" i="30"/>
  <c r="S120" i="30"/>
  <c r="R120" i="30"/>
  <c r="Q120" i="30"/>
  <c r="P120" i="30"/>
  <c r="U119" i="30"/>
  <c r="T119" i="30"/>
  <c r="S119" i="30"/>
  <c r="R119" i="30"/>
  <c r="Q119" i="30"/>
  <c r="P119" i="30"/>
  <c r="U118" i="30"/>
  <c r="T118" i="30"/>
  <c r="S118" i="30"/>
  <c r="R118" i="30"/>
  <c r="Q118" i="30"/>
  <c r="P118" i="30"/>
  <c r="U117" i="30"/>
  <c r="T117" i="30"/>
  <c r="S117" i="30"/>
  <c r="R117" i="30"/>
  <c r="Q117" i="30"/>
  <c r="P117" i="30"/>
  <c r="U116" i="30"/>
  <c r="T116" i="30"/>
  <c r="S116" i="30"/>
  <c r="R116" i="30"/>
  <c r="Q116" i="30"/>
  <c r="P116" i="30"/>
  <c r="U115" i="30"/>
  <c r="T115" i="30"/>
  <c r="S115" i="30"/>
  <c r="R115" i="30"/>
  <c r="Q115" i="30"/>
  <c r="P115" i="30"/>
  <c r="U114" i="30"/>
  <c r="T114" i="30"/>
  <c r="S114" i="30"/>
  <c r="R114" i="30"/>
  <c r="Q114" i="30"/>
  <c r="P114" i="30"/>
  <c r="U113" i="30"/>
  <c r="T113" i="30"/>
  <c r="S113" i="30"/>
  <c r="R113" i="30"/>
  <c r="Q113" i="30"/>
  <c r="P113" i="30"/>
  <c r="U112" i="30"/>
  <c r="T112" i="30"/>
  <c r="S112" i="30"/>
  <c r="R112" i="30"/>
  <c r="Q112" i="30"/>
  <c r="P112" i="30"/>
  <c r="U111" i="30"/>
  <c r="T111" i="30"/>
  <c r="S111" i="30"/>
  <c r="R111" i="30"/>
  <c r="Q111" i="30"/>
  <c r="P111" i="30"/>
  <c r="U110" i="30"/>
  <c r="T110" i="30"/>
  <c r="S110" i="30"/>
  <c r="R110" i="30"/>
  <c r="Q110" i="30"/>
  <c r="P110" i="30"/>
  <c r="U109" i="30"/>
  <c r="T109" i="30"/>
  <c r="S109" i="30"/>
  <c r="R109" i="30"/>
  <c r="Q109" i="30"/>
  <c r="P109" i="30"/>
  <c r="U108" i="30"/>
  <c r="T108" i="30"/>
  <c r="S108" i="30"/>
  <c r="R108" i="30"/>
  <c r="Q108" i="30"/>
  <c r="P108" i="30"/>
  <c r="U107" i="30"/>
  <c r="T107" i="30"/>
  <c r="S107" i="30"/>
  <c r="R107" i="30"/>
  <c r="Q107" i="30"/>
  <c r="P107" i="30"/>
  <c r="U106" i="30"/>
  <c r="T106" i="30"/>
  <c r="S106" i="30"/>
  <c r="R106" i="30"/>
  <c r="Q106" i="30"/>
  <c r="P106" i="30"/>
  <c r="U105" i="30"/>
  <c r="T105" i="30"/>
  <c r="S105" i="30"/>
  <c r="R105" i="30"/>
  <c r="Q105" i="30"/>
  <c r="P105" i="30"/>
  <c r="U104" i="30"/>
  <c r="T104" i="30"/>
  <c r="S104" i="30"/>
  <c r="R104" i="30"/>
  <c r="Q104" i="30"/>
  <c r="P104" i="30"/>
  <c r="U103" i="30"/>
  <c r="T103" i="30"/>
  <c r="S103" i="30"/>
  <c r="R103" i="30"/>
  <c r="Q103" i="30"/>
  <c r="P103" i="30"/>
  <c r="U102" i="30"/>
  <c r="T102" i="30"/>
  <c r="S102" i="30"/>
  <c r="R102" i="30"/>
  <c r="Q102" i="30"/>
  <c r="P102" i="30"/>
  <c r="U101" i="30"/>
  <c r="T101" i="30"/>
  <c r="S101" i="30"/>
  <c r="R101" i="30"/>
  <c r="Q101" i="30"/>
  <c r="P101" i="30"/>
  <c r="U100" i="30"/>
  <c r="T100" i="30"/>
  <c r="S100" i="30"/>
  <c r="R100" i="30"/>
  <c r="Q100" i="30"/>
  <c r="P100" i="30"/>
  <c r="U99" i="30"/>
  <c r="T99" i="30"/>
  <c r="S99" i="30"/>
  <c r="R99" i="30"/>
  <c r="Q99" i="30"/>
  <c r="P99" i="30"/>
  <c r="U98" i="30"/>
  <c r="T98" i="30"/>
  <c r="S98" i="30"/>
  <c r="R98" i="30"/>
  <c r="Q98" i="30"/>
  <c r="P98" i="30"/>
  <c r="U97" i="30"/>
  <c r="T97" i="30"/>
  <c r="S97" i="30"/>
  <c r="R97" i="30"/>
  <c r="Q97" i="30"/>
  <c r="P97" i="30"/>
  <c r="U96" i="30"/>
  <c r="T96" i="30"/>
  <c r="S96" i="30"/>
  <c r="R96" i="30"/>
  <c r="Q96" i="30"/>
  <c r="P96" i="30"/>
  <c r="U95" i="30"/>
  <c r="T95" i="30"/>
  <c r="S95" i="30"/>
  <c r="R95" i="30"/>
  <c r="Q95" i="30"/>
  <c r="P95" i="30"/>
  <c r="U94" i="30"/>
  <c r="T94" i="30"/>
  <c r="S94" i="30"/>
  <c r="R94" i="30"/>
  <c r="Q94" i="30"/>
  <c r="P94" i="30"/>
  <c r="U93" i="30"/>
  <c r="T93" i="30"/>
  <c r="S93" i="30"/>
  <c r="R93" i="30"/>
  <c r="Q93" i="30"/>
  <c r="P93" i="30"/>
  <c r="U92" i="30"/>
  <c r="T92" i="30"/>
  <c r="S92" i="30"/>
  <c r="R92" i="30"/>
  <c r="Q92" i="30"/>
  <c r="P92" i="30"/>
  <c r="U91" i="30"/>
  <c r="T91" i="30"/>
  <c r="S91" i="30"/>
  <c r="R91" i="30"/>
  <c r="Q91" i="30"/>
  <c r="P91" i="30"/>
  <c r="U90" i="30"/>
  <c r="T90" i="30"/>
  <c r="S90" i="30"/>
  <c r="R90" i="30"/>
  <c r="Q90" i="30"/>
  <c r="P90" i="30"/>
  <c r="U89" i="30"/>
  <c r="T89" i="30"/>
  <c r="S89" i="30"/>
  <c r="R89" i="30"/>
  <c r="Q89" i="30"/>
  <c r="P89" i="30"/>
  <c r="U88" i="30"/>
  <c r="T88" i="30"/>
  <c r="S88" i="30"/>
  <c r="R88" i="30"/>
  <c r="Q88" i="30"/>
  <c r="P88" i="30"/>
  <c r="U87" i="30"/>
  <c r="T87" i="30"/>
  <c r="S87" i="30"/>
  <c r="R87" i="30"/>
  <c r="Q87" i="30"/>
  <c r="P87" i="30"/>
  <c r="U86" i="30"/>
  <c r="T86" i="30"/>
  <c r="S86" i="30"/>
  <c r="R86" i="30"/>
  <c r="Q86" i="30"/>
  <c r="P86" i="30"/>
  <c r="U85" i="30"/>
  <c r="T85" i="30"/>
  <c r="S85" i="30"/>
  <c r="R85" i="30"/>
  <c r="Q85" i="30"/>
  <c r="P85" i="30"/>
  <c r="U84" i="30"/>
  <c r="T84" i="30"/>
  <c r="S84" i="30"/>
  <c r="R84" i="30"/>
  <c r="Q84" i="30"/>
  <c r="P84" i="30"/>
  <c r="U83" i="30"/>
  <c r="T83" i="30"/>
  <c r="S83" i="30"/>
  <c r="R83" i="30"/>
  <c r="Q83" i="30"/>
  <c r="P83" i="30"/>
  <c r="U82" i="30"/>
  <c r="T82" i="30"/>
  <c r="S82" i="30"/>
  <c r="R82" i="30"/>
  <c r="Q82" i="30"/>
  <c r="P82" i="30"/>
  <c r="U81" i="30"/>
  <c r="T81" i="30"/>
  <c r="S81" i="30"/>
  <c r="R81" i="30"/>
  <c r="Q81" i="30"/>
  <c r="P81" i="30"/>
  <c r="U80" i="30"/>
  <c r="T80" i="30"/>
  <c r="S80" i="30"/>
  <c r="R80" i="30"/>
  <c r="Q80" i="30"/>
  <c r="P80" i="30"/>
  <c r="U79" i="30"/>
  <c r="T79" i="30"/>
  <c r="S79" i="30"/>
  <c r="R79" i="30"/>
  <c r="Q79" i="30"/>
  <c r="P79" i="30"/>
  <c r="U78" i="30"/>
  <c r="T78" i="30"/>
  <c r="S78" i="30"/>
  <c r="R78" i="30"/>
  <c r="Q78" i="30"/>
  <c r="P78" i="30"/>
  <c r="U77" i="30"/>
  <c r="T77" i="30"/>
  <c r="S77" i="30"/>
  <c r="R77" i="30"/>
  <c r="Q77" i="30"/>
  <c r="P77" i="30"/>
  <c r="U76" i="30"/>
  <c r="T76" i="30"/>
  <c r="S76" i="30"/>
  <c r="R76" i="30"/>
  <c r="Q76" i="30"/>
  <c r="P76" i="30"/>
  <c r="U75" i="30"/>
  <c r="T75" i="30"/>
  <c r="S75" i="30"/>
  <c r="R75" i="30"/>
  <c r="Q75" i="30"/>
  <c r="P75" i="30"/>
  <c r="U74" i="30"/>
  <c r="T74" i="30"/>
  <c r="S74" i="30"/>
  <c r="R74" i="30"/>
  <c r="Q74" i="30"/>
  <c r="P74" i="30"/>
  <c r="U73" i="30"/>
  <c r="T73" i="30"/>
  <c r="S73" i="30"/>
  <c r="R73" i="30"/>
  <c r="Q73" i="30"/>
  <c r="P73" i="30"/>
  <c r="U72" i="30"/>
  <c r="T72" i="30"/>
  <c r="S72" i="30"/>
  <c r="R72" i="30"/>
  <c r="Q72" i="30"/>
  <c r="P72" i="30"/>
  <c r="U71" i="30"/>
  <c r="T71" i="30"/>
  <c r="S71" i="30"/>
  <c r="R71" i="30"/>
  <c r="Q71" i="30"/>
  <c r="P71" i="30"/>
  <c r="U70" i="30"/>
  <c r="T70" i="30"/>
  <c r="S70" i="30"/>
  <c r="R70" i="30"/>
  <c r="Q70" i="30"/>
  <c r="P70" i="30"/>
  <c r="U69" i="30"/>
  <c r="T69" i="30"/>
  <c r="S69" i="30"/>
  <c r="R69" i="30"/>
  <c r="Q69" i="30"/>
  <c r="P69" i="30"/>
  <c r="U68" i="30"/>
  <c r="T68" i="30"/>
  <c r="S68" i="30"/>
  <c r="R68" i="30"/>
  <c r="Q68" i="30"/>
  <c r="P68" i="30"/>
  <c r="U67" i="30"/>
  <c r="T67" i="30"/>
  <c r="S67" i="30"/>
  <c r="R67" i="30"/>
  <c r="Q67" i="30"/>
  <c r="P67" i="30"/>
  <c r="U66" i="30"/>
  <c r="T66" i="30"/>
  <c r="S66" i="30"/>
  <c r="R66" i="30"/>
  <c r="Q66" i="30"/>
  <c r="P66" i="30"/>
  <c r="U65" i="30"/>
  <c r="T65" i="30"/>
  <c r="S65" i="30"/>
  <c r="R65" i="30"/>
  <c r="Q65" i="30"/>
  <c r="P65" i="30"/>
  <c r="U64" i="30"/>
  <c r="T64" i="30"/>
  <c r="S64" i="30"/>
  <c r="R64" i="30"/>
  <c r="Q64" i="30"/>
  <c r="P64" i="30"/>
  <c r="U63" i="30"/>
  <c r="T63" i="30"/>
  <c r="S63" i="30"/>
  <c r="R63" i="30"/>
  <c r="Q63" i="30"/>
  <c r="P63" i="30"/>
  <c r="U62" i="30"/>
  <c r="T62" i="30"/>
  <c r="S62" i="30"/>
  <c r="R62" i="30"/>
  <c r="Q62" i="30"/>
  <c r="P62" i="30"/>
  <c r="U61" i="30"/>
  <c r="T61" i="30"/>
  <c r="S61" i="30"/>
  <c r="R61" i="30"/>
  <c r="Q61" i="30"/>
  <c r="P61" i="30"/>
  <c r="U60" i="30"/>
  <c r="T60" i="30"/>
  <c r="S60" i="30"/>
  <c r="R60" i="30"/>
  <c r="Q60" i="30"/>
  <c r="P60" i="30"/>
  <c r="U59" i="30"/>
  <c r="T59" i="30"/>
  <c r="S59" i="30"/>
  <c r="R59" i="30"/>
  <c r="Q59" i="30"/>
  <c r="P59" i="30"/>
  <c r="U58" i="30"/>
  <c r="T58" i="30"/>
  <c r="S58" i="30"/>
  <c r="R58" i="30"/>
  <c r="Q58" i="30"/>
  <c r="P58" i="30"/>
  <c r="U57" i="30"/>
  <c r="T57" i="30"/>
  <c r="S57" i="30"/>
  <c r="R57" i="30"/>
  <c r="Q57" i="30"/>
  <c r="P57" i="30"/>
  <c r="U56" i="30"/>
  <c r="T56" i="30"/>
  <c r="S56" i="30"/>
  <c r="R56" i="30"/>
  <c r="Q56" i="30"/>
  <c r="P56" i="30"/>
  <c r="U55" i="30"/>
  <c r="T55" i="30"/>
  <c r="S55" i="30"/>
  <c r="R55" i="30"/>
  <c r="Q55" i="30"/>
  <c r="P55" i="30"/>
  <c r="U54" i="30"/>
  <c r="T54" i="30"/>
  <c r="S54" i="30"/>
  <c r="R54" i="30"/>
  <c r="Q54" i="30"/>
  <c r="P54" i="30"/>
  <c r="U53" i="30"/>
  <c r="T53" i="30"/>
  <c r="S53" i="30"/>
  <c r="R53" i="30"/>
  <c r="Q53" i="30"/>
  <c r="P53" i="30"/>
  <c r="U52" i="30"/>
  <c r="T52" i="30"/>
  <c r="S52" i="30"/>
  <c r="R52" i="30"/>
  <c r="Q52" i="30"/>
  <c r="P52" i="30"/>
  <c r="U51" i="30"/>
  <c r="T51" i="30"/>
  <c r="S51" i="30"/>
  <c r="R51" i="30"/>
  <c r="Q51" i="30"/>
  <c r="P51" i="30"/>
  <c r="U50" i="30"/>
  <c r="T50" i="30"/>
  <c r="S50" i="30"/>
  <c r="R50" i="30"/>
  <c r="Q50" i="30"/>
  <c r="P50" i="30"/>
  <c r="U49" i="30"/>
  <c r="T49" i="30"/>
  <c r="S49" i="30"/>
  <c r="R49" i="30"/>
  <c r="Q49" i="30"/>
  <c r="P49" i="30"/>
  <c r="U48" i="30"/>
  <c r="T48" i="30"/>
  <c r="S48" i="30"/>
  <c r="R48" i="30"/>
  <c r="Q48" i="30"/>
  <c r="P48" i="30"/>
  <c r="U47" i="30"/>
  <c r="T47" i="30"/>
  <c r="S47" i="30"/>
  <c r="R47" i="30"/>
  <c r="Q47" i="30"/>
  <c r="P47" i="30"/>
  <c r="U46" i="30"/>
  <c r="T46" i="30"/>
  <c r="S46" i="30"/>
  <c r="R46" i="30"/>
  <c r="Q46" i="30"/>
  <c r="P46" i="30"/>
  <c r="U45" i="30"/>
  <c r="T45" i="30"/>
  <c r="S45" i="30"/>
  <c r="R45" i="30"/>
  <c r="Q45" i="30"/>
  <c r="P45" i="30"/>
  <c r="U44" i="30"/>
  <c r="T44" i="30"/>
  <c r="S44" i="30"/>
  <c r="R44" i="30"/>
  <c r="Q44" i="30"/>
  <c r="P44" i="30"/>
  <c r="U43" i="30"/>
  <c r="T43" i="30"/>
  <c r="S43" i="30"/>
  <c r="R43" i="30"/>
  <c r="Q43" i="30"/>
  <c r="P43" i="30"/>
  <c r="U42" i="30"/>
  <c r="T42" i="30"/>
  <c r="S42" i="30"/>
  <c r="R42" i="30"/>
  <c r="Q42" i="30"/>
  <c r="P42" i="30"/>
  <c r="U41" i="30"/>
  <c r="T41" i="30"/>
  <c r="S41" i="30"/>
  <c r="R41" i="30"/>
  <c r="Q41" i="30"/>
  <c r="P41" i="30"/>
  <c r="U40" i="30"/>
  <c r="T40" i="30"/>
  <c r="S40" i="30"/>
  <c r="R40" i="30"/>
  <c r="Q40" i="30"/>
  <c r="P40" i="30"/>
  <c r="U39" i="30"/>
  <c r="T39" i="30"/>
  <c r="S39" i="30"/>
  <c r="R39" i="30"/>
  <c r="Q39" i="30"/>
  <c r="P39" i="30"/>
  <c r="U38" i="30"/>
  <c r="T38" i="30"/>
  <c r="S38" i="30"/>
  <c r="R38" i="30"/>
  <c r="Q38" i="30"/>
  <c r="P38" i="30"/>
  <c r="U37" i="30"/>
  <c r="T37" i="30"/>
  <c r="S37" i="30"/>
  <c r="R37" i="30"/>
  <c r="Q37" i="30"/>
  <c r="P37" i="30"/>
  <c r="U36" i="30"/>
  <c r="T36" i="30"/>
  <c r="S36" i="30"/>
  <c r="R36" i="30"/>
  <c r="Q36" i="30"/>
  <c r="P36" i="30"/>
  <c r="U35" i="30"/>
  <c r="T35" i="30"/>
  <c r="S35" i="30"/>
  <c r="R35" i="30"/>
  <c r="Q35" i="30"/>
  <c r="P35" i="30"/>
  <c r="U34" i="30"/>
  <c r="T34" i="30"/>
  <c r="S34" i="30"/>
  <c r="R34" i="30"/>
  <c r="Q34" i="30"/>
  <c r="P34" i="30"/>
  <c r="U33" i="30"/>
  <c r="T33" i="30"/>
  <c r="S33" i="30"/>
  <c r="R33" i="30"/>
  <c r="Q33" i="30"/>
  <c r="P33" i="30"/>
  <c r="U32" i="30"/>
  <c r="T32" i="30"/>
  <c r="S32" i="30"/>
  <c r="R32" i="30"/>
  <c r="Q32" i="30"/>
  <c r="P32" i="30"/>
  <c r="U31" i="30"/>
  <c r="T31" i="30"/>
  <c r="S31" i="30"/>
  <c r="R31" i="30"/>
  <c r="Q31" i="30"/>
  <c r="P31" i="30"/>
  <c r="U30" i="30"/>
  <c r="T30" i="30"/>
  <c r="S30" i="30"/>
  <c r="R30" i="30"/>
  <c r="Q30" i="30"/>
  <c r="P30" i="30"/>
  <c r="U29" i="30"/>
  <c r="T29" i="30"/>
  <c r="S29" i="30"/>
  <c r="R29" i="30"/>
  <c r="Q29" i="30"/>
  <c r="P29" i="30"/>
  <c r="U28" i="30"/>
  <c r="T28" i="30"/>
  <c r="S28" i="30"/>
  <c r="R28" i="30"/>
  <c r="Q28" i="30"/>
  <c r="P28" i="30"/>
  <c r="U27" i="30"/>
  <c r="T27" i="30"/>
  <c r="S27" i="30"/>
  <c r="R27" i="30"/>
  <c r="Q27" i="30"/>
  <c r="P27" i="30"/>
  <c r="U26" i="30"/>
  <c r="T26" i="30"/>
  <c r="S26" i="30"/>
  <c r="R26" i="30"/>
  <c r="Q26" i="30"/>
  <c r="P26" i="30"/>
  <c r="U25" i="30"/>
  <c r="T25" i="30"/>
  <c r="S25" i="30"/>
  <c r="R25" i="30"/>
  <c r="Q25" i="30"/>
  <c r="P25" i="30"/>
  <c r="U24" i="30"/>
  <c r="T24" i="30"/>
  <c r="S24" i="30"/>
  <c r="R24" i="30"/>
  <c r="Q24" i="30"/>
  <c r="P24" i="30"/>
  <c r="U23" i="30"/>
  <c r="T23" i="30"/>
  <c r="S23" i="30"/>
  <c r="R23" i="30"/>
  <c r="Q23" i="30"/>
  <c r="P23" i="30"/>
  <c r="U22" i="30"/>
  <c r="T22" i="30"/>
  <c r="S22" i="30"/>
  <c r="R22" i="30"/>
  <c r="Q22" i="30"/>
  <c r="P22" i="30"/>
  <c r="P9" i="30"/>
  <c r="Q9" i="30"/>
  <c r="R9" i="30"/>
  <c r="S9" i="30"/>
  <c r="T9" i="30"/>
  <c r="U9" i="30"/>
  <c r="P10" i="30"/>
  <c r="Q10" i="30"/>
  <c r="R10" i="30"/>
  <c r="S10" i="30"/>
  <c r="T10" i="30"/>
  <c r="U10" i="30"/>
  <c r="P11" i="30"/>
  <c r="Q11" i="30"/>
  <c r="R11" i="30"/>
  <c r="S11" i="30"/>
  <c r="T11" i="30"/>
  <c r="U11" i="30"/>
  <c r="P12" i="30"/>
  <c r="Q12" i="30"/>
  <c r="R12" i="30"/>
  <c r="S12" i="30"/>
  <c r="T12" i="30"/>
  <c r="U12" i="30"/>
  <c r="P13" i="30"/>
  <c r="Q13" i="30"/>
  <c r="R13" i="30"/>
  <c r="S13" i="30"/>
  <c r="T13" i="30"/>
  <c r="U13" i="30"/>
  <c r="P14" i="30"/>
  <c r="Q14" i="30"/>
  <c r="R14" i="30"/>
  <c r="S14" i="30"/>
  <c r="T14" i="30"/>
  <c r="U14" i="30"/>
  <c r="P15" i="30"/>
  <c r="Q15" i="30"/>
  <c r="R15" i="30"/>
  <c r="S15" i="30"/>
  <c r="T15" i="30"/>
  <c r="U15" i="30"/>
  <c r="P16" i="30"/>
  <c r="Q16" i="30"/>
  <c r="R16" i="30"/>
  <c r="S16" i="30"/>
  <c r="T16" i="30"/>
  <c r="U16" i="30"/>
  <c r="P17" i="30"/>
  <c r="Q17" i="30"/>
  <c r="R17" i="30"/>
  <c r="S17" i="30"/>
  <c r="T17" i="30"/>
  <c r="U17" i="30"/>
  <c r="P18" i="30"/>
  <c r="Q18" i="30"/>
  <c r="R18" i="30"/>
  <c r="S18" i="30"/>
  <c r="T18" i="30"/>
  <c r="U18" i="30"/>
  <c r="P19" i="30"/>
  <c r="Q19" i="30"/>
  <c r="R19" i="30"/>
  <c r="S19" i="30"/>
  <c r="T19" i="30"/>
  <c r="U19" i="30"/>
  <c r="P20" i="30"/>
  <c r="Q20" i="30"/>
  <c r="R20" i="30"/>
  <c r="S20" i="30"/>
  <c r="T20" i="30"/>
  <c r="U20" i="30"/>
  <c r="P21" i="30"/>
  <c r="Q21" i="30"/>
  <c r="R21" i="30"/>
  <c r="S21" i="30"/>
  <c r="T21" i="30"/>
  <c r="U21" i="30"/>
  <c r="AC41" i="48"/>
  <c r="AD41" i="48"/>
  <c r="AE41" i="48"/>
  <c r="AF41" i="48"/>
  <c r="AG41" i="48"/>
  <c r="AH41" i="48"/>
  <c r="R2" i="48"/>
  <c r="S2" i="48"/>
  <c r="T2" i="48"/>
  <c r="U2" i="48"/>
  <c r="R3" i="48"/>
  <c r="S3" i="48"/>
  <c r="T3" i="48"/>
  <c r="U3" i="48"/>
  <c r="Q3" i="48"/>
  <c r="Q2" i="48"/>
  <c r="F149" i="30"/>
  <c r="F150" i="30"/>
  <c r="F151" i="30"/>
  <c r="F152" i="30"/>
  <c r="F153" i="30"/>
  <c r="F154" i="30"/>
  <c r="F155" i="30"/>
  <c r="F156" i="30"/>
  <c r="F157" i="30"/>
  <c r="F158" i="30"/>
  <c r="F159" i="30"/>
  <c r="F160" i="30"/>
  <c r="F161" i="30"/>
  <c r="E132" i="30"/>
  <c r="E133" i="30"/>
  <c r="F132" i="30"/>
  <c r="F133" i="30"/>
  <c r="F121" i="30"/>
  <c r="F122" i="30"/>
  <c r="F123" i="30"/>
  <c r="F124" i="30"/>
  <c r="F125" i="30"/>
  <c r="F126" i="30"/>
  <c r="F127" i="30"/>
  <c r="F128" i="30"/>
  <c r="F129" i="30"/>
  <c r="F130" i="30"/>
  <c r="F131"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E50" i="30"/>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120" i="30"/>
  <c r="E121" i="30"/>
  <c r="E122" i="30"/>
  <c r="E123" i="30"/>
  <c r="E124" i="30"/>
  <c r="E125" i="30"/>
  <c r="E126" i="30"/>
  <c r="E127" i="30"/>
  <c r="E128" i="30"/>
  <c r="E129" i="30"/>
  <c r="E130" i="30"/>
  <c r="E149" i="30"/>
  <c r="E150" i="30"/>
  <c r="E151" i="30"/>
  <c r="E152" i="30"/>
  <c r="E153" i="30"/>
  <c r="E154" i="30"/>
  <c r="E155" i="30"/>
  <c r="E156" i="30"/>
  <c r="E157" i="30"/>
  <c r="E158" i="30"/>
  <c r="E159" i="30"/>
  <c r="E160" i="30"/>
  <c r="E161" i="30"/>
  <c r="F8" i="30"/>
  <c r="AC343" i="47"/>
  <c r="C343" i="47"/>
  <c r="C343" i="9"/>
  <c r="AC225" i="47"/>
  <c r="C225" i="47"/>
  <c r="C225" i="9"/>
  <c r="AC110" i="47"/>
  <c r="C110" i="47"/>
  <c r="C110" i="9"/>
  <c r="G96" i="45"/>
  <c r="BZ106" i="45"/>
  <c r="BY106" i="45"/>
  <c r="BX106" i="45"/>
  <c r="BW106" i="45"/>
  <c r="BV106" i="45"/>
  <c r="BU106" i="45"/>
  <c r="BT106" i="45"/>
  <c r="BS106" i="45"/>
  <c r="BR106" i="45"/>
  <c r="BQ106" i="45"/>
  <c r="BP106" i="45"/>
  <c r="BO106" i="45"/>
  <c r="BN106" i="45"/>
  <c r="BM106" i="45"/>
  <c r="AS105" i="45"/>
  <c r="AS104" i="45"/>
  <c r="AM102" i="45"/>
  <c r="AW102" i="45"/>
  <c r="C102" i="45"/>
  <c r="AM101" i="45"/>
  <c r="C101" i="45"/>
  <c r="AM100" i="45"/>
  <c r="AW100" i="45"/>
  <c r="C100" i="45"/>
  <c r="AM99" i="45"/>
  <c r="C99" i="45"/>
  <c r="AM98" i="45"/>
  <c r="AW98" i="45"/>
  <c r="C98" i="45"/>
  <c r="AM97" i="45"/>
  <c r="AW97" i="45"/>
  <c r="C97" i="45"/>
  <c r="ED94" i="45"/>
  <c r="EC94" i="45"/>
  <c r="EB94" i="45"/>
  <c r="EA94" i="45"/>
  <c r="DZ94" i="45"/>
  <c r="DY94" i="45"/>
  <c r="DX94" i="45"/>
  <c r="DW94" i="45"/>
  <c r="DV94" i="45"/>
  <c r="DU94" i="45"/>
  <c r="DT94" i="45"/>
  <c r="DS94" i="45"/>
  <c r="DR94" i="45"/>
  <c r="DQ94" i="45"/>
  <c r="DP94" i="45"/>
  <c r="DO94" i="45"/>
  <c r="DN94" i="45"/>
  <c r="DM94" i="45"/>
  <c r="DL94" i="45"/>
  <c r="DK94" i="45"/>
  <c r="DJ94" i="45"/>
  <c r="DI94" i="45"/>
  <c r="DH94" i="45"/>
  <c r="DG94" i="45"/>
  <c r="DF94" i="45"/>
  <c r="DE94" i="45"/>
  <c r="DD94" i="45"/>
  <c r="DC94" i="45"/>
  <c r="DB94" i="45"/>
  <c r="DA94" i="45"/>
  <c r="CZ94" i="45"/>
  <c r="CY94" i="45"/>
  <c r="CX94" i="45"/>
  <c r="CW94" i="45"/>
  <c r="CV94" i="45"/>
  <c r="CU94" i="45"/>
  <c r="CT94" i="45"/>
  <c r="CS94" i="45"/>
  <c r="CR94" i="45"/>
  <c r="CQ94" i="45"/>
  <c r="CP94" i="45"/>
  <c r="CO94" i="45"/>
  <c r="CN94" i="45"/>
  <c r="CM94" i="45"/>
  <c r="CL94" i="45"/>
  <c r="CK94" i="45"/>
  <c r="CJ94" i="45"/>
  <c r="CI94" i="45"/>
  <c r="CH94" i="45"/>
  <c r="CG94" i="45"/>
  <c r="CF94" i="45"/>
  <c r="CE94" i="45"/>
  <c r="CD94" i="45"/>
  <c r="CC94" i="45"/>
  <c r="CB94" i="45"/>
  <c r="CA94" i="45"/>
  <c r="BZ94" i="45"/>
  <c r="BY94" i="45"/>
  <c r="BX94" i="45"/>
  <c r="BW94" i="45"/>
  <c r="BV94" i="45"/>
  <c r="BU94" i="45"/>
  <c r="BT94" i="45"/>
  <c r="BS94" i="45"/>
  <c r="BR94" i="45"/>
  <c r="BQ94" i="45"/>
  <c r="BP94" i="45"/>
  <c r="BO94" i="45"/>
  <c r="BN94" i="45"/>
  <c r="BM94" i="45"/>
  <c r="BK94" i="45"/>
  <c r="BJ94" i="45"/>
  <c r="BI94" i="45"/>
  <c r="BH94" i="45"/>
  <c r="BG94" i="45"/>
  <c r="BF94" i="45"/>
  <c r="BE94" i="45"/>
  <c r="BD94" i="45"/>
  <c r="BC94" i="45"/>
  <c r="BB94" i="45"/>
  <c r="BA94" i="45"/>
  <c r="AZ94" i="45"/>
  <c r="AY94" i="45"/>
  <c r="AX94" i="45"/>
  <c r="AW99" i="45"/>
  <c r="AW101" i="45"/>
  <c r="C217" i="30"/>
  <c r="A217" i="30"/>
  <c r="C216" i="30"/>
  <c r="A216" i="30"/>
  <c r="A203" i="30"/>
  <c r="A202" i="30"/>
  <c r="A204" i="30"/>
  <c r="W204" i="30"/>
  <c r="Z204" i="30"/>
  <c r="X204" i="30"/>
  <c r="Y204" i="30"/>
  <c r="A205" i="30"/>
  <c r="A189" i="30"/>
  <c r="A188" i="30"/>
  <c r="A175" i="30"/>
  <c r="A174" i="30"/>
  <c r="A161" i="30"/>
  <c r="A160" i="30"/>
  <c r="A147" i="30"/>
  <c r="A146" i="30"/>
  <c r="A133" i="30"/>
  <c r="A132" i="30"/>
  <c r="A119" i="30"/>
  <c r="A118" i="30"/>
  <c r="A105" i="30"/>
  <c r="A104" i="30"/>
  <c r="A91" i="30"/>
  <c r="A90" i="30"/>
  <c r="A77" i="30"/>
  <c r="A76" i="30"/>
  <c r="A63" i="30"/>
  <c r="A62" i="30"/>
  <c r="A64" i="30"/>
  <c r="W64" i="30"/>
  <c r="Z64" i="30"/>
  <c r="X64" i="30"/>
  <c r="Y64" i="30"/>
  <c r="A65" i="30"/>
  <c r="A49" i="30"/>
  <c r="A48" i="30"/>
  <c r="A35" i="30"/>
  <c r="A34" i="30"/>
  <c r="A21" i="30"/>
  <c r="A20" i="30"/>
  <c r="BZ69" i="45"/>
  <c r="BY69" i="45"/>
  <c r="BX69" i="45"/>
  <c r="BW69" i="45"/>
  <c r="BV69" i="45"/>
  <c r="BU69" i="45"/>
  <c r="BT69" i="45"/>
  <c r="BS69" i="45"/>
  <c r="BR69" i="45"/>
  <c r="BQ69" i="45"/>
  <c r="BP69" i="45"/>
  <c r="BO69" i="45"/>
  <c r="BN69" i="45"/>
  <c r="BM69" i="45"/>
  <c r="CN27" i="45"/>
  <c r="CM27" i="45"/>
  <c r="CL27" i="45"/>
  <c r="CK27" i="45"/>
  <c r="CJ27" i="45"/>
  <c r="CI27" i="45"/>
  <c r="CH27" i="45"/>
  <c r="CG27" i="45"/>
  <c r="CF27" i="45"/>
  <c r="CE27" i="45"/>
  <c r="CD27" i="45"/>
  <c r="CC27" i="45"/>
  <c r="CB27" i="45"/>
  <c r="CA27" i="45"/>
  <c r="BZ27" i="45"/>
  <c r="BY27" i="45"/>
  <c r="BX27" i="45"/>
  <c r="BW27" i="45"/>
  <c r="BV27" i="45"/>
  <c r="BU27" i="45"/>
  <c r="BT27" i="45"/>
  <c r="BS27" i="45"/>
  <c r="BR27" i="45"/>
  <c r="BQ27" i="45"/>
  <c r="BP27" i="45"/>
  <c r="BO27" i="45"/>
  <c r="BN27" i="45"/>
  <c r="BM27" i="45"/>
  <c r="BK27" i="45"/>
  <c r="BJ27" i="45"/>
  <c r="BI27" i="45"/>
  <c r="BH27" i="45"/>
  <c r="BG27" i="45"/>
  <c r="BF27" i="45"/>
  <c r="BE27" i="45"/>
  <c r="BD27" i="45"/>
  <c r="BC27" i="45"/>
  <c r="BB27" i="45"/>
  <c r="BA27" i="45"/>
  <c r="AZ27" i="45"/>
  <c r="AY27" i="45"/>
  <c r="AX27" i="45"/>
  <c r="CJ74" i="45"/>
  <c r="CI74" i="45"/>
  <c r="CH74" i="45"/>
  <c r="CG74" i="45"/>
  <c r="CF74" i="45"/>
  <c r="CE74" i="45"/>
  <c r="CD74" i="45"/>
  <c r="CC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CJ74" i="12"/>
  <c r="CI74" i="12"/>
  <c r="CH74" i="12"/>
  <c r="CG74" i="12"/>
  <c r="CF74" i="12"/>
  <c r="CE74" i="12"/>
  <c r="CD74" i="12"/>
  <c r="CC74" i="12"/>
  <c r="CB74" i="12"/>
  <c r="CA74" i="12"/>
  <c r="BZ74" i="12"/>
  <c r="BY74" i="12"/>
  <c r="BX74" i="12"/>
  <c r="BW74" i="12"/>
  <c r="BV74" i="12"/>
  <c r="BU74" i="12"/>
  <c r="BT74" i="12"/>
  <c r="BS74" i="12"/>
  <c r="BR74" i="12"/>
  <c r="BQ74" i="12"/>
  <c r="BP74" i="12"/>
  <c r="BO74" i="12"/>
  <c r="BN74" i="12"/>
  <c r="BM74" i="12"/>
  <c r="BL74" i="12"/>
  <c r="BK74" i="12"/>
  <c r="BJ74" i="12"/>
  <c r="BI74" i="12"/>
  <c r="BH74" i="12"/>
  <c r="BG74" i="12"/>
  <c r="BF74" i="12"/>
  <c r="BE74" i="12"/>
  <c r="BD74" i="12"/>
  <c r="BC74" i="12"/>
  <c r="BB74" i="12"/>
  <c r="BA74" i="12"/>
  <c r="AZ74" i="12"/>
  <c r="AY74" i="12"/>
  <c r="AX74" i="12"/>
  <c r="AW74" i="12"/>
  <c r="AV74" i="12"/>
  <c r="AU74" i="12"/>
  <c r="BZ106" i="12"/>
  <c r="BY106" i="12"/>
  <c r="BX106" i="12"/>
  <c r="BW106" i="12"/>
  <c r="BV106" i="12"/>
  <c r="BU106" i="12"/>
  <c r="BT106" i="12"/>
  <c r="BS106" i="12"/>
  <c r="BR106" i="12"/>
  <c r="BQ106" i="12"/>
  <c r="BP106" i="12"/>
  <c r="BO106" i="12"/>
  <c r="BN106" i="12"/>
  <c r="BM106" i="12"/>
  <c r="BK94" i="12"/>
  <c r="BJ94" i="12"/>
  <c r="BI94" i="12"/>
  <c r="BH94" i="12"/>
  <c r="BG94" i="12"/>
  <c r="BF94" i="12"/>
  <c r="BE94" i="12"/>
  <c r="BD94" i="12"/>
  <c r="BC94" i="12"/>
  <c r="BB94" i="12"/>
  <c r="BA94" i="12"/>
  <c r="AZ94" i="12"/>
  <c r="AY94" i="12"/>
  <c r="AX94" i="12"/>
  <c r="ED94" i="12"/>
  <c r="EC94" i="12"/>
  <c r="EB94" i="12"/>
  <c r="EA94" i="12"/>
  <c r="DZ94" i="12"/>
  <c r="DY94" i="12"/>
  <c r="DX94" i="12"/>
  <c r="DW94" i="12"/>
  <c r="DV94" i="12"/>
  <c r="DU94" i="12"/>
  <c r="DT94" i="12"/>
  <c r="DS94" i="12"/>
  <c r="DR94" i="12"/>
  <c r="DQ94" i="12"/>
  <c r="DP94" i="12"/>
  <c r="DO94" i="12"/>
  <c r="DN94" i="12"/>
  <c r="DM94" i="12"/>
  <c r="DL94" i="12"/>
  <c r="DK94" i="12"/>
  <c r="DJ94" i="12"/>
  <c r="DI94" i="12"/>
  <c r="DH94" i="12"/>
  <c r="DG94" i="12"/>
  <c r="DF94" i="12"/>
  <c r="DE94" i="12"/>
  <c r="DD94" i="12"/>
  <c r="DC94" i="12"/>
  <c r="DB94" i="12"/>
  <c r="DA94" i="12"/>
  <c r="CZ94" i="12"/>
  <c r="CY94" i="12"/>
  <c r="CX94" i="12"/>
  <c r="CW94" i="12"/>
  <c r="CV94" i="12"/>
  <c r="CU94" i="12"/>
  <c r="CT94" i="12"/>
  <c r="CS94" i="12"/>
  <c r="CR94" i="12"/>
  <c r="CQ94" i="12"/>
  <c r="CP94" i="12"/>
  <c r="CO94" i="12"/>
  <c r="CN94" i="12"/>
  <c r="CM94" i="12"/>
  <c r="CL94" i="12"/>
  <c r="CK94" i="12"/>
  <c r="CJ94" i="12"/>
  <c r="CI94" i="12"/>
  <c r="CH94" i="12"/>
  <c r="CG94" i="12"/>
  <c r="CF94" i="12"/>
  <c r="CE94" i="12"/>
  <c r="CD94" i="12"/>
  <c r="CC94" i="12"/>
  <c r="CB94" i="12"/>
  <c r="CA94" i="12"/>
  <c r="BZ94" i="12"/>
  <c r="BY94" i="12"/>
  <c r="BX94" i="12"/>
  <c r="BW94" i="12"/>
  <c r="BV94" i="12"/>
  <c r="BU94" i="12"/>
  <c r="BT94" i="12"/>
  <c r="BS94" i="12"/>
  <c r="BR94" i="12"/>
  <c r="BQ94" i="12"/>
  <c r="BP94" i="12"/>
  <c r="BO94" i="12"/>
  <c r="BN94" i="12"/>
  <c r="BM94" i="12"/>
  <c r="BZ69" i="12"/>
  <c r="BY69" i="12"/>
  <c r="BX69" i="12"/>
  <c r="BW69" i="12"/>
  <c r="BV69" i="12"/>
  <c r="BU69" i="12"/>
  <c r="BT69" i="12"/>
  <c r="BS69" i="12"/>
  <c r="BR69" i="12"/>
  <c r="BQ69" i="12"/>
  <c r="BP69" i="12"/>
  <c r="BO69" i="12"/>
  <c r="BN69" i="12"/>
  <c r="BM69" i="12"/>
  <c r="CN27" i="12"/>
  <c r="CM27" i="12"/>
  <c r="CL27" i="12"/>
  <c r="CK27" i="12"/>
  <c r="CJ27" i="12"/>
  <c r="CI27" i="12"/>
  <c r="CH27" i="12"/>
  <c r="CG27" i="12"/>
  <c r="CF27" i="12"/>
  <c r="CE27" i="12"/>
  <c r="CD27" i="12"/>
  <c r="CC27" i="12"/>
  <c r="CB27" i="12"/>
  <c r="CA27" i="12"/>
  <c r="ED27" i="12"/>
  <c r="EC27" i="12"/>
  <c r="EB27" i="12"/>
  <c r="EA27" i="12"/>
  <c r="DZ27" i="12"/>
  <c r="DY27" i="12"/>
  <c r="DX27" i="12"/>
  <c r="DW27" i="12"/>
  <c r="DV27" i="12"/>
  <c r="DU27" i="12"/>
  <c r="DT27" i="12"/>
  <c r="DS27" i="12"/>
  <c r="DR27" i="12"/>
  <c r="DQ27" i="12"/>
  <c r="DP27" i="12"/>
  <c r="DO27" i="12"/>
  <c r="DN27" i="12"/>
  <c r="DM27" i="12"/>
  <c r="DL27" i="12"/>
  <c r="DK27" i="12"/>
  <c r="DJ27" i="12"/>
  <c r="DI27" i="12"/>
  <c r="DH27" i="12"/>
  <c r="DG27" i="12"/>
  <c r="DF27" i="12"/>
  <c r="DE27" i="12"/>
  <c r="DD27" i="12"/>
  <c r="DC27" i="12"/>
  <c r="DB27" i="12"/>
  <c r="DA27" i="12"/>
  <c r="CZ27" i="12"/>
  <c r="CY27" i="12"/>
  <c r="CX27" i="12"/>
  <c r="CW27" i="12"/>
  <c r="CV27" i="12"/>
  <c r="CU27" i="12"/>
  <c r="CT27" i="12"/>
  <c r="CS27" i="12"/>
  <c r="CR27" i="12"/>
  <c r="CQ27" i="12"/>
  <c r="CP27" i="12"/>
  <c r="CO27" i="12"/>
  <c r="BZ27" i="12"/>
  <c r="BY27" i="12"/>
  <c r="BX27" i="12"/>
  <c r="BW27" i="12"/>
  <c r="BV27" i="12"/>
  <c r="BU27" i="12"/>
  <c r="BT27" i="12"/>
  <c r="BS27" i="12"/>
  <c r="BR27" i="12"/>
  <c r="BQ27" i="12"/>
  <c r="BP27" i="12"/>
  <c r="BO27" i="12"/>
  <c r="BN27" i="12"/>
  <c r="BM27" i="12"/>
  <c r="AV53" i="34" a="1"/>
  <c r="AV53" i="34"/>
  <c r="AZ53" i="34" a="1"/>
  <c r="AZ53" i="34"/>
  <c r="AQ54" i="34" a="1"/>
  <c r="AQ54" i="34"/>
  <c r="AY54" i="34" a="1"/>
  <c r="AY54" i="34"/>
  <c r="AP55" i="34" a="1"/>
  <c r="AP55" i="34"/>
  <c r="AT55" i="34" a="1"/>
  <c r="AT55" i="34"/>
  <c r="AO56" i="34" a="1"/>
  <c r="AO56" i="34"/>
  <c r="AS56" i="34" a="1"/>
  <c r="AS56" i="34"/>
  <c r="AW56" i="34" a="1"/>
  <c r="AW56" i="34"/>
  <c r="AR57" i="34" a="1"/>
  <c r="AR57" i="34"/>
  <c r="AV57" i="34" a="1"/>
  <c r="AV57" i="34"/>
  <c r="AZ57" i="34" a="1"/>
  <c r="AZ57" i="34"/>
  <c r="AF56" i="34"/>
  <c r="AF53" i="34"/>
  <c r="AO53" i="34" a="1"/>
  <c r="AO53" i="34"/>
  <c r="AF51" i="34"/>
  <c r="AF43" i="34"/>
  <c r="AF37" i="34"/>
  <c r="BP11" i="34"/>
  <c r="BO11" i="34"/>
  <c r="BN11" i="34"/>
  <c r="BP23" i="34"/>
  <c r="BO23" i="34"/>
  <c r="BN23" i="34"/>
  <c r="BP35" i="34"/>
  <c r="BO35" i="34"/>
  <c r="BN35" i="34"/>
  <c r="BA31" i="34"/>
  <c r="AZ31" i="34"/>
  <c r="AY31" i="34"/>
  <c r="BA18" i="34"/>
  <c r="AZ18" i="34"/>
  <c r="AY18" i="34"/>
  <c r="BA6" i="34"/>
  <c r="AZ6" i="34"/>
  <c r="AY6" i="34"/>
  <c r="BK27" i="12"/>
  <c r="BJ27" i="12"/>
  <c r="BI27" i="12"/>
  <c r="AN55" i="34" a="1"/>
  <c r="AN55" i="34"/>
  <c r="BA56" i="34" a="1"/>
  <c r="BA56" i="34"/>
  <c r="AX55" i="34" a="1"/>
  <c r="AX55" i="34"/>
  <c r="AU54" i="34" a="1"/>
  <c r="AU54" i="34"/>
  <c r="AR53" i="34" a="1"/>
  <c r="AR53" i="34"/>
  <c r="AF57" i="34"/>
  <c r="AN56" i="34" a="1"/>
  <c r="AN56" i="34"/>
  <c r="AY57" i="34" a="1"/>
  <c r="AY57" i="34"/>
  <c r="AU57" i="34" a="1"/>
  <c r="AU57" i="34"/>
  <c r="AQ57" i="34" a="1"/>
  <c r="AQ57" i="34"/>
  <c r="AZ56" i="34" a="1"/>
  <c r="AZ56" i="34"/>
  <c r="AV56" i="34" a="1"/>
  <c r="AV56" i="34"/>
  <c r="AR56" i="34" a="1"/>
  <c r="AR56" i="34"/>
  <c r="BA55" i="34" a="1"/>
  <c r="BA55" i="34"/>
  <c r="AW55" i="34" a="1"/>
  <c r="AW55" i="34"/>
  <c r="AS55" i="34" a="1"/>
  <c r="AS55" i="34"/>
  <c r="AO55" i="34" a="1"/>
  <c r="AO55" i="34"/>
  <c r="AX54" i="34" a="1"/>
  <c r="AX54" i="34"/>
  <c r="AT54" i="34" a="1"/>
  <c r="AT54" i="34"/>
  <c r="AP54" i="34" a="1"/>
  <c r="AP54" i="34"/>
  <c r="AY53" i="34" a="1"/>
  <c r="AY53" i="34"/>
  <c r="AU53" i="34" a="1"/>
  <c r="AU53" i="34"/>
  <c r="AQ53" i="34" a="1"/>
  <c r="AQ53" i="34"/>
  <c r="AF54" i="34"/>
  <c r="AN53" i="34" a="1"/>
  <c r="AN53" i="34"/>
  <c r="AN57" i="34" a="1"/>
  <c r="AN57" i="34"/>
  <c r="AX57" i="34" a="1"/>
  <c r="AX57" i="34"/>
  <c r="AT57" i="34" a="1"/>
  <c r="AT57" i="34"/>
  <c r="AP57" i="34" a="1"/>
  <c r="AP57" i="34"/>
  <c r="AY56" i="34" a="1"/>
  <c r="AY56" i="34"/>
  <c r="AU56" i="34" a="1"/>
  <c r="AU56" i="34"/>
  <c r="AQ56" i="34" a="1"/>
  <c r="AQ56" i="34"/>
  <c r="AZ55" i="34" a="1"/>
  <c r="AZ55" i="34"/>
  <c r="AV55" i="34" a="1"/>
  <c r="AV55" i="34"/>
  <c r="AR55" i="34" a="1"/>
  <c r="AR55" i="34"/>
  <c r="BA54" i="34" a="1"/>
  <c r="BA54" i="34"/>
  <c r="AW54" i="34" a="1"/>
  <c r="AW54" i="34"/>
  <c r="AS54" i="34" a="1"/>
  <c r="AS54" i="34"/>
  <c r="AO54" i="34" a="1"/>
  <c r="AO54" i="34"/>
  <c r="AX53" i="34" a="1"/>
  <c r="AX53" i="34"/>
  <c r="AT53" i="34" a="1"/>
  <c r="AT53" i="34"/>
  <c r="AP53" i="34" a="1"/>
  <c r="AP53" i="34"/>
  <c r="AF55" i="34"/>
  <c r="AN54" i="34" a="1"/>
  <c r="AN54" i="34"/>
  <c r="BA57" i="34" a="1"/>
  <c r="BA57" i="34"/>
  <c r="AW57" i="34" a="1"/>
  <c r="AW57" i="34"/>
  <c r="AS57" i="34" a="1"/>
  <c r="AS57" i="34"/>
  <c r="AO57" i="34" a="1"/>
  <c r="AO57" i="34"/>
  <c r="AX56" i="34" a="1"/>
  <c r="AX56" i="34"/>
  <c r="AT56" i="34" a="1"/>
  <c r="AT56" i="34"/>
  <c r="AP56" i="34" a="1"/>
  <c r="AP56" i="34"/>
  <c r="AY55" i="34" a="1"/>
  <c r="AY55" i="34"/>
  <c r="AU55" i="34" a="1"/>
  <c r="AU55" i="34"/>
  <c r="AQ55" i="34" a="1"/>
  <c r="AQ55" i="34"/>
  <c r="AZ54" i="34" a="1"/>
  <c r="AZ54" i="34"/>
  <c r="AV54" i="34" a="1"/>
  <c r="AV54" i="34"/>
  <c r="AR54" i="34" a="1"/>
  <c r="AR54" i="34"/>
  <c r="BA53" i="34" a="1"/>
  <c r="BA53" i="34"/>
  <c r="AW53" i="34" a="1"/>
  <c r="AW53" i="34"/>
  <c r="AS53" i="34" a="1"/>
  <c r="AS53" i="34"/>
  <c r="AF50" i="34"/>
  <c r="AF48" i="34"/>
  <c r="AF49" i="34"/>
  <c r="AF38" i="34"/>
  <c r="AF35" i="34"/>
  <c r="AF39" i="34"/>
  <c r="AF36" i="34"/>
  <c r="AC204" i="30"/>
  <c r="AC64" i="30"/>
  <c r="AF47" i="34"/>
  <c r="AF44" i="34"/>
  <c r="AF41" i="34"/>
  <c r="AF45" i="34"/>
  <c r="AF42" i="34"/>
  <c r="AP32" i="45"/>
  <c r="X32" i="45"/>
  <c r="D32" i="45"/>
  <c r="AM32" i="45"/>
  <c r="C32" i="45"/>
  <c r="EB27" i="45"/>
  <c r="DY27" i="45"/>
  <c r="DX27" i="45"/>
  <c r="DW27" i="45"/>
  <c r="DV27" i="45"/>
  <c r="DU27" i="45"/>
  <c r="DT27" i="45"/>
  <c r="DS27" i="45"/>
  <c r="DR27" i="45"/>
  <c r="DQ27" i="45"/>
  <c r="DP27" i="45"/>
  <c r="DO27" i="45"/>
  <c r="DN27" i="45"/>
  <c r="DK27" i="45"/>
  <c r="DJ27" i="45"/>
  <c r="DI27" i="45"/>
  <c r="DH27" i="45"/>
  <c r="DG27" i="45"/>
  <c r="DF27" i="45"/>
  <c r="DE27" i="45"/>
  <c r="DD27" i="45"/>
  <c r="DC27" i="45"/>
  <c r="DB27" i="45"/>
  <c r="DA27" i="45"/>
  <c r="CZ27" i="45"/>
  <c r="CW27" i="45"/>
  <c r="CV27" i="45"/>
  <c r="CU27" i="45"/>
  <c r="CT27" i="45"/>
  <c r="CS27" i="45"/>
  <c r="CR27" i="45"/>
  <c r="CQ27" i="45"/>
  <c r="CP27" i="45"/>
  <c r="CO27" i="45"/>
  <c r="BY3" i="45"/>
  <c r="BX3" i="45"/>
  <c r="BK3" i="45"/>
  <c r="BJ3" i="45"/>
  <c r="BY3" i="12"/>
  <c r="BX3" i="12"/>
  <c r="BK3" i="12"/>
  <c r="BJ3" i="12"/>
  <c r="BV3" i="45"/>
  <c r="BU3" i="45"/>
  <c r="BT3" i="45"/>
  <c r="BS3" i="45"/>
  <c r="BR3" i="45"/>
  <c r="BQ3" i="45"/>
  <c r="BP3" i="45"/>
  <c r="BO3" i="45"/>
  <c r="BN3" i="45"/>
  <c r="BM3" i="45"/>
  <c r="BL3" i="45"/>
  <c r="BI3" i="45"/>
  <c r="BH3" i="45"/>
  <c r="BG3" i="45"/>
  <c r="BF3" i="45"/>
  <c r="BE3" i="45"/>
  <c r="BD3" i="45"/>
  <c r="BC3" i="45"/>
  <c r="BB3" i="45"/>
  <c r="BA3" i="45"/>
  <c r="AZ3" i="45"/>
  <c r="AY3" i="45"/>
  <c r="AX3" i="45"/>
  <c r="AS105" i="12"/>
  <c r="AS104" i="12"/>
  <c r="AS52" i="34"/>
  <c r="AV52" i="34"/>
  <c r="AO52" i="34"/>
  <c r="AX52" i="34"/>
  <c r="BA52" i="34"/>
  <c r="AQ52" i="34"/>
  <c r="AP52" i="34"/>
  <c r="AN52" i="34"/>
  <c r="AR52" i="34"/>
  <c r="AU52" i="34"/>
  <c r="AT52" i="34"/>
  <c r="AW52" i="34"/>
  <c r="AZ52" i="34"/>
  <c r="AY52" i="34"/>
  <c r="BZ107" i="45"/>
  <c r="ED95" i="45"/>
  <c r="DB95" i="45"/>
  <c r="BZ95" i="45"/>
  <c r="CN95" i="45"/>
  <c r="DP95" i="45"/>
  <c r="BK95" i="45"/>
  <c r="D217" i="30"/>
  <c r="D175" i="30"/>
  <c r="D147" i="30"/>
  <c r="D119" i="30"/>
  <c r="D91" i="30"/>
  <c r="D63" i="30"/>
  <c r="D49" i="30"/>
  <c r="D203" i="30"/>
  <c r="D189" i="30"/>
  <c r="D161" i="30"/>
  <c r="D133" i="30"/>
  <c r="D105" i="30"/>
  <c r="D77" i="30"/>
  <c r="D35" i="30"/>
  <c r="BZ70" i="45"/>
  <c r="CN28" i="45"/>
  <c r="BZ28" i="45"/>
  <c r="BK28" i="45"/>
  <c r="BH75" i="45"/>
  <c r="BH75" i="12"/>
  <c r="BZ107" i="12"/>
  <c r="BK95" i="12"/>
  <c r="ED95" i="12"/>
  <c r="DP95" i="12"/>
  <c r="DB95" i="12"/>
  <c r="CN95" i="12"/>
  <c r="BZ95" i="12"/>
  <c r="D21" i="30"/>
  <c r="BZ70" i="12"/>
  <c r="ED28" i="12"/>
  <c r="DP28" i="12"/>
  <c r="BA32" i="34"/>
  <c r="BK28" i="12"/>
  <c r="DB28" i="12"/>
  <c r="BZ28" i="12"/>
  <c r="BP24" i="34"/>
  <c r="BA19" i="34"/>
  <c r="CN28" i="12"/>
  <c r="BP36" i="34"/>
  <c r="BP12" i="34"/>
  <c r="BA7" i="34"/>
  <c r="B32" i="45"/>
  <c r="AW32" i="45"/>
  <c r="BH95" i="45"/>
  <c r="BW107" i="45"/>
  <c r="EA95" i="45"/>
  <c r="CY95" i="45"/>
  <c r="BW95" i="45"/>
  <c r="DM95" i="45"/>
  <c r="CK95" i="45"/>
  <c r="D200" i="30"/>
  <c r="D186" i="30"/>
  <c r="D172" i="30"/>
  <c r="D158" i="30"/>
  <c r="D144" i="30"/>
  <c r="D130" i="30"/>
  <c r="D116" i="30"/>
  <c r="D102" i="30"/>
  <c r="D88" i="30"/>
  <c r="D74" i="30"/>
  <c r="D18" i="30"/>
  <c r="D214" i="30"/>
  <c r="D46" i="30"/>
  <c r="CK28" i="45"/>
  <c r="BW28" i="45"/>
  <c r="BE75" i="45"/>
  <c r="BE75" i="12"/>
  <c r="EA95" i="12"/>
  <c r="CY95" i="12"/>
  <c r="BW95" i="12"/>
  <c r="D60" i="30"/>
  <c r="D32" i="30"/>
  <c r="BW70" i="45"/>
  <c r="BH28" i="45"/>
  <c r="BW107" i="12"/>
  <c r="BH95" i="12"/>
  <c r="DM95" i="12"/>
  <c r="CK95" i="12"/>
  <c r="BU107" i="45"/>
  <c r="DY95" i="45"/>
  <c r="CW95" i="45"/>
  <c r="DK95" i="45"/>
  <c r="CI95" i="45"/>
  <c r="BF95" i="45"/>
  <c r="BU95" i="45"/>
  <c r="D212" i="30"/>
  <c r="D58" i="30"/>
  <c r="D44" i="30"/>
  <c r="D30" i="30"/>
  <c r="BU70" i="45"/>
  <c r="CI28" i="45"/>
  <c r="BU28" i="45"/>
  <c r="BF28" i="45"/>
  <c r="BC75" i="45"/>
  <c r="BC75" i="12"/>
  <c r="BU107" i="12"/>
  <c r="BF95" i="12"/>
  <c r="DY95" i="12"/>
  <c r="DK95" i="12"/>
  <c r="CW95" i="12"/>
  <c r="CI95" i="12"/>
  <c r="BU95" i="12"/>
  <c r="D184" i="30"/>
  <c r="D156" i="30"/>
  <c r="D128" i="30"/>
  <c r="D100" i="30"/>
  <c r="D72" i="30"/>
  <c r="D198" i="30"/>
  <c r="D170" i="30"/>
  <c r="D142" i="30"/>
  <c r="D114" i="30"/>
  <c r="D86" i="30"/>
  <c r="D16" i="30"/>
  <c r="BY95" i="45"/>
  <c r="DO95" i="45"/>
  <c r="CM95" i="45"/>
  <c r="BJ95" i="45"/>
  <c r="BY107" i="45"/>
  <c r="EC95" i="45"/>
  <c r="DA95" i="45"/>
  <c r="D174" i="30"/>
  <c r="D146" i="30"/>
  <c r="D118" i="30"/>
  <c r="D90" i="30"/>
  <c r="D62" i="30"/>
  <c r="D48" i="30"/>
  <c r="BY70" i="45"/>
  <c r="CM28" i="45"/>
  <c r="BY28" i="45"/>
  <c r="BJ28" i="45"/>
  <c r="BG75" i="45"/>
  <c r="BG75" i="12"/>
  <c r="BY107" i="12"/>
  <c r="BJ95" i="12"/>
  <c r="EC95" i="12"/>
  <c r="DO95" i="12"/>
  <c r="DA95" i="12"/>
  <c r="CM95" i="12"/>
  <c r="BY95" i="12"/>
  <c r="D132" i="30"/>
  <c r="D20" i="30"/>
  <c r="D216" i="30"/>
  <c r="D202" i="30"/>
  <c r="D188" i="30"/>
  <c r="D160" i="30"/>
  <c r="D104" i="30"/>
  <c r="D76" i="30"/>
  <c r="D34" i="30"/>
  <c r="BV107" i="45"/>
  <c r="DZ95" i="45"/>
  <c r="CX95" i="45"/>
  <c r="BV95" i="45"/>
  <c r="DL95" i="45"/>
  <c r="BG95" i="45"/>
  <c r="CJ95" i="45"/>
  <c r="D185" i="30"/>
  <c r="D157" i="30"/>
  <c r="D129" i="30"/>
  <c r="D101" i="30"/>
  <c r="D73" i="30"/>
  <c r="D17" i="30"/>
  <c r="D213" i="30"/>
  <c r="D59" i="30"/>
  <c r="D45" i="30"/>
  <c r="D31" i="30"/>
  <c r="BV70" i="45"/>
  <c r="CJ28" i="45"/>
  <c r="BV28" i="45"/>
  <c r="BG28" i="45"/>
  <c r="BD75" i="45"/>
  <c r="BD75" i="12"/>
  <c r="BV107" i="12"/>
  <c r="BG95" i="12"/>
  <c r="DZ95" i="12"/>
  <c r="DL95" i="12"/>
  <c r="CX95" i="12"/>
  <c r="CJ95" i="12"/>
  <c r="BV95" i="12"/>
  <c r="D199" i="30"/>
  <c r="D171" i="30"/>
  <c r="D143" i="30"/>
  <c r="D115" i="30"/>
  <c r="D87" i="30"/>
  <c r="BT75" i="45"/>
  <c r="BT75" i="12"/>
  <c r="CM28" i="12"/>
  <c r="BY70" i="12"/>
  <c r="BY28" i="12"/>
  <c r="BO24" i="34"/>
  <c r="AZ32" i="34"/>
  <c r="AZ7" i="34"/>
  <c r="EC28" i="12"/>
  <c r="BO12" i="34"/>
  <c r="DO28" i="12"/>
  <c r="DA28" i="12"/>
  <c r="AZ19" i="34"/>
  <c r="BJ28" i="12"/>
  <c r="BO36" i="34"/>
  <c r="BL12" i="34"/>
  <c r="AW19" i="34"/>
  <c r="CJ28" i="12"/>
  <c r="DL28" i="12"/>
  <c r="BL24" i="34"/>
  <c r="BL36" i="34"/>
  <c r="AW32" i="34"/>
  <c r="CX28" i="12"/>
  <c r="BV70" i="12"/>
  <c r="BV28" i="12"/>
  <c r="DZ28" i="12"/>
  <c r="AW7" i="34"/>
  <c r="BW70" i="12"/>
  <c r="CK28" i="12"/>
  <c r="EA28" i="12"/>
  <c r="DM28" i="12"/>
  <c r="CY28" i="12"/>
  <c r="BW28" i="12"/>
  <c r="AX32" i="34"/>
  <c r="AX19" i="34"/>
  <c r="AX7" i="34"/>
  <c r="BM12" i="34"/>
  <c r="BM36" i="34"/>
  <c r="BM24" i="34"/>
  <c r="CI28" i="12"/>
  <c r="BU70" i="12"/>
  <c r="BK24" i="34"/>
  <c r="AV7" i="34"/>
  <c r="DY28" i="12"/>
  <c r="BK12" i="34"/>
  <c r="DK28" i="12"/>
  <c r="BK36" i="34"/>
  <c r="AV19" i="34"/>
  <c r="CW28" i="12"/>
  <c r="BU28" i="12"/>
  <c r="AV32" i="34"/>
  <c r="DJ28" i="45"/>
  <c r="DX28" i="45"/>
  <c r="BG28" i="12"/>
  <c r="CV28" i="45"/>
  <c r="DW28" i="45"/>
  <c r="DI28" i="45"/>
  <c r="CU28" i="45"/>
  <c r="BF28" i="12"/>
  <c r="DY28" i="45"/>
  <c r="DK28" i="45"/>
  <c r="CW28" i="45"/>
  <c r="BH28" i="12"/>
  <c r="BI6" i="45"/>
  <c r="AQ2" i="30"/>
  <c r="AR2" i="30"/>
  <c r="AS2" i="30"/>
  <c r="AT2" i="30"/>
  <c r="BW3" i="12"/>
  <c r="BV3" i="12"/>
  <c r="BU3" i="12"/>
  <c r="BT3" i="12"/>
  <c r="BS3" i="12"/>
  <c r="BR3" i="12"/>
  <c r="BQ3" i="12"/>
  <c r="BP3" i="12"/>
  <c r="BO3" i="12"/>
  <c r="BN3" i="12"/>
  <c r="BM3" i="12"/>
  <c r="BL3" i="12"/>
  <c r="BI3" i="12"/>
  <c r="BH3" i="12"/>
  <c r="BG3" i="12"/>
  <c r="BF3" i="12"/>
  <c r="BE3" i="12"/>
  <c r="BD3" i="12"/>
  <c r="BC3" i="12"/>
  <c r="BB3" i="12"/>
  <c r="BA3" i="12"/>
  <c r="AZ3" i="12"/>
  <c r="AY3" i="12"/>
  <c r="AX3" i="12"/>
  <c r="BH27" i="12"/>
  <c r="BG27" i="12"/>
  <c r="BF27" i="12"/>
  <c r="BE27" i="12"/>
  <c r="BD27" i="12"/>
  <c r="BC27" i="12"/>
  <c r="BB27" i="12"/>
  <c r="BA27" i="12"/>
  <c r="AZ27" i="12"/>
  <c r="AY27" i="12"/>
  <c r="AX27" i="12"/>
  <c r="AM32" i="12"/>
  <c r="F53" i="34"/>
  <c r="F47" i="34"/>
  <c r="F41" i="34"/>
  <c r="F35" i="34"/>
  <c r="AE57" i="34"/>
  <c r="AD57" i="34"/>
  <c r="AC57" i="34"/>
  <c r="D57" i="34"/>
  <c r="AE56" i="34"/>
  <c r="AD56" i="34"/>
  <c r="AC56" i="34"/>
  <c r="D56" i="34"/>
  <c r="AE55" i="34"/>
  <c r="AD55" i="34"/>
  <c r="AC55" i="34"/>
  <c r="D55" i="34"/>
  <c r="AE54" i="34"/>
  <c r="AD54" i="34"/>
  <c r="AC54" i="34"/>
  <c r="D54" i="34"/>
  <c r="AE53" i="34"/>
  <c r="AD53" i="34"/>
  <c r="AC53" i="34"/>
  <c r="D53" i="34"/>
  <c r="AE51" i="34"/>
  <c r="AD51" i="34"/>
  <c r="AC51" i="34"/>
  <c r="D51" i="34"/>
  <c r="AE50" i="34"/>
  <c r="AD50" i="34"/>
  <c r="AC50" i="34"/>
  <c r="D50" i="34"/>
  <c r="AE49" i="34"/>
  <c r="AD49" i="34"/>
  <c r="AC49" i="34"/>
  <c r="D49" i="34"/>
  <c r="AE48" i="34"/>
  <c r="AD48" i="34"/>
  <c r="AC48" i="34"/>
  <c r="D48" i="34"/>
  <c r="AE47" i="34"/>
  <c r="AD47" i="34"/>
  <c r="AC47" i="34"/>
  <c r="D47" i="34"/>
  <c r="AD45" i="34"/>
  <c r="D45" i="34"/>
  <c r="AD44" i="34"/>
  <c r="D44" i="34"/>
  <c r="AD43" i="34"/>
  <c r="D43" i="34"/>
  <c r="AD42" i="34"/>
  <c r="D42" i="34"/>
  <c r="AD41" i="34"/>
  <c r="D41" i="34"/>
  <c r="AD39" i="34"/>
  <c r="AD38" i="34"/>
  <c r="AD37" i="34"/>
  <c r="AD36" i="34"/>
  <c r="AD35" i="34"/>
  <c r="AE45" i="34"/>
  <c r="AC45" i="34"/>
  <c r="AE44" i="34"/>
  <c r="AC44" i="34"/>
  <c r="AE43" i="34"/>
  <c r="AC43" i="34"/>
  <c r="AE42" i="34"/>
  <c r="AC42" i="34"/>
  <c r="AE41" i="34"/>
  <c r="AC41" i="34"/>
  <c r="BM35" i="34"/>
  <c r="BL35" i="34"/>
  <c r="BK35" i="34"/>
  <c r="BJ35" i="34"/>
  <c r="BI35" i="34"/>
  <c r="BH35" i="34"/>
  <c r="BG35" i="34"/>
  <c r="BF35" i="34"/>
  <c r="BE35" i="34"/>
  <c r="BD35" i="34"/>
  <c r="BC35" i="34"/>
  <c r="BM23" i="34"/>
  <c r="BL23" i="34"/>
  <c r="BK23" i="34"/>
  <c r="BJ23" i="34"/>
  <c r="BI23" i="34"/>
  <c r="BH23" i="34"/>
  <c r="BG23" i="34"/>
  <c r="BF23" i="34"/>
  <c r="BE23" i="34"/>
  <c r="BD23" i="34"/>
  <c r="BC23" i="34"/>
  <c r="BM11" i="34"/>
  <c r="BL11" i="34"/>
  <c r="BK11" i="34"/>
  <c r="BJ11" i="34"/>
  <c r="BI11" i="34"/>
  <c r="BH11" i="34"/>
  <c r="BG11" i="34"/>
  <c r="BF11" i="34"/>
  <c r="BE11" i="34"/>
  <c r="BD11" i="34"/>
  <c r="BC11" i="34"/>
  <c r="AX31" i="34"/>
  <c r="AW31" i="34"/>
  <c r="AV31" i="34"/>
  <c r="AU31" i="34"/>
  <c r="AT31" i="34"/>
  <c r="AS31" i="34"/>
  <c r="AR31" i="34"/>
  <c r="AQ31" i="34"/>
  <c r="AP31" i="34"/>
  <c r="AO31" i="34"/>
  <c r="AN31" i="34"/>
  <c r="AX18" i="34"/>
  <c r="AW18" i="34"/>
  <c r="AV18" i="34"/>
  <c r="AU18" i="34"/>
  <c r="AT18" i="34"/>
  <c r="AS18" i="34"/>
  <c r="AR18" i="34"/>
  <c r="AQ18" i="34"/>
  <c r="AP18" i="34"/>
  <c r="AO18" i="34"/>
  <c r="AN18" i="34"/>
  <c r="AX6" i="34"/>
  <c r="AW6" i="34"/>
  <c r="AV6" i="34"/>
  <c r="AU6" i="34"/>
  <c r="AT6" i="34"/>
  <c r="AR6" i="34"/>
  <c r="AQ6" i="34"/>
  <c r="AP6" i="34"/>
  <c r="AO6" i="34"/>
  <c r="AS6" i="34"/>
  <c r="AN6" i="34"/>
  <c r="A26" i="30"/>
  <c r="A25" i="30"/>
  <c r="A24" i="30"/>
  <c r="A23" i="30"/>
  <c r="A214" i="30"/>
  <c r="A213" i="30"/>
  <c r="A212" i="30"/>
  <c r="A211" i="30"/>
  <c r="A210" i="30"/>
  <c r="A200" i="30"/>
  <c r="A199" i="30"/>
  <c r="A198" i="30"/>
  <c r="A197" i="30"/>
  <c r="A196" i="30"/>
  <c r="A186" i="30"/>
  <c r="A185" i="30"/>
  <c r="A184" i="30"/>
  <c r="A183" i="30"/>
  <c r="A182" i="30"/>
  <c r="A172" i="30"/>
  <c r="A171" i="30"/>
  <c r="A170" i="30"/>
  <c r="A169" i="30"/>
  <c r="A168" i="30"/>
  <c r="A158" i="30"/>
  <c r="A157" i="30"/>
  <c r="A156" i="30"/>
  <c r="A155" i="30"/>
  <c r="A154" i="30"/>
  <c r="A144" i="30"/>
  <c r="A143" i="30"/>
  <c r="A142" i="30"/>
  <c r="A141" i="30"/>
  <c r="A140" i="30"/>
  <c r="A130" i="30"/>
  <c r="A129" i="30"/>
  <c r="A128" i="30"/>
  <c r="A127" i="30"/>
  <c r="A126" i="30"/>
  <c r="A116" i="30"/>
  <c r="A115" i="30"/>
  <c r="A114" i="30"/>
  <c r="A113" i="30"/>
  <c r="A112" i="30"/>
  <c r="A102" i="30"/>
  <c r="A101" i="30"/>
  <c r="A100" i="30"/>
  <c r="A99" i="30"/>
  <c r="A98" i="30"/>
  <c r="A88" i="30"/>
  <c r="A87" i="30"/>
  <c r="A86" i="30"/>
  <c r="A85" i="30"/>
  <c r="A84" i="30"/>
  <c r="A74" i="30"/>
  <c r="A73" i="30"/>
  <c r="A72" i="30"/>
  <c r="A71" i="30"/>
  <c r="A70" i="30"/>
  <c r="A60" i="30"/>
  <c r="A59" i="30"/>
  <c r="A58" i="30"/>
  <c r="A57" i="30"/>
  <c r="A56" i="30"/>
  <c r="A46" i="30"/>
  <c r="A45" i="30"/>
  <c r="A44" i="30"/>
  <c r="A43" i="30"/>
  <c r="A42" i="30"/>
  <c r="A32" i="30"/>
  <c r="A31" i="30"/>
  <c r="A30" i="30"/>
  <c r="A29" i="30"/>
  <c r="A28" i="30"/>
  <c r="A208" i="30"/>
  <c r="A207" i="30"/>
  <c r="A206" i="30"/>
  <c r="A194" i="30"/>
  <c r="A193" i="30"/>
  <c r="A192" i="30"/>
  <c r="A191" i="30"/>
  <c r="A180" i="30"/>
  <c r="A179" i="30"/>
  <c r="A178" i="30"/>
  <c r="A177" i="30"/>
  <c r="A166" i="30"/>
  <c r="A165" i="30"/>
  <c r="A164" i="30"/>
  <c r="A163" i="30"/>
  <c r="A152" i="30"/>
  <c r="A151" i="30"/>
  <c r="A150" i="30"/>
  <c r="A149" i="30"/>
  <c r="A138" i="30"/>
  <c r="A137" i="30"/>
  <c r="A136" i="30"/>
  <c r="A135" i="30"/>
  <c r="A124" i="30"/>
  <c r="A123" i="30"/>
  <c r="A122" i="30"/>
  <c r="A121" i="30"/>
  <c r="A110" i="30"/>
  <c r="A109" i="30"/>
  <c r="A108" i="30"/>
  <c r="A107" i="30"/>
  <c r="A96" i="30"/>
  <c r="A95" i="30"/>
  <c r="A94" i="30"/>
  <c r="A93" i="30"/>
  <c r="A82" i="30"/>
  <c r="A81" i="30"/>
  <c r="A80" i="30"/>
  <c r="A79" i="30"/>
  <c r="A68" i="30"/>
  <c r="A67" i="30"/>
  <c r="A66" i="30"/>
  <c r="A54" i="30"/>
  <c r="A53" i="30"/>
  <c r="A52" i="30"/>
  <c r="A51" i="30"/>
  <c r="A40" i="30"/>
  <c r="A39" i="30"/>
  <c r="A38" i="30"/>
  <c r="A37" i="30"/>
  <c r="A18" i="30"/>
  <c r="A17" i="30"/>
  <c r="A16" i="30"/>
  <c r="A15" i="30"/>
  <c r="A14" i="30"/>
  <c r="Y13" i="30"/>
  <c r="X13" i="30"/>
  <c r="W13" i="30"/>
  <c r="AC13" i="30"/>
  <c r="F13" i="30"/>
  <c r="A13" i="30"/>
  <c r="A12" i="30"/>
  <c r="A11" i="30"/>
  <c r="A19" i="30"/>
  <c r="W19" i="30"/>
  <c r="Z19" i="30"/>
  <c r="X19" i="30"/>
  <c r="Y19" i="30"/>
  <c r="A22" i="30"/>
  <c r="W22" i="30"/>
  <c r="Z22" i="30"/>
  <c r="X22" i="30"/>
  <c r="Y22" i="30"/>
  <c r="A10" i="30"/>
  <c r="AW32" i="12"/>
  <c r="AC22" i="30"/>
  <c r="AC19" i="30"/>
  <c r="Z13" i="30"/>
  <c r="AC39" i="34"/>
  <c r="AC38" i="34"/>
  <c r="AC37" i="34"/>
  <c r="AC36" i="34"/>
  <c r="AC35" i="34"/>
  <c r="D38" i="34"/>
  <c r="D37" i="34"/>
  <c r="D36" i="34"/>
  <c r="AD34" i="34"/>
  <c r="C34" i="34"/>
  <c r="AD46" i="34"/>
  <c r="C46" i="34"/>
  <c r="AD52" i="34"/>
  <c r="C52" i="34"/>
  <c r="AD40" i="34"/>
  <c r="C40" i="34"/>
  <c r="C32" i="12"/>
  <c r="AE52" i="34"/>
  <c r="AE46" i="34"/>
  <c r="AE40" i="34"/>
  <c r="AB110" i="47"/>
  <c r="AB225" i="47"/>
  <c r="AB343" i="47"/>
  <c r="D39" i="34"/>
  <c r="D35" i="34"/>
  <c r="C2" i="45"/>
  <c r="B2" i="9"/>
  <c r="C2" i="12"/>
  <c r="AF4" i="12"/>
  <c r="AF3" i="12"/>
  <c r="AO15" i="12"/>
  <c r="AS86" i="12"/>
  <c r="AP45" i="12"/>
  <c r="AP16" i="12"/>
  <c r="AD9" i="34"/>
  <c r="C9" i="34"/>
  <c r="AD21" i="34"/>
  <c r="D32" i="48"/>
  <c r="D34" i="48"/>
  <c r="D60" i="50"/>
  <c r="D61" i="50"/>
  <c r="D62" i="50"/>
  <c r="D63" i="50"/>
  <c r="D64" i="50"/>
  <c r="D65" i="50"/>
  <c r="D52" i="50"/>
  <c r="AP33" i="12"/>
  <c r="AP34" i="12"/>
  <c r="AP35" i="12"/>
  <c r="AP36" i="12"/>
  <c r="B36" i="12"/>
  <c r="AP37" i="12"/>
  <c r="AP38" i="12"/>
  <c r="AP39" i="12"/>
  <c r="B39" i="12"/>
  <c r="AP40" i="12"/>
  <c r="AP41" i="12"/>
  <c r="AM42" i="12"/>
  <c r="AW42" i="12"/>
  <c r="AP42" i="12"/>
  <c r="AM43" i="12"/>
  <c r="AW43" i="12"/>
  <c r="AP43" i="12"/>
  <c r="AM44" i="12"/>
  <c r="AW44" i="12"/>
  <c r="AP44" i="12"/>
  <c r="AM45" i="12"/>
  <c r="AW45" i="12"/>
  <c r="AM46" i="12"/>
  <c r="AW46" i="12"/>
  <c r="AP46" i="12"/>
  <c r="AM47" i="12"/>
  <c r="AW47" i="12"/>
  <c r="AP47" i="12"/>
  <c r="AM48" i="12"/>
  <c r="AW48" i="12"/>
  <c r="AP48" i="12"/>
  <c r="AP49" i="12"/>
  <c r="AP50" i="12"/>
  <c r="AP51" i="12"/>
  <c r="AP52" i="12"/>
  <c r="AP53" i="12"/>
  <c r="AP54" i="12"/>
  <c r="AP55" i="12"/>
  <c r="AP56" i="12"/>
  <c r="AP57" i="12"/>
  <c r="AP58" i="12"/>
  <c r="AP59" i="12"/>
  <c r="AQ59" i="12"/>
  <c r="AM59" i="12"/>
  <c r="AW59" i="12"/>
  <c r="AP60" i="12"/>
  <c r="AQ60" i="12"/>
  <c r="AM60" i="12"/>
  <c r="AW60" i="12"/>
  <c r="AP61" i="12"/>
  <c r="AP62" i="12"/>
  <c r="AP63" i="12"/>
  <c r="B63" i="12"/>
  <c r="AM64" i="12"/>
  <c r="AW64" i="12"/>
  <c r="AP64" i="12"/>
  <c r="B64" i="12"/>
  <c r="C31" i="12"/>
  <c r="AB224" i="47"/>
  <c r="AC362" i="47"/>
  <c r="C33" i="12"/>
  <c r="AB344" i="47"/>
  <c r="AC361" i="47"/>
  <c r="C34" i="12"/>
  <c r="AC360" i="47"/>
  <c r="C35" i="12"/>
  <c r="AB346" i="47"/>
  <c r="AC366" i="47"/>
  <c r="C36" i="12"/>
  <c r="AB347" i="47"/>
  <c r="AC373" i="47"/>
  <c r="C37" i="12"/>
  <c r="AB230" i="47"/>
  <c r="C38" i="12"/>
  <c r="AB349" i="47"/>
  <c r="AC341" i="47"/>
  <c r="C39" i="12"/>
  <c r="AB232" i="47"/>
  <c r="AC342" i="47"/>
  <c r="C40" i="12"/>
  <c r="AB118" i="47"/>
  <c r="C41" i="12"/>
  <c r="AB119" i="47"/>
  <c r="C42" i="12"/>
  <c r="AB120" i="47"/>
  <c r="C43" i="12"/>
  <c r="AB236" i="47"/>
  <c r="C44" i="12"/>
  <c r="AB355" i="47"/>
  <c r="C45" i="12"/>
  <c r="AB123" i="47"/>
  <c r="C46" i="12"/>
  <c r="AB357" i="47"/>
  <c r="C47" i="12"/>
  <c r="C48" i="12"/>
  <c r="AB126" i="47"/>
  <c r="C49" i="12"/>
  <c r="AB242" i="47"/>
  <c r="C50" i="12"/>
  <c r="AB361" i="47"/>
  <c r="C51" i="12"/>
  <c r="AB129" i="47"/>
  <c r="C52" i="12"/>
  <c r="AB130" i="47"/>
  <c r="C53" i="12"/>
  <c r="AB131" i="47"/>
  <c r="C54" i="12"/>
  <c r="AB247" i="47"/>
  <c r="C55" i="12"/>
  <c r="C56" i="12"/>
  <c r="AB134" i="47"/>
  <c r="C57" i="12"/>
  <c r="AB135" i="47"/>
  <c r="C58" i="12"/>
  <c r="AB251" i="47"/>
  <c r="C59" i="12"/>
  <c r="AB252" i="47"/>
  <c r="C60" i="12"/>
  <c r="AB138" i="47"/>
  <c r="C61" i="12"/>
  <c r="AB254" i="47"/>
  <c r="C62" i="12"/>
  <c r="AB373" i="47"/>
  <c r="C63" i="12"/>
  <c r="AB141" i="47"/>
  <c r="C64" i="12"/>
  <c r="AB142" i="47"/>
  <c r="C30" i="12"/>
  <c r="AC363" i="47"/>
  <c r="AR378" i="47"/>
  <c r="AH378" i="47"/>
  <c r="AC244" i="47"/>
  <c r="D336" i="47"/>
  <c r="C376" i="9"/>
  <c r="C375" i="47"/>
  <c r="C375" i="9"/>
  <c r="C374" i="47"/>
  <c r="C374" i="9"/>
  <c r="C373" i="47"/>
  <c r="C373" i="9"/>
  <c r="C372" i="47"/>
  <c r="C372" i="9"/>
  <c r="C371" i="47"/>
  <c r="C371" i="9"/>
  <c r="C370" i="47"/>
  <c r="C370" i="9"/>
  <c r="C369" i="47"/>
  <c r="C369" i="9"/>
  <c r="C368" i="47"/>
  <c r="C368" i="9"/>
  <c r="C367" i="47"/>
  <c r="C367" i="9"/>
  <c r="C366" i="47"/>
  <c r="C366" i="9"/>
  <c r="C365" i="47"/>
  <c r="C365" i="9"/>
  <c r="C364" i="47"/>
  <c r="C364" i="9"/>
  <c r="C363" i="47"/>
  <c r="C363" i="9"/>
  <c r="C362" i="47"/>
  <c r="C362" i="9"/>
  <c r="C361" i="47"/>
  <c r="C361" i="9"/>
  <c r="C360" i="47"/>
  <c r="C360" i="9"/>
  <c r="C359" i="47"/>
  <c r="C359" i="9"/>
  <c r="C358" i="47"/>
  <c r="C358" i="9"/>
  <c r="C357" i="47"/>
  <c r="C357" i="9"/>
  <c r="C356" i="47"/>
  <c r="C356" i="9"/>
  <c r="C355" i="47"/>
  <c r="C355" i="9"/>
  <c r="C354" i="47"/>
  <c r="C354" i="9"/>
  <c r="C353" i="47"/>
  <c r="C353" i="9"/>
  <c r="C352" i="47"/>
  <c r="C352" i="9"/>
  <c r="C351" i="47"/>
  <c r="C351" i="9"/>
  <c r="C350" i="47"/>
  <c r="C350" i="9"/>
  <c r="C349" i="47"/>
  <c r="C349" i="9"/>
  <c r="C348" i="47"/>
  <c r="C348" i="9"/>
  <c r="C347" i="47"/>
  <c r="C347" i="9"/>
  <c r="C346" i="47"/>
  <c r="C346" i="9"/>
  <c r="C345" i="47"/>
  <c r="C345" i="9"/>
  <c r="C344" i="47"/>
  <c r="C344" i="9"/>
  <c r="C342" i="47"/>
  <c r="C342" i="9"/>
  <c r="C341" i="47"/>
  <c r="C341" i="9"/>
  <c r="AD336" i="47"/>
  <c r="AC345" i="47"/>
  <c r="AC359" i="47"/>
  <c r="AC372" i="47"/>
  <c r="AC374" i="47"/>
  <c r="AC371" i="47"/>
  <c r="AC370" i="47"/>
  <c r="D218" i="47"/>
  <c r="AD218" i="47"/>
  <c r="AC347" i="47"/>
  <c r="AC344" i="47"/>
  <c r="AC346" i="47"/>
  <c r="AC348" i="47"/>
  <c r="AC349" i="47"/>
  <c r="AC350" i="47"/>
  <c r="AC351" i="47"/>
  <c r="AC352" i="47"/>
  <c r="AC353" i="47"/>
  <c r="AC354" i="47"/>
  <c r="AC355" i="47"/>
  <c r="AC356" i="47"/>
  <c r="AC357" i="47"/>
  <c r="AC358" i="47"/>
  <c r="AC364" i="47"/>
  <c r="AC365" i="47"/>
  <c r="AC367" i="47"/>
  <c r="AC368" i="47"/>
  <c r="AC369" i="47"/>
  <c r="AC375" i="47"/>
  <c r="W22" i="1"/>
  <c r="K14" i="1"/>
  <c r="W34" i="1"/>
  <c r="W33" i="1"/>
  <c r="W32" i="1"/>
  <c r="W29" i="1"/>
  <c r="K19" i="1"/>
  <c r="A47" i="19"/>
  <c r="X24" i="19"/>
  <c r="Y24" i="19"/>
  <c r="W24" i="19"/>
  <c r="T24" i="19"/>
  <c r="A43" i="19"/>
  <c r="A48" i="19"/>
  <c r="A46" i="19"/>
  <c r="D56" i="19"/>
  <c r="E56" i="19"/>
  <c r="AM99" i="12"/>
  <c r="AP65" i="12"/>
  <c r="AM65" i="12"/>
  <c r="C99" i="12"/>
  <c r="C98" i="12"/>
  <c r="AM98" i="12"/>
  <c r="AW98" i="12"/>
  <c r="AM100" i="12"/>
  <c r="C100" i="12"/>
  <c r="AM101" i="12"/>
  <c r="C101" i="12"/>
  <c r="D68" i="50"/>
  <c r="D67" i="50"/>
  <c r="D66" i="50"/>
  <c r="D59" i="50"/>
  <c r="D58" i="50"/>
  <c r="D57" i="50"/>
  <c r="D54" i="50"/>
  <c r="D53" i="50"/>
  <c r="D51" i="50"/>
  <c r="D50" i="50"/>
  <c r="D49" i="50"/>
  <c r="D48" i="50"/>
  <c r="D47" i="50"/>
  <c r="D46" i="50"/>
  <c r="D44" i="50"/>
  <c r="D43" i="50"/>
  <c r="D81" i="50"/>
  <c r="D77" i="50"/>
  <c r="D79" i="50"/>
  <c r="D80" i="50"/>
  <c r="D75" i="50"/>
  <c r="D78" i="50"/>
  <c r="D70" i="50"/>
  <c r="D71" i="50"/>
  <c r="D72" i="50"/>
  <c r="D73" i="50"/>
  <c r="D74" i="50"/>
  <c r="D69" i="50"/>
  <c r="D45" i="50"/>
  <c r="D55" i="50"/>
  <c r="D41" i="50"/>
  <c r="D35" i="50"/>
  <c r="D36" i="50"/>
  <c r="D37" i="50"/>
  <c r="D38" i="50"/>
  <c r="D39" i="50"/>
  <c r="D29" i="50"/>
  <c r="D30" i="50"/>
  <c r="D31" i="50"/>
  <c r="D32" i="50"/>
  <c r="D22" i="50"/>
  <c r="D23" i="50"/>
  <c r="D24" i="50"/>
  <c r="D25" i="50"/>
  <c r="D26" i="50"/>
  <c r="D27" i="50"/>
  <c r="D20" i="50"/>
  <c r="D21" i="50"/>
  <c r="D6" i="50"/>
  <c r="D7" i="50"/>
  <c r="D8" i="50"/>
  <c r="D9" i="50"/>
  <c r="D10" i="50"/>
  <c r="D11" i="50"/>
  <c r="D12" i="50"/>
  <c r="D13" i="50"/>
  <c r="D14" i="50"/>
  <c r="D15" i="50"/>
  <c r="D16" i="50"/>
  <c r="D17" i="50"/>
  <c r="D18" i="50"/>
  <c r="D83" i="50"/>
  <c r="D84" i="50"/>
  <c r="AE10" i="34"/>
  <c r="AD10" i="34"/>
  <c r="C10" i="34"/>
  <c r="AE11" i="34"/>
  <c r="AD11" i="34"/>
  <c r="C11" i="34"/>
  <c r="AE12" i="34"/>
  <c r="AD12" i="34"/>
  <c r="C12" i="34"/>
  <c r="AE22" i="34"/>
  <c r="AD22" i="34"/>
  <c r="C22" i="34"/>
  <c r="AE23" i="34"/>
  <c r="AD23" i="34"/>
  <c r="C23" i="34"/>
  <c r="AE24" i="34"/>
  <c r="AD24" i="34"/>
  <c r="C24" i="34"/>
  <c r="X31" i="45"/>
  <c r="B31" i="45"/>
  <c r="X30" i="45"/>
  <c r="B30" i="45"/>
  <c r="D67" i="45"/>
  <c r="AW13" i="45"/>
  <c r="C67" i="45"/>
  <c r="D66" i="45"/>
  <c r="AM66" i="45"/>
  <c r="C66" i="45"/>
  <c r="D65" i="45"/>
  <c r="AM65" i="45"/>
  <c r="C65" i="45"/>
  <c r="D64" i="45"/>
  <c r="AM64" i="45"/>
  <c r="C64" i="45"/>
  <c r="D63" i="45"/>
  <c r="AM63" i="45"/>
  <c r="C63" i="45"/>
  <c r="D62" i="45"/>
  <c r="AM62" i="45"/>
  <c r="C62" i="45"/>
  <c r="D61" i="45"/>
  <c r="AM61" i="45"/>
  <c r="C61" i="45"/>
  <c r="D60" i="45"/>
  <c r="AM60" i="45"/>
  <c r="C60" i="45"/>
  <c r="D59" i="45"/>
  <c r="AM59" i="45"/>
  <c r="C59" i="45"/>
  <c r="D58" i="45"/>
  <c r="AM58" i="45"/>
  <c r="C58" i="45"/>
  <c r="D57" i="45"/>
  <c r="AM57" i="45"/>
  <c r="C57" i="45"/>
  <c r="D56" i="45"/>
  <c r="AM56" i="45"/>
  <c r="C56" i="45"/>
  <c r="D55" i="45"/>
  <c r="AM55" i="45"/>
  <c r="C55" i="45"/>
  <c r="D54" i="45"/>
  <c r="AM54" i="45"/>
  <c r="AW54" i="45"/>
  <c r="C54" i="45"/>
  <c r="D53" i="45"/>
  <c r="AM53" i="45"/>
  <c r="AW53" i="45"/>
  <c r="C53" i="45"/>
  <c r="D52" i="45"/>
  <c r="AM52" i="45"/>
  <c r="C52" i="45"/>
  <c r="D51" i="45"/>
  <c r="AM51" i="45"/>
  <c r="C51" i="45"/>
  <c r="D50" i="45"/>
  <c r="AM50" i="45"/>
  <c r="C50" i="45"/>
  <c r="D49" i="45"/>
  <c r="AM49" i="45"/>
  <c r="C49" i="45"/>
  <c r="D48" i="45"/>
  <c r="AM48" i="45"/>
  <c r="C48" i="45"/>
  <c r="D47" i="45"/>
  <c r="AM47" i="45"/>
  <c r="AW47" i="45"/>
  <c r="C47" i="45"/>
  <c r="D46" i="45"/>
  <c r="AM46" i="45"/>
  <c r="AW46" i="45"/>
  <c r="C46" i="45"/>
  <c r="D45" i="45"/>
  <c r="AM45" i="45"/>
  <c r="C45" i="45"/>
  <c r="D44" i="45"/>
  <c r="AM44" i="45"/>
  <c r="C44" i="45"/>
  <c r="D43" i="45"/>
  <c r="AM43" i="45"/>
  <c r="AW43" i="45"/>
  <c r="C43" i="45"/>
  <c r="D42" i="45"/>
  <c r="AM42" i="45"/>
  <c r="AW42" i="45"/>
  <c r="C42" i="45"/>
  <c r="D41" i="45"/>
  <c r="AM41" i="45"/>
  <c r="C41" i="45"/>
  <c r="D40" i="45"/>
  <c r="AM40" i="45"/>
  <c r="C40" i="45"/>
  <c r="D39" i="45"/>
  <c r="AM39" i="45"/>
  <c r="C39" i="45"/>
  <c r="D38" i="45"/>
  <c r="AM38" i="45"/>
  <c r="C38" i="45"/>
  <c r="D37" i="45"/>
  <c r="AM37" i="45"/>
  <c r="C37" i="45"/>
  <c r="D36" i="45"/>
  <c r="AM36" i="45"/>
  <c r="C36" i="45"/>
  <c r="D35" i="45"/>
  <c r="AM35" i="45"/>
  <c r="C35" i="45"/>
  <c r="D34" i="45"/>
  <c r="AM34" i="45"/>
  <c r="C34" i="45"/>
  <c r="D33" i="45"/>
  <c r="AM33" i="45"/>
  <c r="AW33" i="45"/>
  <c r="C33" i="45"/>
  <c r="D31" i="45"/>
  <c r="AM31" i="45"/>
  <c r="C31" i="45"/>
  <c r="D30" i="45"/>
  <c r="AM30" i="45"/>
  <c r="AW30" i="45"/>
  <c r="C30" i="45"/>
  <c r="X16" i="45"/>
  <c r="AP46" i="45"/>
  <c r="X46" i="45"/>
  <c r="B46" i="45"/>
  <c r="AU29" i="45"/>
  <c r="AP30" i="45"/>
  <c r="AP31" i="45"/>
  <c r="AP33" i="45"/>
  <c r="AP34" i="45"/>
  <c r="AP35" i="45"/>
  <c r="AP36" i="45"/>
  <c r="AP37" i="45"/>
  <c r="AP38" i="45"/>
  <c r="AP39" i="45"/>
  <c r="AP40" i="45"/>
  <c r="AP41" i="45"/>
  <c r="AP42" i="45"/>
  <c r="AP43" i="45"/>
  <c r="AP44" i="45"/>
  <c r="AP45" i="45"/>
  <c r="AP47" i="45"/>
  <c r="AP48" i="45"/>
  <c r="AP49" i="45"/>
  <c r="AP50" i="45"/>
  <c r="AP51" i="45"/>
  <c r="AP52" i="45"/>
  <c r="AP53" i="45"/>
  <c r="AP54" i="45"/>
  <c r="AP55" i="45"/>
  <c r="AP56" i="45"/>
  <c r="AP57" i="45"/>
  <c r="AP58" i="45"/>
  <c r="AP59" i="45"/>
  <c r="AQ59" i="45"/>
  <c r="AP60" i="45"/>
  <c r="AQ60" i="45"/>
  <c r="AP61" i="45"/>
  <c r="AP62" i="45"/>
  <c r="AP63" i="45"/>
  <c r="AP64" i="45"/>
  <c r="AP65" i="45"/>
  <c r="W27" i="30"/>
  <c r="AC27" i="30"/>
  <c r="X27" i="30"/>
  <c r="Y27" i="30"/>
  <c r="C239" i="47"/>
  <c r="C239" i="9"/>
  <c r="C124" i="47"/>
  <c r="C124" i="9"/>
  <c r="D103" i="47"/>
  <c r="AD103" i="47"/>
  <c r="AC124" i="47"/>
  <c r="AC239" i="47"/>
  <c r="C123" i="47"/>
  <c r="C123" i="9"/>
  <c r="T2" i="30"/>
  <c r="C102" i="12"/>
  <c r="C97" i="12"/>
  <c r="C86" i="12"/>
  <c r="C85" i="12"/>
  <c r="C84" i="12"/>
  <c r="C83" i="12"/>
  <c r="C82" i="12"/>
  <c r="C81" i="12"/>
  <c r="C80" i="12"/>
  <c r="C79" i="12"/>
  <c r="C78" i="12"/>
  <c r="C77" i="12"/>
  <c r="C76" i="12"/>
  <c r="C67" i="12"/>
  <c r="C66" i="12"/>
  <c r="C65" i="12"/>
  <c r="E67" i="45"/>
  <c r="AP67" i="45"/>
  <c r="F148" i="30"/>
  <c r="F120" i="30"/>
  <c r="F50" i="30"/>
  <c r="W33" i="30"/>
  <c r="AC33" i="30"/>
  <c r="W36" i="30"/>
  <c r="Z36" i="30"/>
  <c r="W41" i="30"/>
  <c r="AC41" i="30"/>
  <c r="W47" i="30"/>
  <c r="AC47" i="30"/>
  <c r="W50" i="30"/>
  <c r="AC50" i="30"/>
  <c r="W55" i="30"/>
  <c r="Z55" i="30"/>
  <c r="W61" i="30"/>
  <c r="AC61" i="30"/>
  <c r="W69" i="30"/>
  <c r="AC69" i="30"/>
  <c r="W75" i="30"/>
  <c r="Z75" i="30"/>
  <c r="W78" i="30"/>
  <c r="AC78" i="30"/>
  <c r="W83" i="30"/>
  <c r="AC83" i="30"/>
  <c r="W89" i="30"/>
  <c r="AC89" i="30"/>
  <c r="W92" i="30"/>
  <c r="AC92" i="30"/>
  <c r="W97" i="30"/>
  <c r="AC97" i="30"/>
  <c r="W103" i="30"/>
  <c r="AC103" i="30"/>
  <c r="W106" i="30"/>
  <c r="AC106" i="30"/>
  <c r="W111" i="30"/>
  <c r="Z111" i="30"/>
  <c r="W117" i="30"/>
  <c r="AC117" i="30"/>
  <c r="W120" i="30"/>
  <c r="Z120" i="30"/>
  <c r="W125" i="30"/>
  <c r="AC125" i="30"/>
  <c r="W131" i="30"/>
  <c r="AC131" i="30"/>
  <c r="W134" i="30"/>
  <c r="AC134" i="30"/>
  <c r="W139" i="30"/>
  <c r="AC139" i="30"/>
  <c r="W145" i="30"/>
  <c r="AC145" i="30"/>
  <c r="W148" i="30"/>
  <c r="AC148" i="30"/>
  <c r="W153" i="30"/>
  <c r="AC153" i="30"/>
  <c r="W159" i="30"/>
  <c r="Z159" i="30"/>
  <c r="W162" i="30"/>
  <c r="AC162" i="30"/>
  <c r="W167" i="30"/>
  <c r="Z167" i="30"/>
  <c r="W173" i="30"/>
  <c r="Z173" i="30"/>
  <c r="W176" i="30"/>
  <c r="Z176" i="30"/>
  <c r="W181" i="30"/>
  <c r="AC181" i="30"/>
  <c r="W187" i="30"/>
  <c r="AC187" i="30"/>
  <c r="W190" i="30"/>
  <c r="AC190" i="30"/>
  <c r="W195" i="30"/>
  <c r="AC195" i="30"/>
  <c r="W201" i="30"/>
  <c r="AC201" i="30"/>
  <c r="W209" i="30"/>
  <c r="AC209" i="30"/>
  <c r="W215" i="30"/>
  <c r="Z215" i="30"/>
  <c r="B16" i="12"/>
  <c r="Y215" i="30"/>
  <c r="X215" i="30"/>
  <c r="Y209" i="30"/>
  <c r="X209" i="30"/>
  <c r="Y201" i="30"/>
  <c r="X201" i="30"/>
  <c r="Y195" i="30"/>
  <c r="X195" i="30"/>
  <c r="Y190" i="30"/>
  <c r="X190" i="30"/>
  <c r="Y187" i="30"/>
  <c r="X187" i="30"/>
  <c r="Y181" i="30"/>
  <c r="X181" i="30"/>
  <c r="Y176" i="30"/>
  <c r="X176" i="30"/>
  <c r="Y173" i="30"/>
  <c r="Y167" i="30"/>
  <c r="Y162" i="30"/>
  <c r="X173" i="30"/>
  <c r="X167" i="30"/>
  <c r="X162" i="30"/>
  <c r="Y159" i="30"/>
  <c r="X159" i="30"/>
  <c r="Y153" i="30"/>
  <c r="X153" i="30"/>
  <c r="Y148" i="30"/>
  <c r="X148" i="30"/>
  <c r="Y145" i="30"/>
  <c r="X145" i="30"/>
  <c r="Y139" i="30"/>
  <c r="X139" i="30"/>
  <c r="Y134" i="30"/>
  <c r="X134" i="30"/>
  <c r="Y131" i="30"/>
  <c r="X131" i="30"/>
  <c r="Y125" i="30"/>
  <c r="X125" i="30"/>
  <c r="Y120" i="30"/>
  <c r="X120" i="30"/>
  <c r="Y117" i="30"/>
  <c r="X117" i="30"/>
  <c r="Y111" i="30"/>
  <c r="X111" i="30"/>
  <c r="Y106" i="30"/>
  <c r="X106" i="30"/>
  <c r="Y103" i="30"/>
  <c r="X103" i="30"/>
  <c r="Y97" i="30"/>
  <c r="X97" i="30"/>
  <c r="Y92" i="30"/>
  <c r="X92" i="30"/>
  <c r="Y89" i="30"/>
  <c r="X89" i="30"/>
  <c r="Y83" i="30"/>
  <c r="X83" i="30"/>
  <c r="Y78" i="30"/>
  <c r="X78" i="30"/>
  <c r="Y75" i="30"/>
  <c r="X75" i="30"/>
  <c r="Y69" i="30"/>
  <c r="X69" i="30"/>
  <c r="Y61" i="30"/>
  <c r="X61" i="30"/>
  <c r="Y55" i="30"/>
  <c r="X55" i="30"/>
  <c r="Y50" i="30"/>
  <c r="X50" i="30"/>
  <c r="Y47" i="30"/>
  <c r="X47" i="30"/>
  <c r="Y41" i="30"/>
  <c r="X41" i="30"/>
  <c r="Y36" i="30"/>
  <c r="X36" i="30"/>
  <c r="Y33" i="30"/>
  <c r="X33" i="30"/>
  <c r="E54" i="48"/>
  <c r="B18" i="12"/>
  <c r="B19" i="12"/>
  <c r="B20" i="12"/>
  <c r="B21" i="12"/>
  <c r="B65" i="12"/>
  <c r="AM31" i="12"/>
  <c r="AM30" i="12"/>
  <c r="AW30" i="12"/>
  <c r="X34" i="45"/>
  <c r="B34" i="45"/>
  <c r="X35" i="45"/>
  <c r="B35" i="45"/>
  <c r="X36" i="45"/>
  <c r="B36" i="45"/>
  <c r="X37" i="45"/>
  <c r="B37" i="45"/>
  <c r="X38" i="45"/>
  <c r="B38" i="45"/>
  <c r="X39" i="45"/>
  <c r="B39" i="45"/>
  <c r="X40" i="45"/>
  <c r="B40" i="45"/>
  <c r="X41" i="45"/>
  <c r="B41" i="45"/>
  <c r="X42" i="45"/>
  <c r="B42" i="45"/>
  <c r="X43" i="45"/>
  <c r="B43" i="45"/>
  <c r="X44" i="45"/>
  <c r="B44" i="45"/>
  <c r="X45" i="45"/>
  <c r="B45" i="45"/>
  <c r="X47" i="45"/>
  <c r="B47" i="45"/>
  <c r="X48" i="45"/>
  <c r="B48" i="45"/>
  <c r="X49" i="45"/>
  <c r="B49" i="45"/>
  <c r="X50" i="45"/>
  <c r="B50" i="45"/>
  <c r="X51" i="45"/>
  <c r="B51" i="45"/>
  <c r="X52" i="45"/>
  <c r="B52" i="45"/>
  <c r="X53" i="45"/>
  <c r="B53" i="45"/>
  <c r="X54" i="45"/>
  <c r="B54" i="45"/>
  <c r="X55" i="45"/>
  <c r="B55" i="45"/>
  <c r="X56" i="45"/>
  <c r="B56" i="45"/>
  <c r="X57" i="45"/>
  <c r="B57" i="45"/>
  <c r="X58" i="45"/>
  <c r="B58" i="45"/>
  <c r="X59" i="45"/>
  <c r="B59" i="45"/>
  <c r="X60" i="45"/>
  <c r="B60" i="45"/>
  <c r="X61" i="45"/>
  <c r="B61" i="45"/>
  <c r="X62" i="45"/>
  <c r="B62" i="45"/>
  <c r="X63" i="45"/>
  <c r="B63" i="45"/>
  <c r="X64" i="45"/>
  <c r="B64" i="45"/>
  <c r="X18" i="45"/>
  <c r="B18" i="45"/>
  <c r="X33" i="45"/>
  <c r="X65" i="45"/>
  <c r="B65" i="45"/>
  <c r="W12" i="45"/>
  <c r="AS84" i="12"/>
  <c r="AS82" i="45"/>
  <c r="AS85" i="45"/>
  <c r="AN18" i="45"/>
  <c r="AM18" i="45"/>
  <c r="AM86" i="45"/>
  <c r="AM85" i="45"/>
  <c r="AM84" i="45"/>
  <c r="AM83" i="45"/>
  <c r="AM82" i="45"/>
  <c r="AM81" i="45"/>
  <c r="AM80" i="45"/>
  <c r="AM79" i="45"/>
  <c r="AM78" i="45"/>
  <c r="AM77" i="45"/>
  <c r="AM76" i="45"/>
  <c r="AQ67" i="45"/>
  <c r="AM16" i="45"/>
  <c r="AP66" i="12"/>
  <c r="E294" i="9"/>
  <c r="AM66" i="12"/>
  <c r="AW66" i="12"/>
  <c r="C299" i="9"/>
  <c r="C298" i="9"/>
  <c r="C297" i="9"/>
  <c r="C296" i="9"/>
  <c r="F295" i="9"/>
  <c r="B261" i="9"/>
  <c r="C258" i="9"/>
  <c r="C257" i="47"/>
  <c r="C257" i="9"/>
  <c r="C256" i="47"/>
  <c r="C256" i="9"/>
  <c r="C255" i="47"/>
  <c r="C255" i="9"/>
  <c r="C254" i="47"/>
  <c r="C254" i="9"/>
  <c r="C253" i="47"/>
  <c r="C253" i="9"/>
  <c r="C252" i="47"/>
  <c r="C252" i="9"/>
  <c r="C251" i="47"/>
  <c r="C251" i="9"/>
  <c r="C250" i="47"/>
  <c r="C250" i="9"/>
  <c r="C249" i="47"/>
  <c r="C249" i="9"/>
  <c r="C248" i="47"/>
  <c r="C248" i="9"/>
  <c r="C247" i="47"/>
  <c r="C247" i="9"/>
  <c r="C246" i="47"/>
  <c r="C246" i="9"/>
  <c r="C245" i="47"/>
  <c r="C245" i="9"/>
  <c r="C244" i="47"/>
  <c r="C244" i="9"/>
  <c r="C243" i="47"/>
  <c r="C243" i="9"/>
  <c r="C242" i="47"/>
  <c r="C242" i="9"/>
  <c r="C241" i="47"/>
  <c r="C241" i="9"/>
  <c r="C240" i="47"/>
  <c r="C240" i="9"/>
  <c r="C238" i="47"/>
  <c r="C238" i="9"/>
  <c r="C237" i="47"/>
  <c r="C237" i="9"/>
  <c r="C236" i="47"/>
  <c r="C236" i="9"/>
  <c r="C235" i="47"/>
  <c r="C235" i="9"/>
  <c r="C234" i="47"/>
  <c r="C234" i="9"/>
  <c r="C233" i="47"/>
  <c r="C233" i="9"/>
  <c r="C232" i="47"/>
  <c r="C232" i="9"/>
  <c r="C231" i="47"/>
  <c r="C231" i="9"/>
  <c r="C230" i="47"/>
  <c r="C230" i="9"/>
  <c r="C229" i="47"/>
  <c r="C229" i="9"/>
  <c r="C228" i="47"/>
  <c r="C228" i="9"/>
  <c r="C227" i="47"/>
  <c r="C227" i="9"/>
  <c r="C226" i="47"/>
  <c r="C226" i="9"/>
  <c r="C224" i="47"/>
  <c r="C224" i="9"/>
  <c r="C223" i="47"/>
  <c r="C223" i="9"/>
  <c r="L222" i="9"/>
  <c r="K222" i="9"/>
  <c r="J222" i="9"/>
  <c r="I222" i="9"/>
  <c r="H222" i="9"/>
  <c r="G222" i="9"/>
  <c r="F222" i="9"/>
  <c r="E222" i="9"/>
  <c r="D222" i="9"/>
  <c r="C222" i="9"/>
  <c r="K221" i="9"/>
  <c r="B184" i="9"/>
  <c r="E176" i="9"/>
  <c r="AN76" i="12"/>
  <c r="AO76" i="12"/>
  <c r="AN77" i="12"/>
  <c r="AO77" i="12"/>
  <c r="AN78" i="12"/>
  <c r="AO78" i="12"/>
  <c r="AN79" i="12"/>
  <c r="AO79" i="12"/>
  <c r="AN80" i="12"/>
  <c r="AO80" i="12"/>
  <c r="AN81" i="12"/>
  <c r="AO81" i="12"/>
  <c r="AN82" i="12"/>
  <c r="AN83" i="12"/>
  <c r="AN84" i="12"/>
  <c r="AN85" i="12"/>
  <c r="AN86" i="12"/>
  <c r="C181" i="9"/>
  <c r="C180" i="9"/>
  <c r="C179" i="9"/>
  <c r="C178" i="9"/>
  <c r="F177" i="9"/>
  <c r="C177" i="9"/>
  <c r="B147" i="9"/>
  <c r="C143" i="9"/>
  <c r="C142" i="47"/>
  <c r="C142" i="9"/>
  <c r="C141" i="47"/>
  <c r="C141" i="9"/>
  <c r="C140" i="47"/>
  <c r="C140" i="9"/>
  <c r="C139" i="47"/>
  <c r="C139" i="9"/>
  <c r="C138" i="47"/>
  <c r="C138" i="9"/>
  <c r="C137" i="47"/>
  <c r="C137" i="9"/>
  <c r="C136" i="47"/>
  <c r="C136" i="9"/>
  <c r="C135" i="47"/>
  <c r="C135" i="9"/>
  <c r="C134" i="47"/>
  <c r="C134" i="9"/>
  <c r="C133" i="47"/>
  <c r="C133" i="9"/>
  <c r="C132" i="47"/>
  <c r="C132" i="9"/>
  <c r="C131" i="47"/>
  <c r="C131" i="9"/>
  <c r="C130" i="47"/>
  <c r="C130" i="9"/>
  <c r="C129" i="47"/>
  <c r="C129" i="9"/>
  <c r="C128" i="47"/>
  <c r="C128" i="9"/>
  <c r="C127" i="47"/>
  <c r="C127" i="9"/>
  <c r="C126" i="47"/>
  <c r="C126" i="9"/>
  <c r="C125" i="47"/>
  <c r="C125" i="9"/>
  <c r="C122" i="47"/>
  <c r="C122" i="9"/>
  <c r="C121" i="47"/>
  <c r="C121" i="9"/>
  <c r="C120" i="47"/>
  <c r="C120" i="9"/>
  <c r="C119" i="47"/>
  <c r="C119" i="9"/>
  <c r="C118" i="47"/>
  <c r="C118" i="9"/>
  <c r="C117" i="47"/>
  <c r="C117" i="9"/>
  <c r="C116" i="47"/>
  <c r="C116" i="9"/>
  <c r="C115" i="47"/>
  <c r="C115" i="9"/>
  <c r="C114" i="47"/>
  <c r="C114" i="9"/>
  <c r="C113" i="47"/>
  <c r="C113" i="9"/>
  <c r="C112" i="47"/>
  <c r="C112" i="9"/>
  <c r="C111" i="47"/>
  <c r="C111" i="9"/>
  <c r="C109" i="47"/>
  <c r="C109" i="9"/>
  <c r="C108" i="47"/>
  <c r="C108" i="9"/>
  <c r="L107" i="9"/>
  <c r="K107" i="9"/>
  <c r="J107" i="9"/>
  <c r="I107" i="9"/>
  <c r="H107" i="9"/>
  <c r="G107" i="9"/>
  <c r="F107" i="9"/>
  <c r="E107" i="9"/>
  <c r="D107" i="9"/>
  <c r="C107" i="9"/>
  <c r="K106" i="9"/>
  <c r="E62" i="9"/>
  <c r="C67" i="9"/>
  <c r="C66" i="9"/>
  <c r="C65" i="9"/>
  <c r="C64" i="9"/>
  <c r="F63" i="9"/>
  <c r="C63" i="9"/>
  <c r="B31" i="9"/>
  <c r="J23" i="48"/>
  <c r="J22" i="48"/>
  <c r="W10" i="48"/>
  <c r="W11" i="48"/>
  <c r="W12" i="48"/>
  <c r="W13" i="48"/>
  <c r="W14" i="48"/>
  <c r="W9" i="48"/>
  <c r="D33" i="48"/>
  <c r="N7" i="48"/>
  <c r="AC109" i="47"/>
  <c r="AC141" i="47"/>
  <c r="AC108" i="47"/>
  <c r="AC129" i="47"/>
  <c r="AC128" i="47"/>
  <c r="AC120" i="47"/>
  <c r="AC127" i="47"/>
  <c r="AC130" i="47"/>
  <c r="AC133" i="47"/>
  <c r="AC140" i="47"/>
  <c r="AC139" i="47"/>
  <c r="AH145" i="47"/>
  <c r="AC224" i="47"/>
  <c r="AC223" i="47"/>
  <c r="AC226" i="47"/>
  <c r="AC227" i="47"/>
  <c r="AC228" i="47"/>
  <c r="AC229" i="47"/>
  <c r="AC230" i="47"/>
  <c r="AC231" i="47"/>
  <c r="AC232" i="47"/>
  <c r="AC233" i="47"/>
  <c r="AC234" i="47"/>
  <c r="AC235" i="47"/>
  <c r="AC236" i="47"/>
  <c r="AC237" i="47"/>
  <c r="AC238" i="47"/>
  <c r="AC240" i="47"/>
  <c r="AC241" i="47"/>
  <c r="AC242" i="47"/>
  <c r="AC243" i="47"/>
  <c r="AC245" i="47"/>
  <c r="AC246" i="47"/>
  <c r="AC247" i="47"/>
  <c r="AC248" i="47"/>
  <c r="AC249" i="47"/>
  <c r="AC250" i="47"/>
  <c r="AC251" i="47"/>
  <c r="AC252" i="47"/>
  <c r="AC253" i="47"/>
  <c r="AC254" i="47"/>
  <c r="AC255" i="47"/>
  <c r="AC256" i="47"/>
  <c r="AC257" i="47"/>
  <c r="AC111" i="47"/>
  <c r="AC112" i="47"/>
  <c r="AC113" i="47"/>
  <c r="AC114" i="47"/>
  <c r="AC115" i="47"/>
  <c r="AC116" i="47"/>
  <c r="AC117" i="47"/>
  <c r="AC118" i="47"/>
  <c r="AC119" i="47"/>
  <c r="AC121" i="47"/>
  <c r="AC122" i="47"/>
  <c r="AC123" i="47"/>
  <c r="AC125" i="47"/>
  <c r="AC126" i="47"/>
  <c r="AC131" i="47"/>
  <c r="AC132" i="47"/>
  <c r="AC134" i="47"/>
  <c r="AC135" i="47"/>
  <c r="AC136" i="47"/>
  <c r="AC137" i="47"/>
  <c r="AC138" i="47"/>
  <c r="AC142" i="47"/>
  <c r="AQ67" i="12"/>
  <c r="AM67" i="12"/>
  <c r="AW67" i="12"/>
  <c r="G5" i="9"/>
  <c r="AW13" i="12"/>
  <c r="AN2" i="30"/>
  <c r="AW12" i="12"/>
  <c r="AW11" i="12"/>
  <c r="W35" i="1"/>
  <c r="W19" i="1"/>
  <c r="J16" i="1"/>
  <c r="W36" i="1"/>
  <c r="J17" i="1"/>
  <c r="A26" i="19"/>
  <c r="A27" i="19"/>
  <c r="A28" i="19"/>
  <c r="A29" i="19"/>
  <c r="A30" i="19"/>
  <c r="A31" i="19"/>
  <c r="A32" i="19"/>
  <c r="A33" i="19"/>
  <c r="A34" i="19"/>
  <c r="A35" i="19"/>
  <c r="A36" i="19"/>
  <c r="A37" i="19"/>
  <c r="A38" i="19"/>
  <c r="A39" i="19"/>
  <c r="A40" i="19"/>
  <c r="A41" i="19"/>
  <c r="A42" i="19"/>
  <c r="A44" i="19"/>
  <c r="A45" i="19"/>
  <c r="A49" i="19"/>
  <c r="A50" i="19"/>
  <c r="A25" i="19"/>
  <c r="C24" i="19"/>
  <c r="D24" i="19"/>
  <c r="E24" i="19"/>
  <c r="F24" i="19"/>
  <c r="G24" i="19"/>
  <c r="H24" i="19"/>
  <c r="I24" i="19"/>
  <c r="J24" i="19"/>
  <c r="K24" i="19"/>
  <c r="L24" i="19"/>
  <c r="M24" i="19"/>
  <c r="N24" i="19"/>
  <c r="O24" i="19"/>
  <c r="P24" i="19"/>
  <c r="Q24" i="19"/>
  <c r="R24" i="19"/>
  <c r="S24" i="19"/>
  <c r="U24" i="19"/>
  <c r="V24" i="19"/>
  <c r="Z24" i="19"/>
  <c r="AA24" i="19"/>
  <c r="B24" i="19"/>
  <c r="C21" i="19"/>
  <c r="AR260" i="47"/>
  <c r="AH260" i="47"/>
  <c r="AR145" i="47"/>
  <c r="AP67" i="12"/>
  <c r="G5" i="47"/>
  <c r="A215" i="30"/>
  <c r="A209" i="30"/>
  <c r="A201" i="30"/>
  <c r="A195" i="30"/>
  <c r="A190" i="30"/>
  <c r="A187" i="30"/>
  <c r="A181" i="30"/>
  <c r="A176" i="30"/>
  <c r="A173" i="30"/>
  <c r="A167" i="30"/>
  <c r="A162" i="30"/>
  <c r="A159" i="30"/>
  <c r="A153" i="30"/>
  <c r="E148" i="30"/>
  <c r="A148" i="30"/>
  <c r="A145" i="30"/>
  <c r="A139" i="30"/>
  <c r="A134" i="30"/>
  <c r="E131" i="30"/>
  <c r="A131" i="30"/>
  <c r="A125" i="30"/>
  <c r="A120" i="30"/>
  <c r="A117" i="30"/>
  <c r="A111" i="30"/>
  <c r="A106" i="30"/>
  <c r="A103" i="30"/>
  <c r="A97" i="30"/>
  <c r="A92" i="30"/>
  <c r="E89" i="30"/>
  <c r="A89" i="30"/>
  <c r="A83" i="30"/>
  <c r="A78" i="30"/>
  <c r="A75" i="30"/>
  <c r="A69" i="30"/>
  <c r="A61" i="30"/>
  <c r="A55" i="30"/>
  <c r="A50" i="30"/>
  <c r="A47" i="30"/>
  <c r="A41" i="30"/>
  <c r="A36" i="30"/>
  <c r="A33" i="30"/>
  <c r="A27" i="30"/>
  <c r="A9" i="30"/>
  <c r="A8" i="30"/>
  <c r="A7" i="30"/>
  <c r="A6" i="30"/>
  <c r="A5" i="30"/>
  <c r="A4" i="30"/>
  <c r="BK2" i="30"/>
  <c r="BJ2" i="30"/>
  <c r="BI2" i="30"/>
  <c r="BH2" i="30"/>
  <c r="BG2" i="30"/>
  <c r="BF2" i="30"/>
  <c r="BE2" i="30"/>
  <c r="BD2" i="30"/>
  <c r="BC2" i="30"/>
  <c r="BB2" i="30"/>
  <c r="BA2" i="30"/>
  <c r="AZ2" i="30"/>
  <c r="AY2" i="30"/>
  <c r="AX2" i="30"/>
  <c r="AW2" i="30"/>
  <c r="AV2" i="30"/>
  <c r="AU2" i="30"/>
  <c r="AP2" i="30"/>
  <c r="AO2" i="30"/>
  <c r="AM2" i="30"/>
  <c r="AL2" i="30"/>
  <c r="AK2" i="30"/>
  <c r="AJ2" i="30"/>
  <c r="AI2" i="30"/>
  <c r="AH2" i="30"/>
  <c r="AG2" i="30"/>
  <c r="AF2" i="30"/>
  <c r="AE2" i="30"/>
  <c r="AD2" i="30"/>
  <c r="AC2" i="30"/>
  <c r="AB2" i="30"/>
  <c r="AA2" i="30"/>
  <c r="Z2" i="30"/>
  <c r="Y2" i="30"/>
  <c r="X2" i="30"/>
  <c r="W2" i="30"/>
  <c r="V2" i="30"/>
  <c r="U2" i="30"/>
  <c r="S2" i="30"/>
  <c r="R2" i="30"/>
  <c r="Q2" i="30"/>
  <c r="P2" i="30"/>
  <c r="O2" i="30"/>
  <c r="N2" i="30"/>
  <c r="M2" i="30"/>
  <c r="L2" i="30"/>
  <c r="K2" i="30"/>
  <c r="J2" i="30"/>
  <c r="I2" i="30"/>
  <c r="H2" i="30"/>
  <c r="G2" i="30"/>
  <c r="E2" i="30"/>
  <c r="D2" i="30"/>
  <c r="C2" i="30"/>
  <c r="B2" i="30"/>
  <c r="W31" i="1"/>
  <c r="J13" i="1"/>
  <c r="W30" i="1"/>
  <c r="W28" i="1"/>
  <c r="K18" i="1"/>
  <c r="W26" i="1"/>
  <c r="W25" i="1"/>
  <c r="I13" i="1"/>
  <c r="W24" i="1"/>
  <c r="L13" i="1"/>
  <c r="W23" i="1"/>
  <c r="W21" i="1"/>
  <c r="K13" i="1"/>
  <c r="W18" i="1"/>
  <c r="W17" i="1"/>
  <c r="J15" i="1"/>
  <c r="W16" i="1"/>
  <c r="I15" i="1"/>
  <c r="W15" i="1"/>
  <c r="I14" i="1"/>
  <c r="K15" i="1"/>
  <c r="W13" i="1"/>
  <c r="L12" i="1"/>
  <c r="M13" i="1"/>
  <c r="M12" i="1"/>
  <c r="J12" i="1"/>
  <c r="I12" i="1"/>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C5" i="19"/>
  <c r="B5" i="19"/>
  <c r="C4" i="19"/>
  <c r="B4" i="19"/>
  <c r="C3" i="19"/>
  <c r="B3" i="19"/>
  <c r="AM102" i="12"/>
  <c r="AW102" i="12"/>
  <c r="AM97" i="12"/>
  <c r="AW97" i="12"/>
  <c r="AU96" i="12"/>
  <c r="AM86" i="12"/>
  <c r="AM85" i="12"/>
  <c r="AM84" i="12"/>
  <c r="AM83" i="12"/>
  <c r="AM82" i="12"/>
  <c r="AM81" i="12"/>
  <c r="AM80" i="12"/>
  <c r="AM79" i="12"/>
  <c r="AM78" i="12"/>
  <c r="AM77" i="12"/>
  <c r="AM76" i="12"/>
  <c r="AO16" i="12"/>
  <c r="AM63" i="12"/>
  <c r="AM62" i="12"/>
  <c r="AW62" i="12"/>
  <c r="AM61" i="12"/>
  <c r="AW61" i="12"/>
  <c r="AM58" i="12"/>
  <c r="AW58" i="12"/>
  <c r="AM57" i="12"/>
  <c r="AM56" i="12"/>
  <c r="AW56" i="12"/>
  <c r="AM55" i="12"/>
  <c r="AM54" i="12"/>
  <c r="AW54" i="12"/>
  <c r="AM53" i="12"/>
  <c r="AW53" i="12"/>
  <c r="AM52" i="12"/>
  <c r="AM51" i="12"/>
  <c r="AM50" i="12"/>
  <c r="AW50" i="12"/>
  <c r="AM49" i="12"/>
  <c r="AW49" i="12"/>
  <c r="AM41" i="12"/>
  <c r="AW41" i="12"/>
  <c r="AM40" i="12"/>
  <c r="AM39" i="12"/>
  <c r="AM38" i="12"/>
  <c r="AM37" i="12"/>
  <c r="AW37" i="12"/>
  <c r="AM36" i="12"/>
  <c r="AW36" i="12"/>
  <c r="AM35" i="12"/>
  <c r="AW35" i="12"/>
  <c r="AM34" i="12"/>
  <c r="AW34" i="12"/>
  <c r="AM33" i="12"/>
  <c r="AW33" i="12"/>
  <c r="AQ22" i="12"/>
  <c r="AW21" i="12"/>
  <c r="AM21" i="12"/>
  <c r="AW20" i="12"/>
  <c r="AM20" i="12"/>
  <c r="AW19" i="12"/>
  <c r="AM19" i="12"/>
  <c r="AW18" i="12"/>
  <c r="AM18" i="12"/>
  <c r="AM16" i="12"/>
  <c r="X5" i="12"/>
  <c r="AA4" i="12"/>
  <c r="C22" i="45"/>
  <c r="C21" i="45"/>
  <c r="AS83" i="45"/>
  <c r="K17" i="1"/>
  <c r="AU96" i="45"/>
  <c r="K16" i="1"/>
  <c r="AS76" i="12"/>
  <c r="AP76" i="12"/>
  <c r="AR76" i="12"/>
  <c r="M14" i="1"/>
  <c r="AS86" i="45"/>
  <c r="AS83" i="12"/>
  <c r="X99" i="45"/>
  <c r="AD102" i="12"/>
  <c r="X102" i="45"/>
  <c r="B100" i="12"/>
  <c r="X100" i="45"/>
  <c r="B101" i="12"/>
  <c r="X101" i="45"/>
  <c r="AC98" i="12"/>
  <c r="X98" i="45"/>
  <c r="X86" i="45"/>
  <c r="B86" i="45"/>
  <c r="X78" i="45"/>
  <c r="B78" i="45"/>
  <c r="X84" i="45"/>
  <c r="B84" i="45"/>
  <c r="X80" i="45"/>
  <c r="B76" i="12"/>
  <c r="X79" i="45"/>
  <c r="B79" i="45"/>
  <c r="X82" i="45"/>
  <c r="B82" i="45"/>
  <c r="X85" i="45"/>
  <c r="B85" i="45"/>
  <c r="X81" i="45"/>
  <c r="X77" i="45"/>
  <c r="B77" i="45"/>
  <c r="X66" i="45"/>
  <c r="AD56" i="12"/>
  <c r="B67" i="12"/>
  <c r="AA53" i="12"/>
  <c r="AB59" i="12"/>
  <c r="AA48" i="12"/>
  <c r="AB42" i="12"/>
  <c r="AA43" i="12"/>
  <c r="AB34" i="12"/>
  <c r="AB41" i="12"/>
  <c r="AZ22" i="34" a="1"/>
  <c r="AZ22" i="34"/>
  <c r="BA22" i="34" a="1"/>
  <c r="BA22" i="34"/>
  <c r="AY22" i="34" a="1"/>
  <c r="AY22" i="34"/>
  <c r="AY24" i="34" a="1"/>
  <c r="AY24" i="34"/>
  <c r="AZ24" i="34" a="1"/>
  <c r="AZ24" i="34"/>
  <c r="BA24" i="34" a="1"/>
  <c r="BA24" i="34"/>
  <c r="BA23" i="34" a="1"/>
  <c r="BA23" i="34"/>
  <c r="AY23" i="34" a="1"/>
  <c r="AY23" i="34"/>
  <c r="AZ23" i="34" a="1"/>
  <c r="AZ23" i="34"/>
  <c r="AG27" i="45"/>
  <c r="AG94" i="45"/>
  <c r="AT96" i="45"/>
  <c r="AO18" i="45"/>
  <c r="S7" i="48"/>
  <c r="U7" i="48"/>
  <c r="Q7" i="48"/>
  <c r="R7" i="48"/>
  <c r="V7" i="48"/>
  <c r="T7" i="48"/>
  <c r="AO102" i="45"/>
  <c r="AO97" i="45"/>
  <c r="AO100" i="45"/>
  <c r="AO98" i="45"/>
  <c r="AO101" i="45"/>
  <c r="AO99" i="45"/>
  <c r="BP75" i="45"/>
  <c r="BN75" i="45"/>
  <c r="BO75" i="45"/>
  <c r="BY75" i="45"/>
  <c r="BX75" i="45"/>
  <c r="BZ75" i="45"/>
  <c r="BW75" i="45"/>
  <c r="CA75" i="45"/>
  <c r="CD75" i="45"/>
  <c r="CC75" i="45"/>
  <c r="CB75" i="45"/>
  <c r="BM75" i="45"/>
  <c r="BI75" i="45"/>
  <c r="BL75" i="45"/>
  <c r="BJ75" i="45"/>
  <c r="BK75" i="45"/>
  <c r="CH75" i="45"/>
  <c r="CH75" i="12"/>
  <c r="F99" i="45"/>
  <c r="F101" i="45"/>
  <c r="F97" i="45"/>
  <c r="F98" i="45"/>
  <c r="F100" i="45"/>
  <c r="AV96" i="45"/>
  <c r="F102" i="45"/>
  <c r="H102" i="45"/>
  <c r="AQ102" i="45"/>
  <c r="H99" i="45"/>
  <c r="AQ99" i="45"/>
  <c r="H98" i="45"/>
  <c r="AQ98" i="45"/>
  <c r="H97" i="45"/>
  <c r="AQ97" i="45"/>
  <c r="H100" i="45"/>
  <c r="AQ100" i="45"/>
  <c r="H101" i="45"/>
  <c r="AQ101" i="45"/>
  <c r="CG75" i="45"/>
  <c r="BU75" i="45"/>
  <c r="BQ75" i="45"/>
  <c r="BV75" i="12"/>
  <c r="CJ75" i="45"/>
  <c r="CF75" i="45"/>
  <c r="CJ75" i="12"/>
  <c r="BU75" i="12"/>
  <c r="BV75" i="45"/>
  <c r="BR75" i="45"/>
  <c r="CI75" i="12"/>
  <c r="CI75" i="45"/>
  <c r="BS75" i="45"/>
  <c r="CE75" i="45"/>
  <c r="B97" i="12"/>
  <c r="X97" i="45"/>
  <c r="N15" i="48"/>
  <c r="N5" i="48"/>
  <c r="N10" i="48"/>
  <c r="AW22" i="34" a="1"/>
  <c r="AW22" i="34"/>
  <c r="AP22" i="34" a="1"/>
  <c r="AP22" i="34"/>
  <c r="AT22" i="34" a="1"/>
  <c r="AT22" i="34"/>
  <c r="AX22" i="34" a="1"/>
  <c r="AX22" i="34"/>
  <c r="AQ22" i="34" a="1"/>
  <c r="AQ22" i="34"/>
  <c r="AV22" i="34" a="1"/>
  <c r="AV22" i="34"/>
  <c r="AO22" i="34" a="1"/>
  <c r="AO22" i="34"/>
  <c r="AU22" i="34" a="1"/>
  <c r="AU22" i="34"/>
  <c r="AR22" i="34" a="1"/>
  <c r="AR22" i="34"/>
  <c r="AN23" i="34" a="1"/>
  <c r="AN23" i="34"/>
  <c r="AV23" i="34" a="1"/>
  <c r="AV23" i="34"/>
  <c r="AP23" i="34" a="1"/>
  <c r="AP23" i="34"/>
  <c r="AW23" i="34" a="1"/>
  <c r="AW23" i="34"/>
  <c r="AU23" i="34" a="1"/>
  <c r="AU23" i="34"/>
  <c r="AO23" i="34" a="1"/>
  <c r="AO23" i="34"/>
  <c r="AQ23" i="34" a="1"/>
  <c r="AQ23" i="34"/>
  <c r="AT23" i="34" a="1"/>
  <c r="AT23" i="34"/>
  <c r="AX23" i="34" a="1"/>
  <c r="AX23" i="34"/>
  <c r="AR23" i="34" a="1"/>
  <c r="AR23" i="34"/>
  <c r="AU24" i="34" a="1"/>
  <c r="AU24" i="34"/>
  <c r="AP24" i="34" a="1"/>
  <c r="AP24" i="34"/>
  <c r="AV24" i="34" a="1"/>
  <c r="AV24" i="34"/>
  <c r="AQ24" i="34" a="1"/>
  <c r="AQ24" i="34"/>
  <c r="AT24" i="34" a="1"/>
  <c r="AT24" i="34"/>
  <c r="AX24" i="34" a="1"/>
  <c r="AX24" i="34"/>
  <c r="AO24" i="34" a="1"/>
  <c r="AO24" i="34"/>
  <c r="AW24" i="34" a="1"/>
  <c r="AW24" i="34"/>
  <c r="AR24" i="34" a="1"/>
  <c r="AR24" i="34"/>
  <c r="BX4" i="45"/>
  <c r="BJ4" i="45"/>
  <c r="BK4" i="45"/>
  <c r="BY4" i="12"/>
  <c r="BY4" i="45"/>
  <c r="BX4" i="12"/>
  <c r="BX6" i="12"/>
  <c r="BJ6" i="12"/>
  <c r="H32" i="45"/>
  <c r="BY6" i="45"/>
  <c r="BK6" i="45"/>
  <c r="BY6" i="12"/>
  <c r="BK6" i="12"/>
  <c r="F32" i="45"/>
  <c r="AQ32" i="45"/>
  <c r="BX6" i="45"/>
  <c r="BJ6" i="45"/>
  <c r="Y45" i="45"/>
  <c r="AB45" i="45"/>
  <c r="Y60" i="45"/>
  <c r="AA60" i="45"/>
  <c r="AS79" i="45"/>
  <c r="AS79" i="12"/>
  <c r="AQ79" i="12"/>
  <c r="K12" i="1"/>
  <c r="AS78" i="12"/>
  <c r="AP78" i="12"/>
  <c r="AR78" i="12"/>
  <c r="AS85" i="12"/>
  <c r="AS82" i="12"/>
  <c r="AS81" i="45"/>
  <c r="AS77" i="45"/>
  <c r="AS81" i="12"/>
  <c r="AQ81" i="12"/>
  <c r="AS77" i="12"/>
  <c r="AQ77" i="12"/>
  <c r="AS84" i="45"/>
  <c r="AS78" i="45"/>
  <c r="J14" i="1"/>
  <c r="AS80" i="45"/>
  <c r="AS76" i="45"/>
  <c r="AU29" i="12"/>
  <c r="AO32" i="45"/>
  <c r="AS80" i="12"/>
  <c r="AP80" i="12"/>
  <c r="AR80" i="12"/>
  <c r="BK4" i="12"/>
  <c r="BJ4" i="12"/>
  <c r="BV4" i="45"/>
  <c r="BG4" i="45"/>
  <c r="BU4" i="45"/>
  <c r="BF4" i="45"/>
  <c r="BT4" i="45"/>
  <c r="BH4" i="45"/>
  <c r="BI4" i="45"/>
  <c r="BR4" i="45"/>
  <c r="BC4" i="45"/>
  <c r="BQ4" i="45"/>
  <c r="BE4" i="45"/>
  <c r="BS4" i="45"/>
  <c r="BD4" i="45"/>
  <c r="BV6" i="45"/>
  <c r="BH6" i="45"/>
  <c r="BU6" i="45"/>
  <c r="BG6" i="45"/>
  <c r="BT6" i="45"/>
  <c r="BF6" i="45"/>
  <c r="BA6" i="45"/>
  <c r="AZ6" i="45"/>
  <c r="AY6" i="45"/>
  <c r="BB6" i="45"/>
  <c r="AX6" i="45"/>
  <c r="BW6" i="45"/>
  <c r="BN4" i="45"/>
  <c r="AY4" i="45"/>
  <c r="BM4" i="45"/>
  <c r="BB4" i="45"/>
  <c r="AX4" i="45"/>
  <c r="BP4" i="45"/>
  <c r="BL4" i="45"/>
  <c r="BA4" i="45"/>
  <c r="BO4" i="45"/>
  <c r="AZ4" i="45"/>
  <c r="BE6" i="45"/>
  <c r="BD6" i="45"/>
  <c r="BC6" i="45"/>
  <c r="BO6" i="45"/>
  <c r="BN6" i="45"/>
  <c r="BM6" i="45"/>
  <c r="BP6" i="45"/>
  <c r="BL6" i="45"/>
  <c r="BS6" i="45"/>
  <c r="BR6" i="45"/>
  <c r="BQ6" i="45"/>
  <c r="Y18" i="45"/>
  <c r="Y49" i="45"/>
  <c r="AB49" i="45"/>
  <c r="Y47" i="45"/>
  <c r="AB47" i="45"/>
  <c r="BU4" i="12"/>
  <c r="BV4" i="12"/>
  <c r="BT4" i="12"/>
  <c r="BS4" i="12"/>
  <c r="BR4" i="12"/>
  <c r="BP4" i="12"/>
  <c r="BM4" i="12"/>
  <c r="BO4" i="12"/>
  <c r="BN4" i="12"/>
  <c r="CF75" i="12"/>
  <c r="BQ75" i="12"/>
  <c r="CE75" i="12"/>
  <c r="BS75" i="12"/>
  <c r="CG75" i="12"/>
  <c r="BR75" i="12"/>
  <c r="BJ75" i="12"/>
  <c r="BM75" i="12"/>
  <c r="BI75" i="12"/>
  <c r="BL75" i="12"/>
  <c r="BK75" i="12"/>
  <c r="BN75" i="12"/>
  <c r="BP75" i="12"/>
  <c r="BO75" i="12"/>
  <c r="BY75" i="12"/>
  <c r="BX75" i="12"/>
  <c r="CA75" i="12"/>
  <c r="BW75" i="12"/>
  <c r="BZ75" i="12"/>
  <c r="CC75" i="12"/>
  <c r="CB75" i="12"/>
  <c r="CD75" i="12"/>
  <c r="BU6" i="12"/>
  <c r="BV6" i="12"/>
  <c r="BT6" i="12"/>
  <c r="BP6" i="12"/>
  <c r="BM6" i="12"/>
  <c r="BN6" i="12"/>
  <c r="BO6" i="12"/>
  <c r="BS6" i="12"/>
  <c r="BR6" i="12"/>
  <c r="AT29" i="45"/>
  <c r="BG4" i="12"/>
  <c r="BF4" i="12"/>
  <c r="BH4" i="12"/>
  <c r="H100" i="12"/>
  <c r="BH6" i="12"/>
  <c r="BG6" i="12"/>
  <c r="BF6" i="12"/>
  <c r="I75" i="12"/>
  <c r="BB6" i="12"/>
  <c r="BA6" i="12"/>
  <c r="AZ6" i="12"/>
  <c r="AY6" i="12"/>
  <c r="AZ4" i="12"/>
  <c r="AY4" i="12"/>
  <c r="BB4" i="12"/>
  <c r="BL4" i="12"/>
  <c r="BA4" i="12"/>
  <c r="AX4" i="12"/>
  <c r="AX9" i="45"/>
  <c r="BW4" i="12"/>
  <c r="BI4" i="12"/>
  <c r="BE4" i="12"/>
  <c r="BC4" i="12"/>
  <c r="BD4" i="12"/>
  <c r="BQ4" i="12"/>
  <c r="BE6" i="12"/>
  <c r="BD6" i="12"/>
  <c r="AT80" i="12"/>
  <c r="BG80" i="12" a="1"/>
  <c r="BG80" i="12"/>
  <c r="B85" i="12"/>
  <c r="B47" i="12"/>
  <c r="B82" i="12"/>
  <c r="AB231" i="47"/>
  <c r="AB116" i="47"/>
  <c r="B42" i="12"/>
  <c r="B86" i="12"/>
  <c r="AB136" i="47"/>
  <c r="AA97" i="12"/>
  <c r="Y78" i="45"/>
  <c r="B78" i="12"/>
  <c r="AB132" i="47"/>
  <c r="AB351" i="47"/>
  <c r="AA59" i="12"/>
  <c r="B43" i="12"/>
  <c r="AB114" i="47"/>
  <c r="AW11" i="45"/>
  <c r="AB229" i="47"/>
  <c r="AB353" i="47"/>
  <c r="B99" i="12"/>
  <c r="AB363" i="47"/>
  <c r="B49" i="12"/>
  <c r="AB375" i="47"/>
  <c r="AB369" i="47"/>
  <c r="AB359" i="47"/>
  <c r="AA45" i="12"/>
  <c r="AT85" i="12"/>
  <c r="B60" i="12"/>
  <c r="AB243" i="47"/>
  <c r="AB371" i="47"/>
  <c r="AA49" i="12"/>
  <c r="AA55" i="12"/>
  <c r="Y55" i="45"/>
  <c r="AB55" i="45"/>
  <c r="AC55" i="12"/>
  <c r="B55" i="12"/>
  <c r="AO97" i="12"/>
  <c r="B37" i="12"/>
  <c r="AB237" i="47"/>
  <c r="AB228" i="47"/>
  <c r="AO54" i="45"/>
  <c r="Y33" i="45"/>
  <c r="AD33" i="45"/>
  <c r="AB239" i="47"/>
  <c r="AB124" i="47"/>
  <c r="B33" i="12"/>
  <c r="AB128" i="47"/>
  <c r="B48" i="12"/>
  <c r="B53" i="12"/>
  <c r="B66" i="12"/>
  <c r="B56" i="12"/>
  <c r="B102" i="12"/>
  <c r="AB226" i="47"/>
  <c r="AB122" i="47"/>
  <c r="AB113" i="47"/>
  <c r="AB367" i="47"/>
  <c r="AB56" i="12"/>
  <c r="H38" i="12"/>
  <c r="AB255" i="47"/>
  <c r="AB140" i="47"/>
  <c r="AM67" i="45"/>
  <c r="AO67" i="45"/>
  <c r="AR67" i="45"/>
  <c r="AT67" i="45"/>
  <c r="B84" i="12"/>
  <c r="H97" i="12"/>
  <c r="AB233" i="47"/>
  <c r="B45" i="12"/>
  <c r="B50" i="12"/>
  <c r="B58" i="12"/>
  <c r="B80" i="12"/>
  <c r="Y66" i="45"/>
  <c r="Y59" i="45"/>
  <c r="AB59" i="45"/>
  <c r="AB365" i="47"/>
  <c r="AD45" i="12"/>
  <c r="AO41" i="12"/>
  <c r="B77" i="12"/>
  <c r="B81" i="12"/>
  <c r="AO36" i="45"/>
  <c r="AO40" i="45"/>
  <c r="AO44" i="45"/>
  <c r="AO48" i="45"/>
  <c r="AO60" i="45"/>
  <c r="AR60" i="45"/>
  <c r="AT60" i="45"/>
  <c r="H101" i="12"/>
  <c r="AB366" i="47"/>
  <c r="AB133" i="47"/>
  <c r="AB358" i="47"/>
  <c r="AB240" i="47"/>
  <c r="E63" i="47"/>
  <c r="E63" i="9"/>
  <c r="F34" i="45"/>
  <c r="AQ34" i="45"/>
  <c r="H46" i="45"/>
  <c r="H46" i="12"/>
  <c r="H60" i="45"/>
  <c r="K73" i="12"/>
  <c r="H12" i="34"/>
  <c r="H68" i="12"/>
  <c r="H66" i="12"/>
  <c r="H62" i="12"/>
  <c r="H50" i="12"/>
  <c r="H34" i="12"/>
  <c r="H31" i="12"/>
  <c r="H60" i="12"/>
  <c r="F41" i="12"/>
  <c r="AQ41" i="12"/>
  <c r="H39" i="45"/>
  <c r="H30" i="45"/>
  <c r="H5" i="47"/>
  <c r="H47" i="12"/>
  <c r="AW57" i="12"/>
  <c r="AO57" i="12"/>
  <c r="B79" i="12"/>
  <c r="AO102" i="12"/>
  <c r="AO67" i="12"/>
  <c r="AR67" i="12"/>
  <c r="AT67" i="12"/>
  <c r="AB125" i="47"/>
  <c r="AQ76" i="12"/>
  <c r="AO33" i="45"/>
  <c r="B33" i="45"/>
  <c r="B98" i="12"/>
  <c r="AB372" i="47"/>
  <c r="AB139" i="47"/>
  <c r="AB364" i="47"/>
  <c r="AB246" i="47"/>
  <c r="AB356" i="47"/>
  <c r="AB238" i="47"/>
  <c r="B54" i="12"/>
  <c r="B52" i="12"/>
  <c r="B40" i="12"/>
  <c r="B38" i="12"/>
  <c r="AT86" i="12"/>
  <c r="AT76" i="12"/>
  <c r="B34" i="12"/>
  <c r="AW48" i="45"/>
  <c r="AO31" i="12"/>
  <c r="AB98" i="12"/>
  <c r="AB341" i="47"/>
  <c r="AB223" i="47"/>
  <c r="AB108" i="47"/>
  <c r="AB368" i="47"/>
  <c r="AB250" i="47"/>
  <c r="AB360" i="47"/>
  <c r="AB127" i="47"/>
  <c r="AB352" i="47"/>
  <c r="AB234" i="47"/>
  <c r="AB350" i="47"/>
  <c r="AB117" i="47"/>
  <c r="AG27" i="12"/>
  <c r="AG94" i="12"/>
  <c r="X76" i="45"/>
  <c r="B76" i="45"/>
  <c r="X83" i="45"/>
  <c r="B83" i="45"/>
  <c r="B83" i="12"/>
  <c r="X67" i="45"/>
  <c r="AD98" i="12"/>
  <c r="AB374" i="47"/>
  <c r="AB256" i="47"/>
  <c r="B62" i="12"/>
  <c r="B46" i="12"/>
  <c r="AO38" i="12"/>
  <c r="AO53" i="12"/>
  <c r="AO51" i="12"/>
  <c r="H23" i="34"/>
  <c r="AB248" i="47"/>
  <c r="AW12" i="45"/>
  <c r="AO59" i="45"/>
  <c r="AR59" i="45"/>
  <c r="AT59" i="45"/>
  <c r="AW59" i="45"/>
  <c r="AB370" i="47"/>
  <c r="AB137" i="47"/>
  <c r="AB362" i="47"/>
  <c r="AB244" i="47"/>
  <c r="AB354" i="47"/>
  <c r="AB121" i="47"/>
  <c r="B57" i="12"/>
  <c r="AO55" i="12"/>
  <c r="Y77" i="45"/>
  <c r="Y81" i="45"/>
  <c r="AD99" i="12"/>
  <c r="AB99" i="12"/>
  <c r="AO32" i="12"/>
  <c r="AO33" i="12"/>
  <c r="AO35" i="12"/>
  <c r="AO39" i="12"/>
  <c r="AO49" i="12"/>
  <c r="AO54" i="12"/>
  <c r="AO58" i="12"/>
  <c r="AO62" i="12"/>
  <c r="AW40" i="45"/>
  <c r="AO49" i="45"/>
  <c r="AW49" i="45"/>
  <c r="AW60" i="45"/>
  <c r="B81" i="45"/>
  <c r="AW101" i="12"/>
  <c r="AO101" i="12"/>
  <c r="AO98" i="12"/>
  <c r="AW99" i="12"/>
  <c r="AO99" i="12"/>
  <c r="AO64" i="12"/>
  <c r="AA37" i="12"/>
  <c r="AC37" i="12"/>
  <c r="Y37" i="45"/>
  <c r="AO84" i="12"/>
  <c r="AP84" i="12"/>
  <c r="AR84" i="12"/>
  <c r="F48" i="12"/>
  <c r="AQ48" i="12"/>
  <c r="F46" i="45"/>
  <c r="AQ46" i="45"/>
  <c r="F42" i="45"/>
  <c r="AQ42" i="45"/>
  <c r="AO86" i="12"/>
  <c r="AQ86" i="12"/>
  <c r="AN16" i="45"/>
  <c r="AO16" i="45"/>
  <c r="AW62" i="45"/>
  <c r="AO62" i="45"/>
  <c r="AO64" i="45"/>
  <c r="AW64" i="45"/>
  <c r="AC99" i="12"/>
  <c r="AA61" i="12"/>
  <c r="AC61" i="12"/>
  <c r="AO37" i="12"/>
  <c r="B61" i="12"/>
  <c r="AW36" i="45"/>
  <c r="AW41" i="45"/>
  <c r="AO41" i="45"/>
  <c r="AO57" i="45"/>
  <c r="AW57" i="45"/>
  <c r="AO61" i="45"/>
  <c r="AW61" i="45"/>
  <c r="B80" i="45"/>
  <c r="B66" i="45"/>
  <c r="AO30" i="45"/>
  <c r="AO53" i="45"/>
  <c r="AW100" i="12"/>
  <c r="AO100" i="12"/>
  <c r="AA60" i="12"/>
  <c r="AB60" i="12"/>
  <c r="AO59" i="12"/>
  <c r="AR59" i="12"/>
  <c r="AT59" i="12"/>
  <c r="AA50" i="12"/>
  <c r="AB50" i="12"/>
  <c r="B35" i="12"/>
  <c r="AB33" i="12"/>
  <c r="AC33" i="12"/>
  <c r="AE340" i="47"/>
  <c r="AF340" i="47"/>
  <c r="E339" i="9"/>
  <c r="AO31" i="45"/>
  <c r="AW31" i="45"/>
  <c r="AW50" i="45"/>
  <c r="AO50" i="45"/>
  <c r="AW58" i="45"/>
  <c r="AO58" i="45"/>
  <c r="AW31" i="12"/>
  <c r="AO34" i="12"/>
  <c r="AO36" i="12"/>
  <c r="AW38" i="12"/>
  <c r="AO50" i="12"/>
  <c r="AW55" i="12"/>
  <c r="AO61" i="12"/>
  <c r="AO63" i="12"/>
  <c r="AW37" i="45"/>
  <c r="AO37" i="45"/>
  <c r="AW44" i="45"/>
  <c r="AO65" i="45"/>
  <c r="AW65" i="45"/>
  <c r="AO65" i="12"/>
  <c r="AA99" i="12"/>
  <c r="AA47" i="12"/>
  <c r="AD47" i="12"/>
  <c r="AA98" i="12"/>
  <c r="AO48" i="12"/>
  <c r="AC42" i="12"/>
  <c r="AO30" i="12"/>
  <c r="AO60" i="12"/>
  <c r="AR60" i="12"/>
  <c r="AT60" i="12"/>
  <c r="AO66" i="12"/>
  <c r="AE38" i="34"/>
  <c r="AE36" i="34"/>
  <c r="AE37" i="34"/>
  <c r="AE39" i="34"/>
  <c r="AE35" i="34"/>
  <c r="AT78" i="12"/>
  <c r="H32" i="12"/>
  <c r="Y41" i="45"/>
  <c r="AD41" i="45"/>
  <c r="AA41" i="12"/>
  <c r="B41" i="12"/>
  <c r="H33" i="12"/>
  <c r="H35" i="12"/>
  <c r="H36" i="12"/>
  <c r="H37" i="12"/>
  <c r="H39" i="12"/>
  <c r="H44" i="12"/>
  <c r="H49" i="12"/>
  <c r="H51" i="12"/>
  <c r="H61" i="12"/>
  <c r="H63" i="12"/>
  <c r="H64" i="12"/>
  <c r="H11" i="34"/>
  <c r="H22" i="34"/>
  <c r="F22" i="12"/>
  <c r="H106" i="47"/>
  <c r="H106" i="9"/>
  <c r="H36" i="45"/>
  <c r="H49" i="45"/>
  <c r="H55" i="45"/>
  <c r="H64" i="45"/>
  <c r="F64" i="45"/>
  <c r="AQ64" i="45"/>
  <c r="F61" i="45"/>
  <c r="AQ61" i="45"/>
  <c r="F58" i="45"/>
  <c r="AQ58" i="45"/>
  <c r="F48" i="45"/>
  <c r="AQ48" i="45"/>
  <c r="F44" i="45"/>
  <c r="AQ44" i="45"/>
  <c r="F40" i="45"/>
  <c r="AQ40" i="45"/>
  <c r="AV29" i="12"/>
  <c r="H219" i="47"/>
  <c r="AN222" i="47"/>
  <c r="F64" i="12"/>
  <c r="AQ64" i="12"/>
  <c r="F45" i="12"/>
  <c r="AQ45" i="12"/>
  <c r="F42" i="12"/>
  <c r="AQ42" i="12"/>
  <c r="H41" i="12"/>
  <c r="H43" i="12"/>
  <c r="H53" i="12"/>
  <c r="H57" i="12"/>
  <c r="H59" i="12"/>
  <c r="H102" i="12"/>
  <c r="H9" i="34"/>
  <c r="H24" i="34"/>
  <c r="AN220" i="47"/>
  <c r="E177" i="47"/>
  <c r="E177" i="9"/>
  <c r="H31" i="45"/>
  <c r="H54" i="45"/>
  <c r="H58" i="45"/>
  <c r="H63" i="45"/>
  <c r="F51" i="45"/>
  <c r="AQ51" i="45"/>
  <c r="F49" i="45"/>
  <c r="AQ49" i="45"/>
  <c r="F45" i="45"/>
  <c r="AQ45" i="45"/>
  <c r="F36" i="45"/>
  <c r="AQ36" i="45"/>
  <c r="AV29" i="45"/>
  <c r="F47" i="12"/>
  <c r="AQ47" i="12"/>
  <c r="F44" i="12"/>
  <c r="AQ44" i="12"/>
  <c r="F33" i="12"/>
  <c r="AQ33" i="12"/>
  <c r="H179" i="47"/>
  <c r="H30" i="12"/>
  <c r="H40" i="12"/>
  <c r="H42" i="12"/>
  <c r="H45" i="12"/>
  <c r="H52" i="12"/>
  <c r="H54" i="12"/>
  <c r="H55" i="12"/>
  <c r="H56" i="12"/>
  <c r="H58" i="12"/>
  <c r="H65" i="12"/>
  <c r="H10" i="34"/>
  <c r="H21" i="34"/>
  <c r="BQ6" i="12"/>
  <c r="H40" i="45"/>
  <c r="H43" i="45"/>
  <c r="H50" i="45"/>
  <c r="H53" i="45"/>
  <c r="H57" i="45"/>
  <c r="H65" i="45"/>
  <c r="H68" i="45"/>
  <c r="AU18" i="45"/>
  <c r="F56" i="45"/>
  <c r="AQ56" i="45"/>
  <c r="F53" i="45"/>
  <c r="AQ53" i="45"/>
  <c r="F47" i="45"/>
  <c r="AQ47" i="45"/>
  <c r="F43" i="45"/>
  <c r="AQ43" i="45"/>
  <c r="F38" i="45"/>
  <c r="AQ38" i="45"/>
  <c r="F55" i="12"/>
  <c r="AQ55" i="12"/>
  <c r="F46" i="12"/>
  <c r="AQ46" i="12"/>
  <c r="F43" i="12"/>
  <c r="AQ43" i="12"/>
  <c r="H25" i="34"/>
  <c r="F31" i="12"/>
  <c r="AQ31" i="12"/>
  <c r="L75" i="12"/>
  <c r="E221" i="47"/>
  <c r="E221" i="9"/>
  <c r="AD222" i="47"/>
  <c r="BC6" i="12"/>
  <c r="D177" i="47"/>
  <c r="D177" i="9"/>
  <c r="J75" i="45"/>
  <c r="AE222" i="47"/>
  <c r="AP222" i="47"/>
  <c r="AO83" i="12"/>
  <c r="AO82" i="12"/>
  <c r="E106" i="47"/>
  <c r="E106" i="9"/>
  <c r="AD107" i="47"/>
  <c r="AF107" i="47"/>
  <c r="X34" i="34"/>
  <c r="N13" i="34"/>
  <c r="H57" i="34"/>
  <c r="H54" i="34"/>
  <c r="H50" i="34"/>
  <c r="H56" i="34"/>
  <c r="H49" i="34"/>
  <c r="H45" i="34"/>
  <c r="H44" i="34"/>
  <c r="H43" i="34"/>
  <c r="H42" i="34"/>
  <c r="H41" i="34"/>
  <c r="H53" i="34"/>
  <c r="H48" i="34"/>
  <c r="H55" i="34"/>
  <c r="H51" i="34"/>
  <c r="H47" i="34"/>
  <c r="H37" i="34"/>
  <c r="H39" i="34"/>
  <c r="H38" i="34"/>
  <c r="H35" i="34"/>
  <c r="H36" i="34"/>
  <c r="F35" i="12"/>
  <c r="AQ35" i="12"/>
  <c r="F36" i="12"/>
  <c r="AQ36" i="12"/>
  <c r="F53" i="12"/>
  <c r="AQ53" i="12"/>
  <c r="F54" i="12"/>
  <c r="AQ54" i="12"/>
  <c r="H99" i="12"/>
  <c r="F33" i="45"/>
  <c r="AQ33" i="45"/>
  <c r="F35" i="45"/>
  <c r="AQ35" i="45"/>
  <c r="F37" i="45"/>
  <c r="AQ37" i="45"/>
  <c r="F41" i="45"/>
  <c r="AQ41" i="45"/>
  <c r="F50" i="45"/>
  <c r="AQ50" i="45"/>
  <c r="F55" i="45"/>
  <c r="AQ55" i="45"/>
  <c r="F62" i="45"/>
  <c r="AQ62" i="45"/>
  <c r="H13" i="34"/>
  <c r="F30" i="12"/>
  <c r="AQ30" i="12"/>
  <c r="F34" i="12"/>
  <c r="AQ34" i="12"/>
  <c r="F38" i="12"/>
  <c r="AQ38" i="12"/>
  <c r="F49" i="12"/>
  <c r="AQ49" i="12"/>
  <c r="F50" i="12"/>
  <c r="AQ50" i="12"/>
  <c r="F57" i="12"/>
  <c r="AQ57" i="12"/>
  <c r="F58" i="12"/>
  <c r="AQ58" i="12"/>
  <c r="AO222" i="47"/>
  <c r="AP107" i="47"/>
  <c r="H177" i="47"/>
  <c r="H65" i="47"/>
  <c r="F39" i="12"/>
  <c r="AQ39" i="12"/>
  <c r="F51" i="12"/>
  <c r="AQ51" i="12"/>
  <c r="AN107" i="47"/>
  <c r="H63" i="47"/>
  <c r="AN338" i="47"/>
  <c r="F30" i="45"/>
  <c r="AQ30" i="45"/>
  <c r="F31" i="45"/>
  <c r="AQ31" i="45"/>
  <c r="F39" i="45"/>
  <c r="AQ39" i="45"/>
  <c r="F57" i="45"/>
  <c r="AQ57" i="45"/>
  <c r="F63" i="45"/>
  <c r="AQ63" i="45"/>
  <c r="H61" i="45"/>
  <c r="H56" i="45"/>
  <c r="H51" i="45"/>
  <c r="H47" i="45"/>
  <c r="H44" i="45"/>
  <c r="H34" i="45"/>
  <c r="H33" i="45"/>
  <c r="H221" i="47"/>
  <c r="H221" i="9"/>
  <c r="D63" i="47"/>
  <c r="D63" i="9"/>
  <c r="AN105" i="47"/>
  <c r="K75" i="12"/>
  <c r="G75" i="12"/>
  <c r="F37" i="12"/>
  <c r="AQ37" i="12"/>
  <c r="F52" i="12"/>
  <c r="AQ52" i="12"/>
  <c r="F61" i="12"/>
  <c r="AQ61" i="12"/>
  <c r="F63" i="12"/>
  <c r="AQ63" i="12"/>
  <c r="H98" i="12"/>
  <c r="F52" i="45"/>
  <c r="AQ52" i="45"/>
  <c r="F54" i="45"/>
  <c r="AQ54" i="45"/>
  <c r="H48" i="12"/>
  <c r="H66" i="45"/>
  <c r="H62" i="45"/>
  <c r="H59" i="45"/>
  <c r="H52" i="45"/>
  <c r="H48" i="45"/>
  <c r="H45" i="45"/>
  <c r="H42" i="45"/>
  <c r="H41" i="45"/>
  <c r="H38" i="45"/>
  <c r="H37" i="45"/>
  <c r="H35" i="45"/>
  <c r="BL6" i="12"/>
  <c r="K74" i="12"/>
  <c r="H5" i="9"/>
  <c r="N25" i="34"/>
  <c r="F65" i="12"/>
  <c r="AQ65" i="12"/>
  <c r="AD340" i="47"/>
  <c r="E339" i="47"/>
  <c r="F65" i="45"/>
  <c r="AQ65" i="45"/>
  <c r="BI6" i="12"/>
  <c r="D295" i="47"/>
  <c r="D295" i="9"/>
  <c r="F62" i="12"/>
  <c r="AQ62" i="12"/>
  <c r="F56" i="12"/>
  <c r="AQ56" i="12"/>
  <c r="F40" i="12"/>
  <c r="AQ40" i="12"/>
  <c r="AO107" i="47"/>
  <c r="Z97" i="30"/>
  <c r="Z47" i="30"/>
  <c r="Z83" i="30"/>
  <c r="Z153" i="30"/>
  <c r="Z117" i="30"/>
  <c r="Z106" i="30"/>
  <c r="Z145" i="30"/>
  <c r="Z89" i="30"/>
  <c r="Z162" i="30"/>
  <c r="Z181" i="30"/>
  <c r="Z148" i="30"/>
  <c r="Z195" i="30"/>
  <c r="Z131" i="30"/>
  <c r="Z41" i="30"/>
  <c r="Z201" i="30"/>
  <c r="Z139" i="30"/>
  <c r="Z33" i="30"/>
  <c r="Z187" i="30"/>
  <c r="AC215" i="30"/>
  <c r="AC173" i="30"/>
  <c r="Z69" i="30"/>
  <c r="Z190" i="30"/>
  <c r="AC167" i="30"/>
  <c r="AC120" i="30"/>
  <c r="AC159" i="30"/>
  <c r="AC75" i="30"/>
  <c r="Z78" i="30"/>
  <c r="Z92" i="30"/>
  <c r="Z209" i="30"/>
  <c r="AC176" i="30"/>
  <c r="AC111" i="30"/>
  <c r="AC36" i="30"/>
  <c r="Z125" i="30"/>
  <c r="Z50" i="30"/>
  <c r="Z103" i="30"/>
  <c r="Z134" i="30"/>
  <c r="AC55" i="30"/>
  <c r="Z61" i="30"/>
  <c r="Z27" i="30"/>
  <c r="AS24" i="34" a="1"/>
  <c r="AS24" i="34"/>
  <c r="AN22" i="34" a="1"/>
  <c r="AN22" i="34"/>
  <c r="AS23" i="34" a="1"/>
  <c r="AS23" i="34"/>
  <c r="AS22" i="34" a="1"/>
  <c r="AS22" i="34"/>
  <c r="AN24" i="34" a="1"/>
  <c r="AN24" i="34"/>
  <c r="AW52" i="12"/>
  <c r="AO52" i="12"/>
  <c r="AW40" i="12"/>
  <c r="AO40" i="12"/>
  <c r="AO34" i="45"/>
  <c r="AW34" i="45"/>
  <c r="AO55" i="45"/>
  <c r="AW55" i="45"/>
  <c r="AB345" i="47"/>
  <c r="AB112" i="47"/>
  <c r="AB227" i="47"/>
  <c r="AB342" i="47"/>
  <c r="AB109" i="47"/>
  <c r="B44" i="12"/>
  <c r="AO38" i="45"/>
  <c r="AW38" i="45"/>
  <c r="AW52" i="45"/>
  <c r="AO52" i="45"/>
  <c r="AB348" i="47"/>
  <c r="AB115" i="47"/>
  <c r="AA58" i="12"/>
  <c r="AC58" i="12"/>
  <c r="AB58" i="12"/>
  <c r="Y58" i="45"/>
  <c r="AD58" i="12"/>
  <c r="AN340" i="47"/>
  <c r="AO340" i="47"/>
  <c r="H335" i="47"/>
  <c r="AP340" i="47"/>
  <c r="H337" i="47"/>
  <c r="H339" i="9"/>
  <c r="H339" i="47"/>
  <c r="H297" i="47"/>
  <c r="BW6" i="12"/>
  <c r="H295" i="47"/>
  <c r="CA5" i="12"/>
  <c r="CA4" i="12"/>
  <c r="AW39" i="45"/>
  <c r="AO39" i="45"/>
  <c r="AO51" i="45"/>
  <c r="AW51" i="45"/>
  <c r="AW39" i="12"/>
  <c r="AW51" i="12"/>
  <c r="AO56" i="12"/>
  <c r="AW63" i="12"/>
  <c r="AY9" i="45"/>
  <c r="AO63" i="45"/>
  <c r="AW63" i="45"/>
  <c r="AS18" i="45"/>
  <c r="AO15" i="45"/>
  <c r="AW66" i="45"/>
  <c r="AO66" i="45"/>
  <c r="AY9" i="12"/>
  <c r="BW4" i="45"/>
  <c r="AW35" i="45"/>
  <c r="AO35" i="45"/>
  <c r="AW56" i="45"/>
  <c r="AO56" i="45"/>
  <c r="B16" i="45"/>
  <c r="B51" i="12"/>
  <c r="CA7" i="12"/>
  <c r="AX9" i="12"/>
  <c r="AD53" i="12"/>
  <c r="AC53" i="12"/>
  <c r="Y53" i="45"/>
  <c r="AD49" i="12"/>
  <c r="AB49" i="12"/>
  <c r="AC48" i="12"/>
  <c r="AD48" i="12"/>
  <c r="AD43" i="12"/>
  <c r="AC43" i="12"/>
  <c r="Y43" i="45"/>
  <c r="AA34" i="12"/>
  <c r="AD34" i="12"/>
  <c r="Y34" i="45"/>
  <c r="AW65" i="12"/>
  <c r="AB257" i="47"/>
  <c r="AB253" i="47"/>
  <c r="AB249" i="47"/>
  <c r="AB245" i="47"/>
  <c r="AB241" i="47"/>
  <c r="Y50" i="45"/>
  <c r="Y48" i="45"/>
  <c r="AD59" i="12"/>
  <c r="AC59" i="12"/>
  <c r="AC56" i="12"/>
  <c r="AA56" i="12"/>
  <c r="AD50" i="12"/>
  <c r="AD42" i="12"/>
  <c r="AA42" i="12"/>
  <c r="Y42" i="45"/>
  <c r="AD33" i="12"/>
  <c r="AA33" i="12"/>
  <c r="H101" i="47"/>
  <c r="AE107" i="47"/>
  <c r="H103" i="47"/>
  <c r="I75" i="45"/>
  <c r="H217" i="47"/>
  <c r="AE34" i="34"/>
  <c r="AE9" i="34"/>
  <c r="AE21" i="34"/>
  <c r="B59" i="12"/>
  <c r="J75" i="12"/>
  <c r="AX6" i="12"/>
  <c r="AF222" i="47"/>
  <c r="AB235" i="47"/>
  <c r="AB111" i="47"/>
  <c r="AW45" i="45"/>
  <c r="Y56" i="45"/>
  <c r="AD61" i="12"/>
  <c r="AB61" i="12"/>
  <c r="Y61" i="45"/>
  <c r="AC60" i="12"/>
  <c r="AD60" i="12"/>
  <c r="AB55" i="12"/>
  <c r="AD55" i="12"/>
  <c r="AB53" i="12"/>
  <c r="AC50" i="12"/>
  <c r="AC49" i="12"/>
  <c r="AB48" i="12"/>
  <c r="AC47" i="12"/>
  <c r="AB47" i="12"/>
  <c r="AB43" i="12"/>
  <c r="AD41" i="12"/>
  <c r="AC41" i="12"/>
  <c r="AD37" i="12"/>
  <c r="AB37" i="12"/>
  <c r="AC34" i="12"/>
  <c r="AO44" i="12"/>
  <c r="AC45" i="12"/>
  <c r="AB45" i="12"/>
  <c r="AT77" i="12"/>
  <c r="AT81" i="12"/>
  <c r="AT83" i="12"/>
  <c r="AT84" i="12"/>
  <c r="AT82" i="12"/>
  <c r="AT79" i="12"/>
  <c r="N58" i="34"/>
  <c r="X58" i="34"/>
  <c r="Y32" i="34"/>
  <c r="H58" i="34"/>
  <c r="F32" i="12"/>
  <c r="AQ32" i="12"/>
  <c r="H52" i="34"/>
  <c r="H40" i="34"/>
  <c r="H34" i="34"/>
  <c r="H46" i="34"/>
  <c r="C21" i="34"/>
  <c r="N6" i="48"/>
  <c r="N4" i="48"/>
  <c r="N8" i="48"/>
  <c r="N14" i="48"/>
  <c r="N13" i="48"/>
  <c r="N9" i="48"/>
  <c r="N12" i="48"/>
  <c r="N11" i="48"/>
  <c r="E5" i="9"/>
  <c r="E5" i="47"/>
  <c r="AQ78" i="12"/>
  <c r="Y86" i="45"/>
  <c r="Y85" i="45"/>
  <c r="Y80" i="45"/>
  <c r="AC102" i="12"/>
  <c r="Y101" i="45"/>
  <c r="B101" i="45"/>
  <c r="Y102" i="45"/>
  <c r="B102" i="45"/>
  <c r="AA102" i="12"/>
  <c r="AB102" i="12"/>
  <c r="Y98" i="45"/>
  <c r="B98" i="45"/>
  <c r="Y100" i="45"/>
  <c r="B100" i="45"/>
  <c r="Y99" i="45"/>
  <c r="B99" i="45"/>
  <c r="Y82" i="45"/>
  <c r="Y79" i="45"/>
  <c r="Y84" i="45"/>
  <c r="AC40" i="12"/>
  <c r="Y65" i="45"/>
  <c r="AA39" i="12"/>
  <c r="Y38" i="45"/>
  <c r="AD38" i="45"/>
  <c r="AA52" i="12"/>
  <c r="AC64" i="12"/>
  <c r="Y36" i="45"/>
  <c r="AA36" i="45"/>
  <c r="AC54" i="12"/>
  <c r="AB46" i="12"/>
  <c r="AB35" i="12"/>
  <c r="AC62" i="12"/>
  <c r="AA63" i="12"/>
  <c r="BG78" i="12" a="1"/>
  <c r="BG78" i="12"/>
  <c r="BG84" i="12" a="1"/>
  <c r="BG84" i="12"/>
  <c r="BG76" i="12" a="1"/>
  <c r="BG76" i="12"/>
  <c r="AS100" i="45"/>
  <c r="AS102" i="45"/>
  <c r="BF80" i="12" a="1"/>
  <c r="BF80" i="12"/>
  <c r="BF76" i="12" a="1"/>
  <c r="BF76" i="12"/>
  <c r="AS101" i="45"/>
  <c r="AS99" i="45"/>
  <c r="F83" i="45"/>
  <c r="H83" i="45"/>
  <c r="AO83" i="45"/>
  <c r="AP83" i="45"/>
  <c r="AE46" i="45"/>
  <c r="AG46" i="45"/>
  <c r="AE53" i="12"/>
  <c r="DI95" i="45"/>
  <c r="CG95" i="45"/>
  <c r="BS107" i="45"/>
  <c r="DW95" i="45"/>
  <c r="CU95" i="45"/>
  <c r="BS95" i="45"/>
  <c r="BD95" i="45"/>
  <c r="D196" i="30"/>
  <c r="D182" i="30"/>
  <c r="D168" i="30"/>
  <c r="D154" i="30"/>
  <c r="D140" i="30"/>
  <c r="D126" i="30"/>
  <c r="D112" i="30"/>
  <c r="D98" i="30"/>
  <c r="D84" i="30"/>
  <c r="D70" i="30"/>
  <c r="D14" i="30"/>
  <c r="D56" i="30"/>
  <c r="D28" i="30"/>
  <c r="BS70" i="45"/>
  <c r="CG28" i="45"/>
  <c r="BD28" i="45"/>
  <c r="BD95" i="12"/>
  <c r="DI95" i="12"/>
  <c r="CG95" i="12"/>
  <c r="BS95" i="12"/>
  <c r="D210" i="30"/>
  <c r="D42" i="30"/>
  <c r="BS28" i="45"/>
  <c r="BA75" i="45"/>
  <c r="BA75" i="12"/>
  <c r="BS107" i="12"/>
  <c r="DW95" i="12"/>
  <c r="CU95" i="12"/>
  <c r="AZ95" i="45"/>
  <c r="BO107" i="45"/>
  <c r="DS95" i="45"/>
  <c r="CQ95" i="45"/>
  <c r="BO95" i="45"/>
  <c r="DE95" i="45"/>
  <c r="CC95" i="45"/>
  <c r="D192" i="30"/>
  <c r="D178" i="30"/>
  <c r="D164" i="30"/>
  <c r="D150" i="30"/>
  <c r="D136" i="30"/>
  <c r="D122" i="30"/>
  <c r="D108" i="30"/>
  <c r="D94" i="30"/>
  <c r="D80" i="30"/>
  <c r="D66" i="30"/>
  <c r="D10" i="30"/>
  <c r="D206" i="30"/>
  <c r="D38" i="30"/>
  <c r="BO28" i="45"/>
  <c r="AW75" i="45"/>
  <c r="AW75" i="12"/>
  <c r="BO107" i="12"/>
  <c r="DS95" i="12"/>
  <c r="CQ95" i="12"/>
  <c r="D52" i="30"/>
  <c r="D24" i="30"/>
  <c r="BO70" i="45"/>
  <c r="CC28" i="45"/>
  <c r="AZ28" i="45"/>
  <c r="AZ95" i="12"/>
  <c r="DE95" i="12"/>
  <c r="CC95" i="12"/>
  <c r="BO95" i="12"/>
  <c r="BF78" i="12" a="1"/>
  <c r="BF78" i="12"/>
  <c r="F76" i="45"/>
  <c r="H76" i="45"/>
  <c r="AO76" i="45"/>
  <c r="AP76" i="45"/>
  <c r="AE58" i="12"/>
  <c r="AF58" i="12"/>
  <c r="AH58" i="12"/>
  <c r="AE63" i="12"/>
  <c r="AF63" i="12"/>
  <c r="DN95" i="45"/>
  <c r="CL95" i="45"/>
  <c r="BI95" i="45"/>
  <c r="BX95" i="45"/>
  <c r="BX107" i="45"/>
  <c r="EB95" i="45"/>
  <c r="CZ95" i="45"/>
  <c r="D215" i="30"/>
  <c r="D61" i="30"/>
  <c r="D33" i="30"/>
  <c r="BX28" i="45"/>
  <c r="BF75" i="45"/>
  <c r="BX107" i="12"/>
  <c r="EB95" i="12"/>
  <c r="CZ95" i="12"/>
  <c r="CL95" i="12"/>
  <c r="D201" i="30"/>
  <c r="D187" i="30"/>
  <c r="D173" i="30"/>
  <c r="D159" i="30"/>
  <c r="D145" i="30"/>
  <c r="D131" i="30"/>
  <c r="D117" i="30"/>
  <c r="D103" i="30"/>
  <c r="D89" i="30"/>
  <c r="D75" i="30"/>
  <c r="D19" i="30"/>
  <c r="D47" i="30"/>
  <c r="BX70" i="45"/>
  <c r="CL28" i="45"/>
  <c r="BI28" i="45"/>
  <c r="BF75" i="12"/>
  <c r="BI95" i="12"/>
  <c r="DN95" i="12"/>
  <c r="BX95" i="12"/>
  <c r="DF95" i="45"/>
  <c r="CD95" i="45"/>
  <c r="BA95" i="45"/>
  <c r="DT95" i="45"/>
  <c r="BP95" i="45"/>
  <c r="BP107" i="45"/>
  <c r="CR95" i="45"/>
  <c r="D207" i="30"/>
  <c r="D53" i="30"/>
  <c r="D25" i="30"/>
  <c r="BP28" i="45"/>
  <c r="AX75" i="45"/>
  <c r="BP107" i="12"/>
  <c r="DT95" i="12"/>
  <c r="CR95" i="12"/>
  <c r="CD95" i="12"/>
  <c r="D193" i="30"/>
  <c r="D179" i="30"/>
  <c r="D165" i="30"/>
  <c r="D151" i="30"/>
  <c r="D137" i="30"/>
  <c r="D123" i="30"/>
  <c r="D109" i="30"/>
  <c r="D95" i="30"/>
  <c r="D81" i="30"/>
  <c r="D67" i="30"/>
  <c r="D11" i="30"/>
  <c r="D39" i="30"/>
  <c r="BP70" i="45"/>
  <c r="CD28" i="45"/>
  <c r="BA28" i="45"/>
  <c r="AX75" i="12"/>
  <c r="BA95" i="12"/>
  <c r="DF95" i="12"/>
  <c r="BP95" i="12"/>
  <c r="BQ95" i="45"/>
  <c r="DG95" i="45"/>
  <c r="CE95" i="45"/>
  <c r="BB95" i="45"/>
  <c r="BQ107" i="45"/>
  <c r="DU95" i="45"/>
  <c r="CS95" i="45"/>
  <c r="D208" i="30"/>
  <c r="D54" i="30"/>
  <c r="D40" i="30"/>
  <c r="D26" i="30"/>
  <c r="BQ70" i="45"/>
  <c r="CE28" i="45"/>
  <c r="BQ28" i="45"/>
  <c r="BB28" i="45"/>
  <c r="AY75" i="45"/>
  <c r="AY75" i="12"/>
  <c r="BQ107" i="12"/>
  <c r="BB95" i="12"/>
  <c r="DU95" i="12"/>
  <c r="DG95" i="12"/>
  <c r="CS95" i="12"/>
  <c r="CE95" i="12"/>
  <c r="BQ95" i="12"/>
  <c r="D194" i="30"/>
  <c r="D166" i="30"/>
  <c r="D138" i="30"/>
  <c r="D110" i="30"/>
  <c r="D82" i="30"/>
  <c r="D68" i="30"/>
  <c r="D12" i="30"/>
  <c r="D180" i="30"/>
  <c r="D152" i="30"/>
  <c r="D124" i="30"/>
  <c r="D96" i="30"/>
  <c r="T15" i="48"/>
  <c r="U15" i="48"/>
  <c r="V15" i="48"/>
  <c r="S15" i="48"/>
  <c r="Q15" i="48"/>
  <c r="R15" i="48"/>
  <c r="AS98" i="45"/>
  <c r="F77" i="45"/>
  <c r="H77" i="45"/>
  <c r="AO77" i="45"/>
  <c r="AP77" i="45"/>
  <c r="F78" i="45"/>
  <c r="H78" i="45"/>
  <c r="AO78" i="45"/>
  <c r="AQ78" i="45"/>
  <c r="BR107" i="45"/>
  <c r="DV95" i="45"/>
  <c r="CT95" i="45"/>
  <c r="BR95" i="45"/>
  <c r="CF95" i="45"/>
  <c r="DH95" i="45"/>
  <c r="BC95" i="45"/>
  <c r="D195" i="30"/>
  <c r="D167" i="30"/>
  <c r="D139" i="30"/>
  <c r="D111" i="30"/>
  <c r="D83" i="30"/>
  <c r="D209" i="30"/>
  <c r="D55" i="30"/>
  <c r="D41" i="30"/>
  <c r="D27" i="30"/>
  <c r="BR70" i="45"/>
  <c r="CF28" i="45"/>
  <c r="BR28" i="45"/>
  <c r="BC28" i="45"/>
  <c r="AZ75" i="45"/>
  <c r="AZ75" i="12"/>
  <c r="BR107" i="12"/>
  <c r="BC95" i="12"/>
  <c r="DV95" i="12"/>
  <c r="DH95" i="12"/>
  <c r="CT95" i="12"/>
  <c r="CF95" i="12"/>
  <c r="BR95" i="12"/>
  <c r="D181" i="30"/>
  <c r="D153" i="30"/>
  <c r="D125" i="30"/>
  <c r="D97" i="30"/>
  <c r="D69" i="30"/>
  <c r="D13" i="30"/>
  <c r="BN107" i="45"/>
  <c r="DR95" i="45"/>
  <c r="CP95" i="45"/>
  <c r="BN95" i="45"/>
  <c r="DD95" i="45"/>
  <c r="AY95" i="45"/>
  <c r="CB95" i="45"/>
  <c r="D65" i="30"/>
  <c r="D177" i="30"/>
  <c r="D149" i="30"/>
  <c r="D121" i="30"/>
  <c r="D93" i="30"/>
  <c r="D9" i="30"/>
  <c r="D205" i="30"/>
  <c r="D51" i="30"/>
  <c r="D37" i="30"/>
  <c r="D23" i="30"/>
  <c r="BN70" i="45"/>
  <c r="CB28" i="45"/>
  <c r="BN28" i="45"/>
  <c r="AY28" i="45"/>
  <c r="AV75" i="45"/>
  <c r="AV75" i="12"/>
  <c r="BN107" i="12"/>
  <c r="AY95" i="12"/>
  <c r="DR95" i="12"/>
  <c r="DD95" i="12"/>
  <c r="CP95" i="12"/>
  <c r="CB95" i="12"/>
  <c r="BN95" i="12"/>
  <c r="D191" i="30"/>
  <c r="D163" i="30"/>
  <c r="D135" i="30"/>
  <c r="D107" i="30"/>
  <c r="D79" i="30"/>
  <c r="AO45" i="45"/>
  <c r="AR45" i="45"/>
  <c r="AT45" i="45"/>
  <c r="AE57" i="12"/>
  <c r="AG57" i="12"/>
  <c r="F79" i="45"/>
  <c r="H79" i="45"/>
  <c r="AO79" i="45"/>
  <c r="AP79" i="45"/>
  <c r="F85" i="45"/>
  <c r="H85" i="45"/>
  <c r="AO85" i="45"/>
  <c r="AQ85" i="45"/>
  <c r="F80" i="45"/>
  <c r="H80" i="45"/>
  <c r="AO80" i="45"/>
  <c r="AP80" i="45"/>
  <c r="AE52" i="12"/>
  <c r="AF52" i="12"/>
  <c r="F81" i="45"/>
  <c r="H81" i="45"/>
  <c r="AO81" i="45"/>
  <c r="AQ81" i="45"/>
  <c r="AE37" i="12"/>
  <c r="AG37" i="12"/>
  <c r="DJ95" i="45"/>
  <c r="CH95" i="45"/>
  <c r="BE95" i="45"/>
  <c r="BT107" i="45"/>
  <c r="DX95" i="45"/>
  <c r="CV95" i="45"/>
  <c r="BT95" i="45"/>
  <c r="D43" i="30"/>
  <c r="BT70" i="45"/>
  <c r="CH28" i="45"/>
  <c r="BE28" i="45"/>
  <c r="BB75" i="12"/>
  <c r="BE95" i="12"/>
  <c r="DJ95" i="12"/>
  <c r="BT95" i="12"/>
  <c r="D197" i="30"/>
  <c r="D183" i="30"/>
  <c r="D169" i="30"/>
  <c r="D155" i="30"/>
  <c r="D141" i="30"/>
  <c r="D127" i="30"/>
  <c r="D113" i="30"/>
  <c r="D99" i="30"/>
  <c r="D85" i="30"/>
  <c r="D71" i="30"/>
  <c r="D15" i="30"/>
  <c r="D211" i="30"/>
  <c r="D57" i="30"/>
  <c r="D29" i="30"/>
  <c r="BT28" i="45"/>
  <c r="BB75" i="45"/>
  <c r="BT107" i="12"/>
  <c r="DX95" i="12"/>
  <c r="CV95" i="12"/>
  <c r="CH95" i="12"/>
  <c r="DQ95" i="45"/>
  <c r="CO95" i="45"/>
  <c r="DC95" i="45"/>
  <c r="CA95" i="45"/>
  <c r="AX95" i="45"/>
  <c r="BM107" i="45"/>
  <c r="BM95" i="45"/>
  <c r="D50" i="30"/>
  <c r="D36" i="30"/>
  <c r="D22" i="30"/>
  <c r="BM70" i="45"/>
  <c r="CA28" i="45"/>
  <c r="BM28" i="45"/>
  <c r="AX28" i="45"/>
  <c r="AU75" i="45"/>
  <c r="AU75" i="12"/>
  <c r="BM107" i="12"/>
  <c r="AX95" i="12"/>
  <c r="DQ95" i="12"/>
  <c r="DC95" i="12"/>
  <c r="CO95" i="12"/>
  <c r="CA95" i="12"/>
  <c r="BM95" i="12"/>
  <c r="D64" i="30"/>
  <c r="D176" i="30"/>
  <c r="D148" i="30"/>
  <c r="D120" i="30"/>
  <c r="D92" i="30"/>
  <c r="D204" i="30"/>
  <c r="D190" i="30"/>
  <c r="D162" i="30"/>
  <c r="D134" i="30"/>
  <c r="D106" i="30"/>
  <c r="D78" i="30"/>
  <c r="D8" i="30"/>
  <c r="AS97" i="45"/>
  <c r="BF84" i="12" a="1"/>
  <c r="BF84" i="12"/>
  <c r="R12" i="48"/>
  <c r="U12" i="48"/>
  <c r="Q12" i="48"/>
  <c r="V12" i="48"/>
  <c r="S12" i="48"/>
  <c r="T12" i="48"/>
  <c r="V8" i="48"/>
  <c r="S8" i="48"/>
  <c r="U8" i="48"/>
  <c r="Q8" i="48"/>
  <c r="R8" i="48"/>
  <c r="T8" i="48"/>
  <c r="S11" i="48"/>
  <c r="T11" i="48"/>
  <c r="R11" i="48"/>
  <c r="V11" i="48"/>
  <c r="U11" i="48"/>
  <c r="Q11" i="48"/>
  <c r="U14" i="48"/>
  <c r="V14" i="48"/>
  <c r="S14" i="48"/>
  <c r="T14" i="48"/>
  <c r="Q14" i="48"/>
  <c r="R14" i="48"/>
  <c r="U9" i="48"/>
  <c r="Q9" i="48"/>
  <c r="V9" i="48"/>
  <c r="S9" i="48"/>
  <c r="T9" i="48"/>
  <c r="R9" i="48"/>
  <c r="R4" i="48"/>
  <c r="V4" i="48"/>
  <c r="S4" i="48"/>
  <c r="U4" i="48"/>
  <c r="Q4" i="48"/>
  <c r="T4" i="48"/>
  <c r="Q10" i="48"/>
  <c r="V10" i="48"/>
  <c r="S10" i="48"/>
  <c r="T10" i="48"/>
  <c r="U10" i="48"/>
  <c r="R10" i="48"/>
  <c r="U13" i="48"/>
  <c r="Q13" i="48"/>
  <c r="R13" i="48"/>
  <c r="S13" i="48"/>
  <c r="T13" i="48"/>
  <c r="V13" i="48"/>
  <c r="T6" i="48"/>
  <c r="U6" i="48"/>
  <c r="R6" i="48"/>
  <c r="S6" i="48"/>
  <c r="Q6" i="48"/>
  <c r="V6" i="48"/>
  <c r="U5" i="48"/>
  <c r="R5" i="48"/>
  <c r="T5" i="48"/>
  <c r="Q5" i="48"/>
  <c r="V5" i="48"/>
  <c r="S5" i="48"/>
  <c r="AE100" i="12"/>
  <c r="AG100" i="12"/>
  <c r="AE100" i="45"/>
  <c r="AR98" i="45"/>
  <c r="AE99" i="12"/>
  <c r="AG99" i="12"/>
  <c r="AE99" i="45"/>
  <c r="AR101" i="45"/>
  <c r="AR99" i="45"/>
  <c r="AR100" i="45"/>
  <c r="AR102" i="45"/>
  <c r="AE98" i="12"/>
  <c r="AG98" i="12"/>
  <c r="AE98" i="45"/>
  <c r="AE102" i="12"/>
  <c r="AF102" i="12"/>
  <c r="AJ102" i="12"/>
  <c r="AE102" i="45"/>
  <c r="AG102" i="45"/>
  <c r="AE101" i="12"/>
  <c r="AF101" i="12"/>
  <c r="AE101" i="45"/>
  <c r="AE97" i="12"/>
  <c r="AG97" i="12"/>
  <c r="AE97" i="45"/>
  <c r="AR97" i="45"/>
  <c r="Y97" i="45"/>
  <c r="B97" i="45"/>
  <c r="AO45" i="12"/>
  <c r="AR45" i="12"/>
  <c r="AT45" i="12"/>
  <c r="BJ36" i="34"/>
  <c r="BT28" i="12"/>
  <c r="CH28" i="12"/>
  <c r="DX28" i="12"/>
  <c r="CV28" i="12"/>
  <c r="AU32" i="34"/>
  <c r="AU7" i="34"/>
  <c r="BT70" i="12"/>
  <c r="BJ12" i="34"/>
  <c r="AU19" i="34"/>
  <c r="DJ28" i="12"/>
  <c r="BJ24" i="34"/>
  <c r="CA28" i="12"/>
  <c r="BC24" i="34"/>
  <c r="AN7" i="34"/>
  <c r="CO28" i="12"/>
  <c r="BM28" i="12"/>
  <c r="AN32" i="34"/>
  <c r="BC12" i="34"/>
  <c r="DQ28" i="12"/>
  <c r="DC28" i="12"/>
  <c r="BC36" i="34"/>
  <c r="AN19" i="34"/>
  <c r="BM70" i="12"/>
  <c r="CE28" i="12"/>
  <c r="BG24" i="34"/>
  <c r="AR7" i="34"/>
  <c r="DG28" i="12"/>
  <c r="BG36" i="34"/>
  <c r="AR32" i="34"/>
  <c r="AR19" i="34"/>
  <c r="BQ70" i="12"/>
  <c r="CS28" i="12"/>
  <c r="BQ28" i="12"/>
  <c r="DU28" i="12"/>
  <c r="BG12" i="34"/>
  <c r="BS70" i="12"/>
  <c r="DW28" i="12"/>
  <c r="DI28" i="12"/>
  <c r="CU28" i="12"/>
  <c r="BS28" i="12"/>
  <c r="AT32" i="34"/>
  <c r="CG28" i="12"/>
  <c r="BI24" i="34"/>
  <c r="AT7" i="34"/>
  <c r="BI12" i="34"/>
  <c r="BI36" i="34"/>
  <c r="AT19" i="34"/>
  <c r="BO70" i="12"/>
  <c r="DS28" i="12"/>
  <c r="DE28" i="12"/>
  <c r="CQ28" i="12"/>
  <c r="BO28" i="12"/>
  <c r="AP32" i="34"/>
  <c r="CC28" i="12"/>
  <c r="BE12" i="34"/>
  <c r="BE36" i="34"/>
  <c r="AP19" i="34"/>
  <c r="BE24" i="34"/>
  <c r="AP7" i="34"/>
  <c r="BP70" i="12"/>
  <c r="BF36" i="34"/>
  <c r="DT28" i="12"/>
  <c r="BF12" i="34"/>
  <c r="BF24" i="34"/>
  <c r="DF28" i="12"/>
  <c r="AQ19" i="34"/>
  <c r="CD28" i="12"/>
  <c r="CR28" i="12"/>
  <c r="BP28" i="12"/>
  <c r="AQ32" i="34"/>
  <c r="AQ7" i="34"/>
  <c r="CZ28" i="12"/>
  <c r="BX70" i="12"/>
  <c r="BX28" i="12"/>
  <c r="BN36" i="34"/>
  <c r="AY7" i="34"/>
  <c r="BN12" i="34"/>
  <c r="AY32" i="34"/>
  <c r="BI28" i="12"/>
  <c r="EB28" i="12"/>
  <c r="DN28" i="12"/>
  <c r="BN24" i="34"/>
  <c r="CL28" i="12"/>
  <c r="AY19" i="34"/>
  <c r="CF28" i="12"/>
  <c r="BH12" i="34"/>
  <c r="AS19" i="34"/>
  <c r="BR70" i="12"/>
  <c r="CT28" i="12"/>
  <c r="AS7" i="34"/>
  <c r="BR28" i="12"/>
  <c r="DV28" i="12"/>
  <c r="DH28" i="12"/>
  <c r="BH24" i="34"/>
  <c r="AS32" i="34"/>
  <c r="BH36" i="34"/>
  <c r="BD12" i="34"/>
  <c r="AO19" i="34"/>
  <c r="BN28" i="12"/>
  <c r="CB28" i="12"/>
  <c r="DR28" i="12"/>
  <c r="AO7" i="34"/>
  <c r="DD28" i="12"/>
  <c r="BD36" i="34"/>
  <c r="BN70" i="12"/>
  <c r="CP28" i="12"/>
  <c r="BD24" i="34"/>
  <c r="AO32" i="34"/>
  <c r="AP79" i="12"/>
  <c r="AR79" i="12"/>
  <c r="AP77" i="12"/>
  <c r="AR77" i="12"/>
  <c r="AW77" i="12" a="1"/>
  <c r="AW77" i="12"/>
  <c r="AQ82" i="12"/>
  <c r="AA45" i="45"/>
  <c r="AD45" i="45"/>
  <c r="AP81" i="12"/>
  <c r="AR81" i="12"/>
  <c r="CR28" i="45"/>
  <c r="DT28" i="45"/>
  <c r="DF28" i="45"/>
  <c r="BC28" i="12"/>
  <c r="DQ28" i="45"/>
  <c r="DC28" i="45"/>
  <c r="CO28" i="45"/>
  <c r="AZ28" i="12"/>
  <c r="DO28" i="45"/>
  <c r="AX28" i="12"/>
  <c r="DA28" i="45"/>
  <c r="AY28" i="12"/>
  <c r="DP28" i="45"/>
  <c r="DB28" i="45"/>
  <c r="DE28" i="45"/>
  <c r="CQ28" i="45"/>
  <c r="BB28" i="12"/>
  <c r="DS28" i="45"/>
  <c r="DU28" i="45"/>
  <c r="DG28" i="45"/>
  <c r="CS28" i="45"/>
  <c r="BD28" i="12"/>
  <c r="AC45" i="45"/>
  <c r="BE28" i="12"/>
  <c r="DV28" i="45"/>
  <c r="DH28" i="45"/>
  <c r="CT28" i="45"/>
  <c r="CZ28" i="45"/>
  <c r="EB28" i="45"/>
  <c r="DN28" i="45"/>
  <c r="DR28" i="45"/>
  <c r="DD28" i="45"/>
  <c r="CP28" i="45"/>
  <c r="BA28" i="12"/>
  <c r="AC60" i="45"/>
  <c r="AB60" i="45"/>
  <c r="AD60" i="45"/>
  <c r="AE32" i="12"/>
  <c r="AG32" i="12"/>
  <c r="AE32" i="45"/>
  <c r="AQ80" i="12"/>
  <c r="AS60" i="45"/>
  <c r="AS32" i="45"/>
  <c r="AR32" i="45"/>
  <c r="AT32" i="45"/>
  <c r="AD47" i="45"/>
  <c r="AD49" i="45"/>
  <c r="AC49" i="45"/>
  <c r="AA47" i="45"/>
  <c r="AC47" i="45"/>
  <c r="AA49" i="45"/>
  <c r="AR31" i="45"/>
  <c r="AT31" i="45"/>
  <c r="AR41" i="45"/>
  <c r="AT41" i="45"/>
  <c r="AS47" i="45"/>
  <c r="AS36" i="45"/>
  <c r="AS40" i="45"/>
  <c r="AR61" i="45"/>
  <c r="AT61" i="45"/>
  <c r="AS42" i="45"/>
  <c r="AS67" i="45"/>
  <c r="AR54" i="45"/>
  <c r="AT54" i="45"/>
  <c r="AR63" i="45"/>
  <c r="AT63" i="45"/>
  <c r="AR30" i="45"/>
  <c r="AT30" i="45"/>
  <c r="AS62" i="45"/>
  <c r="AR37" i="45"/>
  <c r="AT37" i="45"/>
  <c r="AS53" i="45"/>
  <c r="AS46" i="45"/>
  <c r="BC76" i="12" a="1"/>
  <c r="BC76" i="12"/>
  <c r="AX76" i="12" a="1"/>
  <c r="AX76" i="12"/>
  <c r="BE76" i="12" a="1"/>
  <c r="BE76" i="12"/>
  <c r="AW76" i="12" a="1"/>
  <c r="AW76" i="12"/>
  <c r="BA76" i="12" a="1"/>
  <c r="BA76" i="12"/>
  <c r="BD76" i="12" a="1"/>
  <c r="BD76" i="12"/>
  <c r="AY76" i="12" a="1"/>
  <c r="AY76" i="12"/>
  <c r="BB76" i="12" a="1"/>
  <c r="BB76" i="12"/>
  <c r="AV76" i="12" a="1"/>
  <c r="AV76" i="12"/>
  <c r="AZ76" i="12" a="1"/>
  <c r="AZ76" i="12"/>
  <c r="BB80" i="12" a="1"/>
  <c r="BB80" i="12"/>
  <c r="AX80" i="12" a="1"/>
  <c r="AX80" i="12"/>
  <c r="BD80" i="12" a="1"/>
  <c r="BD80" i="12"/>
  <c r="BE80" i="12" a="1"/>
  <c r="BE80" i="12"/>
  <c r="AY80" i="12" a="1"/>
  <c r="AY80" i="12"/>
  <c r="AW80" i="12" a="1"/>
  <c r="AW80" i="12"/>
  <c r="BC80" i="12" a="1"/>
  <c r="BC80" i="12"/>
  <c r="AV80" i="12" a="1"/>
  <c r="AV80" i="12"/>
  <c r="AZ80" i="12" a="1"/>
  <c r="AZ80" i="12"/>
  <c r="BA80" i="12" a="1"/>
  <c r="BA80" i="12"/>
  <c r="AS59" i="45"/>
  <c r="AR52" i="45"/>
  <c r="AT52" i="45"/>
  <c r="AS57" i="45"/>
  <c r="AS55" i="45"/>
  <c r="AS35" i="45"/>
  <c r="AR38" i="45"/>
  <c r="AT38" i="45"/>
  <c r="AS56" i="45"/>
  <c r="AS49" i="45"/>
  <c r="AS48" i="45"/>
  <c r="AU60" i="45"/>
  <c r="AS39" i="45"/>
  <c r="AS50" i="45"/>
  <c r="AS43" i="45"/>
  <c r="AS51" i="45"/>
  <c r="AR58" i="45"/>
  <c r="AT58" i="45"/>
  <c r="BA78" i="12" a="1"/>
  <c r="BA78" i="12"/>
  <c r="BD78" i="12" a="1"/>
  <c r="BD78" i="12"/>
  <c r="AV78" i="12" a="1"/>
  <c r="AV78" i="12"/>
  <c r="AZ78" i="12" a="1"/>
  <c r="AZ78" i="12"/>
  <c r="BC78" i="12" a="1"/>
  <c r="BC78" i="12"/>
  <c r="AY78" i="12" a="1"/>
  <c r="AY78" i="12"/>
  <c r="BB78" i="12" a="1"/>
  <c r="BB78" i="12"/>
  <c r="AW78" i="12" a="1"/>
  <c r="AW78" i="12"/>
  <c r="BE78" i="12" a="1"/>
  <c r="BE78" i="12"/>
  <c r="AX78" i="12" a="1"/>
  <c r="AX78" i="12"/>
  <c r="BA84" i="12" a="1"/>
  <c r="BA84" i="12"/>
  <c r="BD84" i="12" a="1"/>
  <c r="BD84" i="12"/>
  <c r="AX84" i="12" a="1"/>
  <c r="AX84" i="12"/>
  <c r="BB84" i="12" a="1"/>
  <c r="BB84" i="12"/>
  <c r="AV84" i="12" a="1"/>
  <c r="AV84" i="12"/>
  <c r="BC84" i="12" a="1"/>
  <c r="BC84" i="12"/>
  <c r="AW84" i="12" a="1"/>
  <c r="AW84" i="12"/>
  <c r="AY84" i="12" a="1"/>
  <c r="AY84" i="12"/>
  <c r="BE84" i="12" a="1"/>
  <c r="BE84" i="12"/>
  <c r="AZ84" i="12" a="1"/>
  <c r="AZ84" i="12"/>
  <c r="AU59" i="45"/>
  <c r="AS34" i="45"/>
  <c r="AU67" i="45"/>
  <c r="AA33" i="45"/>
  <c r="Y83" i="45"/>
  <c r="Y40" i="45"/>
  <c r="AC40" i="45"/>
  <c r="Y54" i="45"/>
  <c r="AA54" i="45"/>
  <c r="AA55" i="45"/>
  <c r="AD36" i="12"/>
  <c r="AD59" i="45"/>
  <c r="AC97" i="12"/>
  <c r="AD97" i="12"/>
  <c r="AR65" i="45"/>
  <c r="AT65" i="45"/>
  <c r="AV65" i="45"/>
  <c r="G65" i="45"/>
  <c r="AB36" i="12"/>
  <c r="AB62" i="12"/>
  <c r="AB97" i="12"/>
  <c r="AA62" i="12"/>
  <c r="AD63" i="12"/>
  <c r="AR53" i="45"/>
  <c r="AT53" i="45"/>
  <c r="AE37" i="45"/>
  <c r="AG37" i="45"/>
  <c r="AD62" i="12"/>
  <c r="Y62" i="45"/>
  <c r="AD62" i="45"/>
  <c r="AR55" i="45"/>
  <c r="AT55" i="45"/>
  <c r="AW67" i="45"/>
  <c r="AC33" i="45"/>
  <c r="AC35" i="12"/>
  <c r="AR34" i="45"/>
  <c r="AT34" i="45"/>
  <c r="AD64" i="12"/>
  <c r="AB33" i="45"/>
  <c r="AB64" i="12"/>
  <c r="AS61" i="45"/>
  <c r="AS63" i="45"/>
  <c r="AC36" i="12"/>
  <c r="Y39" i="45"/>
  <c r="AC39" i="45"/>
  <c r="AB54" i="12"/>
  <c r="AR36" i="45"/>
  <c r="AT36" i="45"/>
  <c r="AR40" i="45"/>
  <c r="AT40" i="45"/>
  <c r="AR44" i="45"/>
  <c r="AT44" i="45"/>
  <c r="AR64" i="45"/>
  <c r="AT64" i="45"/>
  <c r="AA40" i="12"/>
  <c r="AB40" i="12"/>
  <c r="AA36" i="12"/>
  <c r="AD55" i="45"/>
  <c r="AD54" i="12"/>
  <c r="AA54" i="12"/>
  <c r="AR35" i="12"/>
  <c r="AT35" i="12"/>
  <c r="AE63" i="45"/>
  <c r="AF63" i="45"/>
  <c r="AD40" i="12"/>
  <c r="AE46" i="12"/>
  <c r="AG46" i="12"/>
  <c r="AC55" i="45"/>
  <c r="AA59" i="45"/>
  <c r="AR64" i="12"/>
  <c r="AT64" i="12"/>
  <c r="AR39" i="12"/>
  <c r="AT39" i="12"/>
  <c r="AD46" i="12"/>
  <c r="AC59" i="45"/>
  <c r="AR49" i="45"/>
  <c r="AT49" i="45"/>
  <c r="X11" i="45"/>
  <c r="AR53" i="12"/>
  <c r="AT53" i="12"/>
  <c r="BH76" i="12" a="1"/>
  <c r="BH76" i="12"/>
  <c r="X9" i="34"/>
  <c r="AR57" i="45"/>
  <c r="AT57" i="45"/>
  <c r="AR48" i="45"/>
  <c r="AT48" i="45"/>
  <c r="AA64" i="12"/>
  <c r="AB63" i="12"/>
  <c r="AS45" i="45"/>
  <c r="AR62" i="12"/>
  <c r="AT62" i="12"/>
  <c r="AR51" i="12"/>
  <c r="AT51" i="12"/>
  <c r="Y64" i="45"/>
  <c r="AB64" i="45"/>
  <c r="AU76" i="12" a="1"/>
  <c r="AU76" i="12"/>
  <c r="AD39" i="12"/>
  <c r="AR62" i="45"/>
  <c r="AT62" i="45"/>
  <c r="AE57" i="45"/>
  <c r="AG57" i="45"/>
  <c r="Y63" i="45"/>
  <c r="AB63" i="45"/>
  <c r="AB39" i="12"/>
  <c r="AA46" i="12"/>
  <c r="AC46" i="12"/>
  <c r="AC63" i="12"/>
  <c r="AR35" i="45"/>
  <c r="AT35" i="45"/>
  <c r="AR50" i="12"/>
  <c r="AT50" i="12"/>
  <c r="AP82" i="12"/>
  <c r="AR82" i="12"/>
  <c r="BG82" i="12" a="1"/>
  <c r="BG82" i="12"/>
  <c r="AB38" i="12"/>
  <c r="AR48" i="12"/>
  <c r="AT48" i="12"/>
  <c r="AC39" i="12"/>
  <c r="AD52" i="12"/>
  <c r="AS37" i="45"/>
  <c r="AV60" i="45"/>
  <c r="G60" i="45"/>
  <c r="AR52" i="12"/>
  <c r="AT52" i="12"/>
  <c r="AR56" i="45"/>
  <c r="AT56" i="45"/>
  <c r="AP18" i="45"/>
  <c r="AR18" i="45"/>
  <c r="AS31" i="45"/>
  <c r="AS30" i="45"/>
  <c r="AS58" i="45"/>
  <c r="AO85" i="12"/>
  <c r="AQ85" i="12"/>
  <c r="AE53" i="45"/>
  <c r="AF53" i="45"/>
  <c r="AC38" i="12"/>
  <c r="Y76" i="45"/>
  <c r="Y46" i="45"/>
  <c r="AD46" i="45"/>
  <c r="AE52" i="45"/>
  <c r="AG52" i="45"/>
  <c r="AA38" i="12"/>
  <c r="AU59" i="12"/>
  <c r="Y67" i="45"/>
  <c r="B67" i="45"/>
  <c r="AC52" i="12"/>
  <c r="AB52" i="12"/>
  <c r="Y52" i="45"/>
  <c r="BH78" i="12" a="1"/>
  <c r="BH78" i="12"/>
  <c r="AD38" i="12"/>
  <c r="AD57" i="12"/>
  <c r="AA57" i="12"/>
  <c r="AB57" i="12"/>
  <c r="AC57" i="12"/>
  <c r="Y57" i="45"/>
  <c r="X21" i="34"/>
  <c r="X46" i="34"/>
  <c r="AV59" i="45"/>
  <c r="G59" i="45"/>
  <c r="AE58" i="45"/>
  <c r="AF58" i="45"/>
  <c r="Y35" i="45"/>
  <c r="AB35" i="45"/>
  <c r="AS52" i="45"/>
  <c r="AS44" i="45"/>
  <c r="AR37" i="12"/>
  <c r="AT37" i="12"/>
  <c r="AR30" i="12"/>
  <c r="X13" i="34"/>
  <c r="AR31" i="12"/>
  <c r="AQ84" i="12"/>
  <c r="AB100" i="12"/>
  <c r="AC100" i="12"/>
  <c r="AD100" i="12"/>
  <c r="AA100" i="12"/>
  <c r="AA37" i="45"/>
  <c r="AB37" i="45"/>
  <c r="AC37" i="45"/>
  <c r="AD37" i="45"/>
  <c r="AU67" i="12"/>
  <c r="AA35" i="12"/>
  <c r="AS41" i="45"/>
  <c r="AS64" i="45"/>
  <c r="AR65" i="12"/>
  <c r="AT65" i="12"/>
  <c r="AV65" i="12"/>
  <c r="G65" i="12"/>
  <c r="AP86" i="12"/>
  <c r="AR86" i="12"/>
  <c r="AB101" i="12"/>
  <c r="AC101" i="12"/>
  <c r="AD101" i="12"/>
  <c r="AA101" i="12"/>
  <c r="BH80" i="12" a="1"/>
  <c r="BH80" i="12"/>
  <c r="AU80" i="12" a="1"/>
  <c r="AU80" i="12"/>
  <c r="AS32" i="12"/>
  <c r="AR32" i="12"/>
  <c r="AR44" i="12"/>
  <c r="AT44" i="12"/>
  <c r="X23" i="34"/>
  <c r="AR49" i="12"/>
  <c r="AT49" i="12"/>
  <c r="AR58" i="12"/>
  <c r="AT58" i="12"/>
  <c r="AR38" i="12"/>
  <c r="AT38" i="12"/>
  <c r="AR51" i="45"/>
  <c r="AT51" i="45"/>
  <c r="AD35" i="12"/>
  <c r="X25" i="34"/>
  <c r="AR61" i="12"/>
  <c r="AT61" i="12"/>
  <c r="AR57" i="12"/>
  <c r="AT57" i="12"/>
  <c r="AR36" i="12"/>
  <c r="AT36" i="12"/>
  <c r="AS31" i="12"/>
  <c r="AS30" i="12"/>
  <c r="AA41" i="45"/>
  <c r="AB41" i="45"/>
  <c r="AC41" i="45"/>
  <c r="AR39" i="45"/>
  <c r="AT39" i="45"/>
  <c r="AS38" i="45"/>
  <c r="AR50" i="45"/>
  <c r="AT50" i="45"/>
  <c r="AP83" i="12"/>
  <c r="AR83" i="12"/>
  <c r="BG83" i="12" a="1"/>
  <c r="BG83" i="12"/>
  <c r="AQ83" i="12"/>
  <c r="AE56" i="12"/>
  <c r="AE56" i="45"/>
  <c r="X24" i="34"/>
  <c r="AE39" i="45"/>
  <c r="AE39" i="12"/>
  <c r="AE62" i="12"/>
  <c r="AE62" i="45"/>
  <c r="AE51" i="12"/>
  <c r="AE51" i="45"/>
  <c r="AE45" i="12"/>
  <c r="AE45" i="45"/>
  <c r="AE34" i="12"/>
  <c r="AE34" i="45"/>
  <c r="AS33" i="45"/>
  <c r="AR33" i="45"/>
  <c r="AT33" i="45"/>
  <c r="AS54" i="45"/>
  <c r="AE50" i="12"/>
  <c r="AE50" i="45"/>
  <c r="AR66" i="12"/>
  <c r="AT66" i="12"/>
  <c r="AV66" i="12"/>
  <c r="G66" i="12"/>
  <c r="F66" i="45"/>
  <c r="AQ66" i="45"/>
  <c r="AE42" i="12"/>
  <c r="AE42" i="45"/>
  <c r="AE47" i="12"/>
  <c r="AE47" i="45"/>
  <c r="AE59" i="12"/>
  <c r="AE59" i="45"/>
  <c r="AE33" i="12"/>
  <c r="AE33" i="45"/>
  <c r="AE43" i="12"/>
  <c r="AE43" i="45"/>
  <c r="AE55" i="12"/>
  <c r="AE55" i="45"/>
  <c r="AE31" i="12"/>
  <c r="AE31" i="45"/>
  <c r="AS65" i="45"/>
  <c r="AE35" i="45"/>
  <c r="AE35" i="12"/>
  <c r="AE30" i="12"/>
  <c r="AE30" i="45"/>
  <c r="AE49" i="12"/>
  <c r="AE49" i="45"/>
  <c r="AE48" i="12"/>
  <c r="AE48" i="45"/>
  <c r="AE54" i="12"/>
  <c r="AE54" i="45"/>
  <c r="AE36" i="12"/>
  <c r="AE36" i="45"/>
  <c r="AE61" i="12"/>
  <c r="AE61" i="45"/>
  <c r="AE38" i="12"/>
  <c r="AE38" i="45"/>
  <c r="AE64" i="12"/>
  <c r="AE64" i="45"/>
  <c r="AE41" i="12"/>
  <c r="AE41" i="45"/>
  <c r="AE44" i="45"/>
  <c r="AE44" i="12"/>
  <c r="AE60" i="12"/>
  <c r="AE60" i="45"/>
  <c r="AE40" i="12"/>
  <c r="AE40" i="45"/>
  <c r="AI21" i="34"/>
  <c r="X11" i="34"/>
  <c r="AI46" i="34"/>
  <c r="AI11" i="34"/>
  <c r="AI23" i="34"/>
  <c r="AI52" i="34"/>
  <c r="AI12" i="34"/>
  <c r="AI34" i="34"/>
  <c r="AI22" i="34"/>
  <c r="AI24" i="34"/>
  <c r="AI10" i="34"/>
  <c r="AI9" i="34"/>
  <c r="AI40" i="34"/>
  <c r="X12" i="34"/>
  <c r="X10" i="34"/>
  <c r="AU84" i="12" a="1"/>
  <c r="AU84" i="12"/>
  <c r="BH84" i="12" a="1"/>
  <c r="BH84" i="12"/>
  <c r="AB56" i="45"/>
  <c r="AC56" i="45"/>
  <c r="AD56" i="45"/>
  <c r="AA56" i="45"/>
  <c r="AV60" i="12"/>
  <c r="G60" i="12"/>
  <c r="AD48" i="45"/>
  <c r="AC48" i="45"/>
  <c r="AA48" i="45"/>
  <c r="AB48" i="45"/>
  <c r="AB53" i="45"/>
  <c r="AD53" i="45"/>
  <c r="AA53" i="45"/>
  <c r="AC53" i="45"/>
  <c r="X22" i="34"/>
  <c r="AB51" i="12"/>
  <c r="AC51" i="12"/>
  <c r="Y51" i="45"/>
  <c r="AA51" i="12"/>
  <c r="AD51" i="12"/>
  <c r="AQ18" i="45"/>
  <c r="AB61" i="45"/>
  <c r="AC61" i="45"/>
  <c r="AA61" i="45"/>
  <c r="AD61" i="45"/>
  <c r="AU78" i="12" a="1"/>
  <c r="AU78" i="12"/>
  <c r="AD43" i="45"/>
  <c r="AC43" i="45"/>
  <c r="AA43" i="45"/>
  <c r="AB43" i="45"/>
  <c r="AU60" i="12"/>
  <c r="AR33" i="12"/>
  <c r="AT33" i="12"/>
  <c r="AR34" i="12"/>
  <c r="AT34" i="12"/>
  <c r="AS99" i="12"/>
  <c r="AR40" i="12"/>
  <c r="AT40" i="12"/>
  <c r="AR41" i="12"/>
  <c r="AT41" i="12"/>
  <c r="AR54" i="12"/>
  <c r="AT54" i="12"/>
  <c r="AR55" i="12"/>
  <c r="AT55" i="12"/>
  <c r="AR56" i="12"/>
  <c r="AT56" i="12"/>
  <c r="AR63" i="12"/>
  <c r="AT63" i="12"/>
  <c r="AS100" i="12"/>
  <c r="AS63" i="12"/>
  <c r="AS60" i="12"/>
  <c r="AS55" i="12"/>
  <c r="AS51" i="12"/>
  <c r="AS47" i="12"/>
  <c r="AS42" i="12"/>
  <c r="AS39" i="12"/>
  <c r="AS35" i="12"/>
  <c r="AS97" i="12"/>
  <c r="AS67" i="12"/>
  <c r="AS59" i="12"/>
  <c r="AS56" i="12"/>
  <c r="AS52" i="12"/>
  <c r="AS45" i="12"/>
  <c r="AS40" i="12"/>
  <c r="AS36" i="12"/>
  <c r="AS48" i="12"/>
  <c r="AS101" i="12"/>
  <c r="AS98" i="12"/>
  <c r="AS65" i="12"/>
  <c r="AS64" i="12"/>
  <c r="AS61" i="12"/>
  <c r="AS54" i="12"/>
  <c r="AS49" i="12"/>
  <c r="AS44" i="12"/>
  <c r="AS43" i="12"/>
  <c r="AS37" i="12"/>
  <c r="AS34" i="12"/>
  <c r="AS50" i="12"/>
  <c r="AS41" i="12"/>
  <c r="AS102" i="12"/>
  <c r="AS46" i="12"/>
  <c r="AS62" i="12"/>
  <c r="AS58" i="12"/>
  <c r="AS53" i="12"/>
  <c r="AS38" i="12"/>
  <c r="AS33" i="12"/>
  <c r="AS57" i="12"/>
  <c r="AA58" i="45"/>
  <c r="AB58" i="45"/>
  <c r="AC58" i="45"/>
  <c r="AD58" i="45"/>
  <c r="AD44" i="12"/>
  <c r="AA44" i="12"/>
  <c r="AB44" i="12"/>
  <c r="AC44" i="12"/>
  <c r="Y44" i="45"/>
  <c r="AA42" i="45"/>
  <c r="AD42" i="45"/>
  <c r="AC42" i="45"/>
  <c r="AB42" i="45"/>
  <c r="AA50" i="45"/>
  <c r="AD50" i="45"/>
  <c r="AB50" i="45"/>
  <c r="AC50" i="45"/>
  <c r="AB34" i="45"/>
  <c r="AC34" i="45"/>
  <c r="AD34" i="45"/>
  <c r="AA34" i="45"/>
  <c r="AT76" i="45"/>
  <c r="AT77" i="45"/>
  <c r="AT81" i="45"/>
  <c r="AT79" i="45"/>
  <c r="AT83" i="45"/>
  <c r="AT82" i="45"/>
  <c r="AT85" i="45"/>
  <c r="AT78" i="45"/>
  <c r="AT80" i="45"/>
  <c r="AT84" i="45"/>
  <c r="AT86" i="45"/>
  <c r="E295" i="47"/>
  <c r="E295" i="9"/>
  <c r="AV59" i="12"/>
  <c r="G59" i="12"/>
  <c r="AO42" i="12"/>
  <c r="AR42" i="12"/>
  <c r="AT42" i="12"/>
  <c r="AO42" i="45"/>
  <c r="AR42" i="45"/>
  <c r="AT42" i="45"/>
  <c r="AO47" i="12"/>
  <c r="AR47" i="12"/>
  <c r="AT47" i="12"/>
  <c r="AO47" i="45"/>
  <c r="AR47" i="45"/>
  <c r="AT47" i="45"/>
  <c r="AO43" i="12"/>
  <c r="AR43" i="12"/>
  <c r="AT43" i="12"/>
  <c r="AO43" i="45"/>
  <c r="AR43" i="45"/>
  <c r="AT43" i="45"/>
  <c r="AO46" i="12"/>
  <c r="AR46" i="12"/>
  <c r="AT46" i="12"/>
  <c r="AO46" i="45"/>
  <c r="AR46" i="45"/>
  <c r="AT46" i="45"/>
  <c r="AA99" i="45"/>
  <c r="AD99" i="45"/>
  <c r="AC99" i="45"/>
  <c r="AB99" i="45"/>
  <c r="AA100" i="45"/>
  <c r="AD100" i="45"/>
  <c r="AC100" i="45"/>
  <c r="AB100" i="45"/>
  <c r="AA101" i="45"/>
  <c r="AD101" i="45"/>
  <c r="AC101" i="45"/>
  <c r="AB101" i="45"/>
  <c r="AA102" i="45"/>
  <c r="AD102" i="45"/>
  <c r="AC102" i="45"/>
  <c r="AB102" i="45"/>
  <c r="AA98" i="45"/>
  <c r="AD98" i="45"/>
  <c r="AC98" i="45"/>
  <c r="AB98" i="45"/>
  <c r="AC38" i="45"/>
  <c r="AD36" i="45"/>
  <c r="AH63" i="12"/>
  <c r="BW63" i="12" a="1"/>
  <c r="BW63" i="12"/>
  <c r="AB38" i="45"/>
  <c r="AA38" i="45"/>
  <c r="AB36" i="45"/>
  <c r="AC36" i="45"/>
  <c r="AH52" i="12"/>
  <c r="BQ52" i="12" a="1"/>
  <c r="BQ52" i="12"/>
  <c r="AP12" i="34" a="1"/>
  <c r="AP12" i="34"/>
  <c r="AQ12" i="34" a="1"/>
  <c r="AQ12" i="34"/>
  <c r="AS12" i="34" a="1"/>
  <c r="AS12" i="34"/>
  <c r="AY12" i="34" a="1"/>
  <c r="AY12" i="34"/>
  <c r="AO12" i="34" a="1"/>
  <c r="AO12" i="34"/>
  <c r="BA12" i="34" a="1"/>
  <c r="BA12" i="34"/>
  <c r="AU12" i="34" a="1"/>
  <c r="AU12" i="34"/>
  <c r="AT12" i="34" a="1"/>
  <c r="AT12" i="34"/>
  <c r="AN12" i="34" a="1"/>
  <c r="AN12" i="34"/>
  <c r="AX12" i="34" a="1"/>
  <c r="AX12" i="34"/>
  <c r="AZ12" i="34" a="1"/>
  <c r="AZ12" i="34"/>
  <c r="AV12" i="34" a="1"/>
  <c r="AV12" i="34"/>
  <c r="AW12" i="34" a="1"/>
  <c r="AW12" i="34"/>
  <c r="AR12" i="34" a="1"/>
  <c r="AR12" i="34"/>
  <c r="AQ79" i="45"/>
  <c r="AG58" i="12"/>
  <c r="AP81" i="45"/>
  <c r="AG101" i="12"/>
  <c r="AF57" i="12"/>
  <c r="AI57" i="12"/>
  <c r="CN57" i="12" a="1"/>
  <c r="CN57" i="12"/>
  <c r="AF100" i="12"/>
  <c r="AK100" i="12"/>
  <c r="AP85" i="45"/>
  <c r="AF53" i="12"/>
  <c r="AH53" i="12"/>
  <c r="BW53" i="12" a="1"/>
  <c r="BW53" i="12"/>
  <c r="AG53" i="12"/>
  <c r="AP78" i="45"/>
  <c r="BF83" i="12" a="1"/>
  <c r="BF83" i="12"/>
  <c r="AQ83" i="45"/>
  <c r="AQ80" i="45"/>
  <c r="BF82" i="12" a="1"/>
  <c r="BF82" i="12"/>
  <c r="AG52" i="12"/>
  <c r="F84" i="45"/>
  <c r="H84" i="45"/>
  <c r="AO84" i="45"/>
  <c r="AQ84" i="45"/>
  <c r="AG63" i="12"/>
  <c r="BF86" i="12" a="1"/>
  <c r="BF86" i="12"/>
  <c r="BG86" i="12" a="1"/>
  <c r="BG86" i="12"/>
  <c r="F86" i="45"/>
  <c r="H86" i="45"/>
  <c r="AO86" i="45"/>
  <c r="AQ86" i="45"/>
  <c r="AQ77" i="45"/>
  <c r="BG77" i="12" a="1"/>
  <c r="BG77" i="12"/>
  <c r="BF77" i="12" a="1"/>
  <c r="BF77" i="12"/>
  <c r="AF46" i="45"/>
  <c r="AK46" i="45"/>
  <c r="F82" i="45"/>
  <c r="H82" i="45"/>
  <c r="AO82" i="45"/>
  <c r="AQ82" i="45"/>
  <c r="AF37" i="12"/>
  <c r="AJ37" i="12"/>
  <c r="CP37" i="12" a="1"/>
  <c r="CP37" i="12"/>
  <c r="AW81" i="12" a="1"/>
  <c r="AW81" i="12"/>
  <c r="BF81" i="12" a="1"/>
  <c r="BF81" i="12"/>
  <c r="AQ76" i="45"/>
  <c r="BG81" i="12" a="1"/>
  <c r="BG81" i="12"/>
  <c r="AY79" i="12" a="1"/>
  <c r="AY79" i="12"/>
  <c r="BF79" i="12" a="1"/>
  <c r="BF79" i="12"/>
  <c r="BG79" i="12" a="1"/>
  <c r="BG79" i="12"/>
  <c r="S16" i="48"/>
  <c r="R16" i="48"/>
  <c r="T16" i="48"/>
  <c r="U16" i="48"/>
  <c r="AG102" i="12"/>
  <c r="AF97" i="12"/>
  <c r="AK97" i="12"/>
  <c r="AF99" i="12"/>
  <c r="AI99" i="12"/>
  <c r="CO99" i="12" a="1"/>
  <c r="CO99" i="12"/>
  <c r="AF102" i="45"/>
  <c r="G102" i="12"/>
  <c r="AF98" i="12"/>
  <c r="AH98" i="12"/>
  <c r="BU98" i="12" a="1"/>
  <c r="BU98" i="12"/>
  <c r="G99" i="12"/>
  <c r="G100" i="12"/>
  <c r="AG97" i="45"/>
  <c r="AF97" i="45"/>
  <c r="AG99" i="45"/>
  <c r="AF99" i="45"/>
  <c r="AG100" i="45"/>
  <c r="AF100" i="45"/>
  <c r="G98" i="12"/>
  <c r="G101" i="12"/>
  <c r="AG101" i="45"/>
  <c r="AF101" i="45"/>
  <c r="AG98" i="45"/>
  <c r="AF98" i="45"/>
  <c r="AD97" i="45"/>
  <c r="AB97" i="45"/>
  <c r="AC97" i="45"/>
  <c r="AA97" i="45"/>
  <c r="G97" i="12"/>
  <c r="AV103" i="12"/>
  <c r="BE79" i="12" a="1"/>
  <c r="BE79" i="12"/>
  <c r="BH67" i="45" a="1"/>
  <c r="BH67" i="45"/>
  <c r="BK67" i="45" a="1"/>
  <c r="BK67" i="45"/>
  <c r="BJ67" i="45" a="1"/>
  <c r="BJ67" i="45"/>
  <c r="BI67" i="45" a="1"/>
  <c r="BI67" i="45"/>
  <c r="BF60" i="45" a="1"/>
  <c r="BF60" i="45"/>
  <c r="BJ60" i="45" a="1"/>
  <c r="BJ60" i="45"/>
  <c r="BI60" i="45" a="1"/>
  <c r="BI60" i="45"/>
  <c r="BK60" i="45" a="1"/>
  <c r="BK60" i="45"/>
  <c r="AX59" i="45" a="1"/>
  <c r="AX59" i="45"/>
  <c r="BJ59" i="45" a="1"/>
  <c r="BJ59" i="45"/>
  <c r="BI59" i="45" a="1"/>
  <c r="BI59" i="45"/>
  <c r="BK59" i="45" a="1"/>
  <c r="BK59" i="45"/>
  <c r="AU79" i="12" a="1"/>
  <c r="AU79" i="12"/>
  <c r="BC79" i="12" a="1"/>
  <c r="BC79" i="12"/>
  <c r="AW79" i="12" a="1"/>
  <c r="AW79" i="12"/>
  <c r="AV79" i="12" a="1"/>
  <c r="AV79" i="12"/>
  <c r="BD79" i="12" a="1"/>
  <c r="BD79" i="12"/>
  <c r="BH79" i="12" a="1"/>
  <c r="BH79" i="12"/>
  <c r="BA79" i="12" a="1"/>
  <c r="BA79" i="12"/>
  <c r="BB79" i="12" a="1"/>
  <c r="BB79" i="12"/>
  <c r="AX79" i="12" a="1"/>
  <c r="AX79" i="12"/>
  <c r="AZ79" i="12" a="1"/>
  <c r="AZ79" i="12"/>
  <c r="BI67" i="12" a="1"/>
  <c r="BI67" i="12"/>
  <c r="BJ67" i="12" a="1"/>
  <c r="BJ67" i="12"/>
  <c r="BJ59" i="12" a="1"/>
  <c r="BJ59" i="12"/>
  <c r="BI59" i="12" a="1"/>
  <c r="BI59" i="12"/>
  <c r="BX58" i="12" a="1"/>
  <c r="BX58" i="12"/>
  <c r="BY58" i="12" a="1"/>
  <c r="BY58" i="12"/>
  <c r="BI60" i="12" a="1"/>
  <c r="BI60" i="12"/>
  <c r="BJ60" i="12" a="1"/>
  <c r="BJ60" i="12"/>
  <c r="AT21" i="34" a="1"/>
  <c r="AT21" i="34"/>
  <c r="AT25" i="34"/>
  <c r="BD31" i="12"/>
  <c r="BA21" i="34" a="1"/>
  <c r="BA21" i="34"/>
  <c r="BA25" i="34"/>
  <c r="BK31" i="12"/>
  <c r="AZ21" i="34" a="1"/>
  <c r="AZ21" i="34"/>
  <c r="AZ25" i="34"/>
  <c r="BJ31" i="12"/>
  <c r="AY21" i="34" a="1"/>
  <c r="AY21" i="34"/>
  <c r="AY25" i="34"/>
  <c r="BI31" i="12"/>
  <c r="AY77" i="12" a="1"/>
  <c r="AY77" i="12"/>
  <c r="BH77" i="12" a="1"/>
  <c r="BH77" i="12"/>
  <c r="BE77" i="12" a="1"/>
  <c r="BE77" i="12"/>
  <c r="BD77" i="12" a="1"/>
  <c r="BD77" i="12"/>
  <c r="AX77" i="12" a="1"/>
  <c r="AX77" i="12"/>
  <c r="AF32" i="12"/>
  <c r="BC77" i="12" a="1"/>
  <c r="BC77" i="12"/>
  <c r="AZ77" i="12" a="1"/>
  <c r="AZ77" i="12"/>
  <c r="BA77" i="12" a="1"/>
  <c r="BA77" i="12"/>
  <c r="AU77" i="12" a="1"/>
  <c r="AU77" i="12"/>
  <c r="AV77" i="12" a="1"/>
  <c r="AV77" i="12"/>
  <c r="BB77" i="12" a="1"/>
  <c r="BB77" i="12"/>
  <c r="BD81" i="12" a="1"/>
  <c r="BD81" i="12"/>
  <c r="AU81" i="12" a="1"/>
  <c r="AU81" i="12"/>
  <c r="BH81" i="12" a="1"/>
  <c r="BH81" i="12"/>
  <c r="AY81" i="12" a="1"/>
  <c r="AY81" i="12"/>
  <c r="BE81" i="12" a="1"/>
  <c r="BE81" i="12"/>
  <c r="BC81" i="12" a="1"/>
  <c r="BC81" i="12"/>
  <c r="AV81" i="12" a="1"/>
  <c r="AV81" i="12"/>
  <c r="AT104" i="12"/>
  <c r="BB67" i="45" a="1"/>
  <c r="BB67" i="45"/>
  <c r="AZ59" i="45" a="1"/>
  <c r="AZ59" i="45"/>
  <c r="BC59" i="45" a="1"/>
  <c r="BC59" i="45"/>
  <c r="BH59" i="45" a="1"/>
  <c r="BH59" i="45"/>
  <c r="BA81" i="12" a="1"/>
  <c r="BA81" i="12"/>
  <c r="AZ81" i="12" a="1"/>
  <c r="AZ81" i="12"/>
  <c r="BB81" i="12" a="1"/>
  <c r="BB81" i="12"/>
  <c r="BA67" i="45" a="1"/>
  <c r="BA67" i="45"/>
  <c r="BB59" i="45" a="1"/>
  <c r="BB59" i="45"/>
  <c r="BG60" i="45" a="1"/>
  <c r="BG60" i="45"/>
  <c r="AY60" i="45" a="1"/>
  <c r="AY60" i="45"/>
  <c r="AZ67" i="45" a="1"/>
  <c r="AZ67" i="45"/>
  <c r="BD67" i="45" a="1"/>
  <c r="BD67" i="45"/>
  <c r="BB60" i="45" a="1"/>
  <c r="BB60" i="45"/>
  <c r="AY59" i="45" a="1"/>
  <c r="AY59" i="45"/>
  <c r="BD59" i="45" a="1"/>
  <c r="BD59" i="45"/>
  <c r="BE59" i="45" a="1"/>
  <c r="BE59" i="45"/>
  <c r="AX81" i="12" a="1"/>
  <c r="AX81" i="12"/>
  <c r="AY67" i="45" a="1"/>
  <c r="AY67" i="45"/>
  <c r="BE60" i="45" a="1"/>
  <c r="BE60" i="45"/>
  <c r="BC60" i="45" a="1"/>
  <c r="BC60" i="45"/>
  <c r="BG67" i="45" a="1"/>
  <c r="BG67" i="45"/>
  <c r="BE67" i="45" a="1"/>
  <c r="BE67" i="45"/>
  <c r="BH60" i="45" a="1"/>
  <c r="BH60" i="45"/>
  <c r="BA60" i="45" a="1"/>
  <c r="BA60" i="45"/>
  <c r="AZ60" i="45" a="1"/>
  <c r="AZ60" i="45"/>
  <c r="BD60" i="45" a="1"/>
  <c r="BD60" i="45"/>
  <c r="BF59" i="45" a="1"/>
  <c r="BF59" i="45"/>
  <c r="BG59" i="45" a="1"/>
  <c r="BG59" i="45"/>
  <c r="AT18" i="45"/>
  <c r="BC67" i="45" a="1"/>
  <c r="BC67" i="45"/>
  <c r="BF67" i="45" a="1"/>
  <c r="BF67" i="45"/>
  <c r="BA59" i="45" a="1"/>
  <c r="BA59" i="45"/>
  <c r="AF32" i="45"/>
  <c r="AG32" i="45"/>
  <c r="AU48" i="45"/>
  <c r="AV45" i="45"/>
  <c r="G45" i="45"/>
  <c r="AV34" i="45"/>
  <c r="G34" i="45"/>
  <c r="AV37" i="45"/>
  <c r="G37" i="45"/>
  <c r="AV54" i="45"/>
  <c r="G54" i="45"/>
  <c r="AV50" i="45"/>
  <c r="G50" i="45"/>
  <c r="AU39" i="45"/>
  <c r="AV62" i="45"/>
  <c r="G62" i="45"/>
  <c r="AV64" i="45"/>
  <c r="G64" i="45"/>
  <c r="AV36" i="45"/>
  <c r="G36" i="45"/>
  <c r="AV38" i="45"/>
  <c r="G38" i="45"/>
  <c r="AV52" i="45"/>
  <c r="G52" i="45"/>
  <c r="AU30" i="45"/>
  <c r="AV31" i="45"/>
  <c r="G31" i="45"/>
  <c r="AU49" i="45"/>
  <c r="AU44" i="45"/>
  <c r="AV58" i="45"/>
  <c r="G58" i="45"/>
  <c r="AU63" i="45"/>
  <c r="AU56" i="45"/>
  <c r="AV57" i="45"/>
  <c r="G57" i="45"/>
  <c r="AU40" i="45"/>
  <c r="AV55" i="45"/>
  <c r="G55" i="45"/>
  <c r="AU53" i="45"/>
  <c r="AU61" i="45"/>
  <c r="AV41" i="45"/>
  <c r="G41" i="45"/>
  <c r="AV32" i="45"/>
  <c r="G32" i="45"/>
  <c r="AU32" i="45"/>
  <c r="AT105" i="12"/>
  <c r="AG63" i="45"/>
  <c r="AV30" i="45"/>
  <c r="G30" i="45"/>
  <c r="AU31" i="45"/>
  <c r="AV61" i="45"/>
  <c r="G61" i="45"/>
  <c r="AU41" i="45"/>
  <c r="AU58" i="45"/>
  <c r="AV63" i="45"/>
  <c r="G63" i="45"/>
  <c r="AU38" i="45"/>
  <c r="AU52" i="45"/>
  <c r="AU54" i="45"/>
  <c r="AX60" i="45" a="1"/>
  <c r="AX60" i="45"/>
  <c r="AU37" i="45"/>
  <c r="AU86" i="12" a="1"/>
  <c r="AU86" i="12"/>
  <c r="BB86" i="12" a="1"/>
  <c r="BB86" i="12"/>
  <c r="AV86" i="12" a="1"/>
  <c r="AV86" i="12"/>
  <c r="AZ86" i="12" a="1"/>
  <c r="AZ86" i="12"/>
  <c r="BA86" i="12" a="1"/>
  <c r="BA86" i="12"/>
  <c r="BD86" i="12" a="1"/>
  <c r="BD86" i="12"/>
  <c r="AY86" i="12" a="1"/>
  <c r="AY86" i="12"/>
  <c r="BE86" i="12" a="1"/>
  <c r="BE86" i="12"/>
  <c r="AW86" i="12" a="1"/>
  <c r="AW86" i="12"/>
  <c r="BC86" i="12" a="1"/>
  <c r="BC86" i="12"/>
  <c r="AX86" i="12" a="1"/>
  <c r="AX86" i="12"/>
  <c r="BA83" i="12" a="1"/>
  <c r="BA83" i="12"/>
  <c r="AY83" i="12" a="1"/>
  <c r="AY83" i="12"/>
  <c r="AZ83" i="12" a="1"/>
  <c r="AZ83" i="12"/>
  <c r="BE83" i="12" a="1"/>
  <c r="BE83" i="12"/>
  <c r="BC83" i="12" a="1"/>
  <c r="BC83" i="12"/>
  <c r="AX83" i="12" a="1"/>
  <c r="AX83" i="12"/>
  <c r="BD83" i="12" a="1"/>
  <c r="BD83" i="12"/>
  <c r="AV83" i="12" a="1"/>
  <c r="AV83" i="12"/>
  <c r="BB83" i="12" a="1"/>
  <c r="BB83" i="12"/>
  <c r="AW83" i="12" a="1"/>
  <c r="AW83" i="12"/>
  <c r="AU82" i="12" a="1"/>
  <c r="AU82" i="12"/>
  <c r="BC82" i="12" a="1"/>
  <c r="BC82" i="12"/>
  <c r="AV82" i="12" a="1"/>
  <c r="AV82" i="12"/>
  <c r="AZ82" i="12" a="1"/>
  <c r="AZ82" i="12"/>
  <c r="BD82" i="12" a="1"/>
  <c r="BD82" i="12"/>
  <c r="AW82" i="12" a="1"/>
  <c r="AW82" i="12"/>
  <c r="BB82" i="12" a="1"/>
  <c r="BB82" i="12"/>
  <c r="AX82" i="12" a="1"/>
  <c r="AX82" i="12"/>
  <c r="BE82" i="12" a="1"/>
  <c r="BE82" i="12"/>
  <c r="AY82" i="12" a="1"/>
  <c r="AY82" i="12"/>
  <c r="BA82" i="12" a="1"/>
  <c r="BA82" i="12"/>
  <c r="AU101" i="12"/>
  <c r="AD40" i="45"/>
  <c r="AX67" i="45" a="1"/>
  <c r="AX67" i="45"/>
  <c r="BT58" i="12" a="1"/>
  <c r="BT58" i="12"/>
  <c r="BP58" i="12" a="1"/>
  <c r="BP58" i="12"/>
  <c r="BO58" i="12" a="1"/>
  <c r="BO58" i="12"/>
  <c r="BS58" i="12" a="1"/>
  <c r="BS58" i="12"/>
  <c r="BV58" i="12" a="1"/>
  <c r="BV58" i="12"/>
  <c r="BQ58" i="12" a="1"/>
  <c r="BQ58" i="12"/>
  <c r="BN58" i="12" a="1"/>
  <c r="BN58" i="12"/>
  <c r="BU58" i="12" a="1"/>
  <c r="BU58" i="12"/>
  <c r="BW58" i="12" a="1"/>
  <c r="BW58" i="12"/>
  <c r="AU56" i="12"/>
  <c r="AV49" i="12"/>
  <c r="G49" i="12"/>
  <c r="AU50" i="12"/>
  <c r="AV53" i="12"/>
  <c r="G53" i="12"/>
  <c r="AU55" i="12"/>
  <c r="AV61" i="12"/>
  <c r="G61" i="12"/>
  <c r="AV48" i="12"/>
  <c r="G48" i="12"/>
  <c r="AV51" i="12"/>
  <c r="G51" i="12"/>
  <c r="AU34" i="12"/>
  <c r="AU36" i="12"/>
  <c r="AU38" i="12"/>
  <c r="AV62" i="12"/>
  <c r="G62" i="12"/>
  <c r="AV39" i="12"/>
  <c r="G39" i="12"/>
  <c r="AU63" i="12"/>
  <c r="AU57" i="12"/>
  <c r="AU58" i="12"/>
  <c r="AV44" i="12"/>
  <c r="G44" i="12"/>
  <c r="AV45" i="12"/>
  <c r="G45" i="12"/>
  <c r="AV64" i="12"/>
  <c r="G64" i="12"/>
  <c r="AU35" i="12"/>
  <c r="AU100" i="12"/>
  <c r="AV40" i="45"/>
  <c r="G40" i="45"/>
  <c r="AD54" i="45"/>
  <c r="AK101" i="12"/>
  <c r="AD35" i="45"/>
  <c r="AC54" i="45"/>
  <c r="AB54" i="45"/>
  <c r="AV49" i="45"/>
  <c r="G49" i="45"/>
  <c r="AK102" i="12"/>
  <c r="AV35" i="12"/>
  <c r="G35" i="12"/>
  <c r="AV44" i="45"/>
  <c r="G44" i="45"/>
  <c r="BC67" i="12" a="1"/>
  <c r="BC67" i="12"/>
  <c r="BG67" i="12" a="1"/>
  <c r="BG67" i="12"/>
  <c r="AY67" i="12" a="1"/>
  <c r="AY67" i="12"/>
  <c r="BA67" i="12" a="1"/>
  <c r="BA67" i="12"/>
  <c r="BB67" i="12" a="1"/>
  <c r="BB67" i="12"/>
  <c r="BD67" i="12" a="1"/>
  <c r="BD67" i="12"/>
  <c r="BF67" i="12" a="1"/>
  <c r="BF67" i="12"/>
  <c r="BE67" i="12" a="1"/>
  <c r="BE67" i="12"/>
  <c r="AZ67" i="12" a="1"/>
  <c r="AZ67" i="12"/>
  <c r="BH67" i="12" a="1"/>
  <c r="BH67" i="12"/>
  <c r="BC59" i="12" a="1"/>
  <c r="BC59" i="12"/>
  <c r="BD59" i="12" a="1"/>
  <c r="BD59" i="12"/>
  <c r="BE59" i="12" a="1"/>
  <c r="BE59" i="12"/>
  <c r="AY59" i="12" a="1"/>
  <c r="AY59" i="12"/>
  <c r="BB59" i="12" a="1"/>
  <c r="BB59" i="12"/>
  <c r="BF59" i="12" a="1"/>
  <c r="BF59" i="12"/>
  <c r="BG59" i="12" a="1"/>
  <c r="BG59" i="12"/>
  <c r="AZ59" i="12" a="1"/>
  <c r="AZ59" i="12"/>
  <c r="BA59" i="12" a="1"/>
  <c r="BA59" i="12"/>
  <c r="BH59" i="12" a="1"/>
  <c r="BH59" i="12"/>
  <c r="AZ60" i="12" a="1"/>
  <c r="AZ60" i="12"/>
  <c r="BG60" i="12" a="1"/>
  <c r="BG60" i="12"/>
  <c r="BH60" i="12" a="1"/>
  <c r="BH60" i="12"/>
  <c r="BD60" i="12" a="1"/>
  <c r="BD60" i="12"/>
  <c r="AY60" i="12" a="1"/>
  <c r="AY60" i="12"/>
  <c r="BE60" i="12" a="1"/>
  <c r="BE60" i="12"/>
  <c r="BF60" i="12" a="1"/>
  <c r="BF60" i="12"/>
  <c r="BA60" i="12" a="1"/>
  <c r="BA60" i="12"/>
  <c r="BB60" i="12" a="1"/>
  <c r="BB60" i="12"/>
  <c r="AA40" i="45"/>
  <c r="AB40" i="45"/>
  <c r="AU65" i="12"/>
  <c r="AD39" i="45"/>
  <c r="AU64" i="12"/>
  <c r="AB62" i="45"/>
  <c r="BK59" i="12" a="1"/>
  <c r="BK59" i="12"/>
  <c r="AU99" i="12"/>
  <c r="AU39" i="12"/>
  <c r="AF46" i="12"/>
  <c r="AJ46" i="12"/>
  <c r="DB46" i="12" a="1"/>
  <c r="DB46" i="12"/>
  <c r="AC62" i="45"/>
  <c r="AA62" i="45"/>
  <c r="AU62" i="45"/>
  <c r="AG53" i="45"/>
  <c r="BK67" i="12" a="1"/>
  <c r="BK67" i="12"/>
  <c r="AF37" i="45"/>
  <c r="AI37" i="45"/>
  <c r="CG37" i="45" a="1"/>
  <c r="CG37" i="45"/>
  <c r="AU53" i="12"/>
  <c r="AX59" i="12" a="1"/>
  <c r="AX59" i="12"/>
  <c r="AB39" i="45"/>
  <c r="AU55" i="45"/>
  <c r="AV53" i="45"/>
  <c r="G53" i="45"/>
  <c r="AA39" i="45"/>
  <c r="AU45" i="12"/>
  <c r="AU51" i="12"/>
  <c r="AF57" i="45"/>
  <c r="AH102" i="12"/>
  <c r="BZ102" i="12" a="1"/>
  <c r="BZ102" i="12"/>
  <c r="AJ101" i="12"/>
  <c r="AX11" i="45"/>
  <c r="AY11" i="45"/>
  <c r="AU98" i="12"/>
  <c r="AV38" i="12"/>
  <c r="G38" i="12"/>
  <c r="AU65" i="45"/>
  <c r="AU57" i="45"/>
  <c r="AI101" i="12"/>
  <c r="CU101" i="12" a="1"/>
  <c r="CU101" i="12"/>
  <c r="AA64" i="45"/>
  <c r="AK52" i="12"/>
  <c r="DC52" i="12" a="1"/>
  <c r="DC52" i="12"/>
  <c r="AP85" i="12"/>
  <c r="AR85" i="12"/>
  <c r="AX13" i="45"/>
  <c r="AU66" i="12"/>
  <c r="AU34" i="45"/>
  <c r="AI102" i="12"/>
  <c r="CD102" i="12" a="1"/>
  <c r="CD102" i="12"/>
  <c r="AH101" i="12"/>
  <c r="BR101" i="12" a="1"/>
  <c r="BR101" i="12"/>
  <c r="AU97" i="12"/>
  <c r="AD63" i="45"/>
  <c r="AK63" i="45"/>
  <c r="DN63" i="45" a="1"/>
  <c r="DN63" i="45"/>
  <c r="AX67" i="12" a="1"/>
  <c r="AX67" i="12"/>
  <c r="AH53" i="45"/>
  <c r="AV56" i="45"/>
  <c r="G56" i="45"/>
  <c r="AI53" i="45"/>
  <c r="CE53" i="45" a="1"/>
  <c r="CE53" i="45"/>
  <c r="AV50" i="12"/>
  <c r="G50" i="12"/>
  <c r="AU44" i="12"/>
  <c r="AI52" i="12"/>
  <c r="CA52" i="12" a="1"/>
  <c r="CA52" i="12"/>
  <c r="AU45" i="45"/>
  <c r="AC46" i="45"/>
  <c r="AJ52" i="12"/>
  <c r="CO52" i="12" a="1"/>
  <c r="CO52" i="12"/>
  <c r="AV36" i="12"/>
  <c r="G36" i="12"/>
  <c r="AU36" i="45"/>
  <c r="AV48" i="45"/>
  <c r="G48" i="45"/>
  <c r="AD64" i="45"/>
  <c r="AI63" i="45"/>
  <c r="CI63" i="45" a="1"/>
  <c r="CI63" i="45"/>
  <c r="AC64" i="45"/>
  <c r="AU102" i="12"/>
  <c r="AS66" i="12"/>
  <c r="BH82" i="12" a="1"/>
  <c r="BH82" i="12"/>
  <c r="AU64" i="45"/>
  <c r="BH83" i="12" a="1"/>
  <c r="BH83" i="12"/>
  <c r="X40" i="34"/>
  <c r="AB46" i="45"/>
  <c r="AU62" i="12"/>
  <c r="AV52" i="12"/>
  <c r="G52" i="12"/>
  <c r="AU83" i="12" a="1"/>
  <c r="AU83" i="12"/>
  <c r="AU52" i="12"/>
  <c r="AU37" i="12"/>
  <c r="AV37" i="12"/>
  <c r="G37" i="12"/>
  <c r="AA63" i="45"/>
  <c r="AH63" i="45"/>
  <c r="AU48" i="12"/>
  <c r="AU49" i="12"/>
  <c r="AU61" i="12"/>
  <c r="AA46" i="45"/>
  <c r="AU35" i="45"/>
  <c r="AV35" i="45"/>
  <c r="G35" i="45"/>
  <c r="AC63" i="45"/>
  <c r="AJ63" i="45"/>
  <c r="AA35" i="45"/>
  <c r="AF52" i="45"/>
  <c r="BH86" i="12" a="1"/>
  <c r="BH86" i="12"/>
  <c r="AC35" i="45"/>
  <c r="AT103" i="12"/>
  <c r="AV39" i="45"/>
  <c r="G39" i="45"/>
  <c r="AD57" i="45"/>
  <c r="AB57" i="45"/>
  <c r="AC57" i="45"/>
  <c r="AA57" i="45"/>
  <c r="AA52" i="45"/>
  <c r="AB52" i="45"/>
  <c r="AD52" i="45"/>
  <c r="AC52" i="45"/>
  <c r="AV57" i="12"/>
  <c r="G57" i="12"/>
  <c r="AI63" i="12"/>
  <c r="CF63" i="12" a="1"/>
  <c r="CF63" i="12"/>
  <c r="X52" i="34"/>
  <c r="AG58" i="45"/>
  <c r="AV51" i="45"/>
  <c r="G51" i="45"/>
  <c r="AU51" i="45"/>
  <c r="AV58" i="12"/>
  <c r="G58" i="12"/>
  <c r="AK63" i="12"/>
  <c r="DP63" i="12" a="1"/>
  <c r="DP63" i="12"/>
  <c r="AJ63" i="12"/>
  <c r="CO63" i="12" a="1"/>
  <c r="CO63" i="12"/>
  <c r="AJ53" i="45"/>
  <c r="CP53" i="45" a="1"/>
  <c r="CP53" i="45"/>
  <c r="AU50" i="45"/>
  <c r="AK53" i="45"/>
  <c r="DN53" i="45" a="1"/>
  <c r="DN53" i="45"/>
  <c r="AH58" i="45"/>
  <c r="BX58" i="45" a="1"/>
  <c r="BX58" i="45"/>
  <c r="AF45" i="12"/>
  <c r="AG45" i="12"/>
  <c r="AG31" i="45"/>
  <c r="AF31" i="45"/>
  <c r="AF33" i="45"/>
  <c r="AG33" i="45"/>
  <c r="AF47" i="45"/>
  <c r="AG47" i="45"/>
  <c r="AF50" i="45"/>
  <c r="AI50" i="45"/>
  <c r="CK50" i="45" a="1"/>
  <c r="CK50" i="45"/>
  <c r="AG50" i="45"/>
  <c r="AF34" i="45"/>
  <c r="AI34" i="45"/>
  <c r="CJ34" i="45" a="1"/>
  <c r="CJ34" i="45"/>
  <c r="AG34" i="45"/>
  <c r="AF51" i="12"/>
  <c r="AI51" i="12"/>
  <c r="CL51" i="12" a="1"/>
  <c r="CL51" i="12"/>
  <c r="AG51" i="12"/>
  <c r="AU33" i="12"/>
  <c r="AF60" i="45"/>
  <c r="AG60" i="45"/>
  <c r="AF44" i="12"/>
  <c r="AK44" i="12"/>
  <c r="DF44" i="12" a="1"/>
  <c r="DF44" i="12"/>
  <c r="AG44" i="12"/>
  <c r="AF64" i="45"/>
  <c r="AG64" i="45"/>
  <c r="AF61" i="45"/>
  <c r="AI61" i="45"/>
  <c r="CE61" i="45" a="1"/>
  <c r="CE61" i="45"/>
  <c r="AG61" i="45"/>
  <c r="AF36" i="45"/>
  <c r="AG36" i="45"/>
  <c r="AG48" i="45"/>
  <c r="AF48" i="45"/>
  <c r="AJ48" i="45"/>
  <c r="CR48" i="45" a="1"/>
  <c r="CR48" i="45"/>
  <c r="AF30" i="45"/>
  <c r="AG30" i="45"/>
  <c r="AF35" i="12"/>
  <c r="AG35" i="12"/>
  <c r="AF36" i="12"/>
  <c r="AG36" i="12"/>
  <c r="AG35" i="45"/>
  <c r="AF35" i="45"/>
  <c r="AF47" i="12"/>
  <c r="AG47" i="12"/>
  <c r="AU33" i="45"/>
  <c r="AV33" i="45"/>
  <c r="G33" i="45"/>
  <c r="AG62" i="45"/>
  <c r="AF62" i="45"/>
  <c r="AF39" i="12"/>
  <c r="AG39" i="12"/>
  <c r="AF56" i="45"/>
  <c r="AK56" i="45"/>
  <c r="AG56" i="45"/>
  <c r="AG40" i="45"/>
  <c r="AF40" i="45"/>
  <c r="AG41" i="45"/>
  <c r="AF41" i="45"/>
  <c r="AF38" i="45"/>
  <c r="AG38" i="45"/>
  <c r="AF54" i="45"/>
  <c r="AG54" i="45"/>
  <c r="AF49" i="45"/>
  <c r="AG49" i="45"/>
  <c r="AF55" i="45"/>
  <c r="AG55" i="45"/>
  <c r="AF43" i="45"/>
  <c r="AI43" i="45"/>
  <c r="CK43" i="45" a="1"/>
  <c r="CK43" i="45"/>
  <c r="AG43" i="45"/>
  <c r="AF59" i="45"/>
  <c r="AG59" i="45"/>
  <c r="AF42" i="45"/>
  <c r="AJ42" i="45"/>
  <c r="CV42" i="45" a="1"/>
  <c r="CV42" i="45"/>
  <c r="AG42" i="45"/>
  <c r="AS66" i="45"/>
  <c r="AR66" i="45"/>
  <c r="AF62" i="12"/>
  <c r="AG62" i="12"/>
  <c r="AF39" i="45"/>
  <c r="AG39" i="45"/>
  <c r="AF56" i="12"/>
  <c r="AG56" i="12"/>
  <c r="AF60" i="12"/>
  <c r="AG60" i="12"/>
  <c r="AF44" i="45"/>
  <c r="AG44" i="45"/>
  <c r="AF64" i="12"/>
  <c r="AG64" i="12"/>
  <c r="AF61" i="12"/>
  <c r="AG61" i="12"/>
  <c r="AF48" i="12"/>
  <c r="AG48" i="12"/>
  <c r="AG30" i="12"/>
  <c r="AF30" i="12"/>
  <c r="AF31" i="12"/>
  <c r="AG31" i="12"/>
  <c r="AF33" i="12"/>
  <c r="AG33" i="12"/>
  <c r="AF50" i="12"/>
  <c r="AG50" i="12"/>
  <c r="AF34" i="12"/>
  <c r="AG34" i="12"/>
  <c r="AF40" i="12"/>
  <c r="AG40" i="12"/>
  <c r="AF41" i="12"/>
  <c r="AG41" i="12"/>
  <c r="AF38" i="12"/>
  <c r="AG38" i="12"/>
  <c r="AF54" i="12"/>
  <c r="AG54" i="12"/>
  <c r="AG49" i="12"/>
  <c r="AF49" i="12"/>
  <c r="AF55" i="12"/>
  <c r="AG55" i="12"/>
  <c r="AF43" i="12"/>
  <c r="AG43" i="12"/>
  <c r="AF59" i="12"/>
  <c r="AG59" i="12"/>
  <c r="AF42" i="12"/>
  <c r="AG42" i="12"/>
  <c r="AF45" i="45"/>
  <c r="AG45" i="45"/>
  <c r="AF51" i="45"/>
  <c r="AG51" i="45"/>
  <c r="AJ55" i="34"/>
  <c r="AJ56" i="34"/>
  <c r="AJ53" i="34"/>
  <c r="AJ57" i="34"/>
  <c r="AJ54" i="34"/>
  <c r="AJ51" i="34"/>
  <c r="AJ47" i="34"/>
  <c r="AJ49" i="34"/>
  <c r="AJ50" i="34"/>
  <c r="AJ48" i="34"/>
  <c r="AJ42" i="34"/>
  <c r="AJ43" i="34"/>
  <c r="AJ45" i="34"/>
  <c r="AJ44" i="34"/>
  <c r="AJ41" i="34"/>
  <c r="AO21" i="34" a="1"/>
  <c r="AO21" i="34"/>
  <c r="AO25" i="34"/>
  <c r="AY31" i="12"/>
  <c r="AP21" i="34" a="1"/>
  <c r="AP21" i="34"/>
  <c r="AP25" i="34"/>
  <c r="AZ31" i="12"/>
  <c r="AW21" i="34" a="1"/>
  <c r="AW21" i="34"/>
  <c r="AW25" i="34"/>
  <c r="BG31" i="12"/>
  <c r="AX21" i="34" a="1"/>
  <c r="AX21" i="34"/>
  <c r="AX25" i="34"/>
  <c r="BH31" i="12"/>
  <c r="AU21" i="34" a="1"/>
  <c r="AU21" i="34"/>
  <c r="AU25" i="34"/>
  <c r="BE31" i="12"/>
  <c r="AV21" i="34" a="1"/>
  <c r="AV21" i="34"/>
  <c r="AV25" i="34"/>
  <c r="BF31" i="12"/>
  <c r="AQ21" i="34" a="1"/>
  <c r="AQ21" i="34"/>
  <c r="AQ25" i="34"/>
  <c r="BA31" i="12"/>
  <c r="AR21" i="34" a="1"/>
  <c r="AR21" i="34"/>
  <c r="AR25" i="34"/>
  <c r="BB31" i="12"/>
  <c r="AN21" i="34" a="1"/>
  <c r="AN21" i="34"/>
  <c r="AN25" i="34"/>
  <c r="AX31" i="12"/>
  <c r="AS21" i="34" a="1"/>
  <c r="AS21" i="34"/>
  <c r="AS25" i="34"/>
  <c r="BC31" i="12"/>
  <c r="AJ25" i="34"/>
  <c r="AL25" i="34"/>
  <c r="AJ13" i="34"/>
  <c r="AL13" i="34"/>
  <c r="AV54" i="12"/>
  <c r="G54" i="12"/>
  <c r="AU54" i="12"/>
  <c r="AB44" i="45"/>
  <c r="AC44" i="45"/>
  <c r="AD44" i="45"/>
  <c r="AA44" i="45"/>
  <c r="AQ18" i="12"/>
  <c r="BM58" i="12" a="1"/>
  <c r="BM58" i="12"/>
  <c r="BR58" i="12" a="1"/>
  <c r="BR58" i="12"/>
  <c r="AI58" i="12"/>
  <c r="CN58" i="12" a="1"/>
  <c r="CN58" i="12"/>
  <c r="AJ58" i="12"/>
  <c r="CO58" i="12" a="1"/>
  <c r="CO58" i="12"/>
  <c r="AK58" i="12"/>
  <c r="DJ58" i="12" a="1"/>
  <c r="DJ58" i="12"/>
  <c r="BZ58" i="12" a="1"/>
  <c r="BZ58" i="12"/>
  <c r="AK58" i="45"/>
  <c r="DJ58" i="45" a="1"/>
  <c r="DJ58" i="45"/>
  <c r="AQ21" i="12"/>
  <c r="AV63" i="12"/>
  <c r="G63" i="12"/>
  <c r="AV41" i="12"/>
  <c r="G41" i="12"/>
  <c r="AV34" i="12"/>
  <c r="G34" i="12"/>
  <c r="AJ58" i="45"/>
  <c r="CY58" i="45" a="1"/>
  <c r="CY58" i="45"/>
  <c r="AQ20" i="12"/>
  <c r="AU41" i="12"/>
  <c r="AV56" i="12"/>
  <c r="G56" i="12"/>
  <c r="AV40" i="12"/>
  <c r="G40" i="12"/>
  <c r="AU40" i="12"/>
  <c r="AV33" i="12"/>
  <c r="G33" i="12"/>
  <c r="AA51" i="45"/>
  <c r="AC51" i="45"/>
  <c r="AD51" i="45"/>
  <c r="AB51" i="45"/>
  <c r="AI58" i="45"/>
  <c r="CL58" i="45" a="1"/>
  <c r="CL58" i="45"/>
  <c r="AQ19" i="12"/>
  <c r="AV55" i="12"/>
  <c r="G55" i="12"/>
  <c r="AX60" i="12" a="1"/>
  <c r="AX60" i="12"/>
  <c r="BK60" i="12" a="1"/>
  <c r="BK60" i="12"/>
  <c r="BC60" i="12" a="1"/>
  <c r="BC60" i="12"/>
  <c r="AU43" i="12"/>
  <c r="AV43" i="12"/>
  <c r="G43" i="12"/>
  <c r="V16" i="48"/>
  <c r="AV46" i="45"/>
  <c r="G46" i="45"/>
  <c r="AU46" i="45"/>
  <c r="AV43" i="45"/>
  <c r="G43" i="45"/>
  <c r="AU43" i="45"/>
  <c r="Q16" i="48"/>
  <c r="AU47" i="12"/>
  <c r="AV47" i="12"/>
  <c r="G47" i="12"/>
  <c r="AU42" i="12"/>
  <c r="AV42" i="12"/>
  <c r="G42" i="12"/>
  <c r="AU46" i="12"/>
  <c r="AV46" i="12"/>
  <c r="G46" i="12"/>
  <c r="AV47" i="45"/>
  <c r="G47" i="45"/>
  <c r="AU47" i="45"/>
  <c r="AU42" i="45"/>
  <c r="AV42" i="45"/>
  <c r="G42" i="45"/>
  <c r="AT68" i="45"/>
  <c r="BU52" i="12" a="1"/>
  <c r="BU52" i="12"/>
  <c r="BV63" i="12" a="1"/>
  <c r="BV63" i="12"/>
  <c r="BY63" i="12" a="1"/>
  <c r="BY63" i="12"/>
  <c r="BX63" i="12" a="1"/>
  <c r="BX63" i="12"/>
  <c r="BT63" i="12" a="1"/>
  <c r="BT63" i="12"/>
  <c r="BR63" i="12" a="1"/>
  <c r="BR63" i="12"/>
  <c r="BU63" i="12" a="1"/>
  <c r="BU63" i="12"/>
  <c r="BZ63" i="12" a="1"/>
  <c r="BZ63" i="12"/>
  <c r="BM52" i="12" a="1"/>
  <c r="BM52" i="12"/>
  <c r="DQ52" i="12"/>
  <c r="BN52" i="12" a="1"/>
  <c r="BN52" i="12"/>
  <c r="BS63" i="12" a="1"/>
  <c r="BS63" i="12"/>
  <c r="BN63" i="12" a="1"/>
  <c r="BN63" i="12"/>
  <c r="BM63" i="12" a="1"/>
  <c r="BM63" i="12"/>
  <c r="BP63" i="12" a="1"/>
  <c r="BP63" i="12"/>
  <c r="AK102" i="45"/>
  <c r="BX52" i="12" a="1"/>
  <c r="BX52" i="12"/>
  <c r="BT52" i="12" a="1"/>
  <c r="BT52" i="12"/>
  <c r="BW52" i="12" a="1"/>
  <c r="BW52" i="12"/>
  <c r="BZ52" i="12" a="1"/>
  <c r="BZ52" i="12"/>
  <c r="BS52" i="12" a="1"/>
  <c r="BS52" i="12"/>
  <c r="BQ63" i="12" a="1"/>
  <c r="BQ63" i="12"/>
  <c r="BO63" i="12" a="1"/>
  <c r="BO63" i="12"/>
  <c r="BO52" i="12" a="1"/>
  <c r="BO52" i="12"/>
  <c r="BY52" i="12" a="1"/>
  <c r="BY52" i="12"/>
  <c r="BR52" i="12" a="1"/>
  <c r="BR52" i="12"/>
  <c r="BP52" i="12" a="1"/>
  <c r="BP52" i="12"/>
  <c r="BV52" i="12" a="1"/>
  <c r="BV52" i="12"/>
  <c r="AZ11" i="34" a="1"/>
  <c r="AZ11" i="34"/>
  <c r="AP11" i="34" a="1"/>
  <c r="AP11" i="34"/>
  <c r="AO11" i="34" a="1"/>
  <c r="AO11" i="34"/>
  <c r="AX11" i="34" a="1"/>
  <c r="AX11" i="34"/>
  <c r="BA11" i="34" a="1"/>
  <c r="BA11" i="34"/>
  <c r="AT11" i="34" a="1"/>
  <c r="AT11" i="34"/>
  <c r="AQ11" i="34" a="1"/>
  <c r="AQ11" i="34"/>
  <c r="AY11" i="34" a="1"/>
  <c r="AY11" i="34"/>
  <c r="AN11" i="34" a="1"/>
  <c r="AN11" i="34"/>
  <c r="AU11" i="34" a="1"/>
  <c r="AU11" i="34"/>
  <c r="AW11" i="34" a="1"/>
  <c r="AW11" i="34"/>
  <c r="AV11" i="34" a="1"/>
  <c r="AV11" i="34"/>
  <c r="AR11" i="34" a="1"/>
  <c r="AR11" i="34"/>
  <c r="AS11" i="34" a="1"/>
  <c r="AS11" i="34"/>
  <c r="AZ10" i="34" a="1"/>
  <c r="AZ10" i="34"/>
  <c r="AX10" i="34" a="1"/>
  <c r="AX10" i="34"/>
  <c r="AO10" i="34" a="1"/>
  <c r="AO10" i="34"/>
  <c r="AV10" i="34" a="1"/>
  <c r="AV10" i="34"/>
  <c r="AS10" i="34" a="1"/>
  <c r="AS10" i="34"/>
  <c r="AY10" i="34" a="1"/>
  <c r="AY10" i="34"/>
  <c r="AW10" i="34" a="1"/>
  <c r="AW10" i="34"/>
  <c r="BA10" i="34" a="1"/>
  <c r="BA10" i="34"/>
  <c r="AP10" i="34" a="1"/>
  <c r="AP10" i="34"/>
  <c r="AU10" i="34" a="1"/>
  <c r="AU10" i="34"/>
  <c r="AQ10" i="34" a="1"/>
  <c r="AQ10" i="34"/>
  <c r="AT10" i="34" a="1"/>
  <c r="AT10" i="34"/>
  <c r="AR10" i="34" a="1"/>
  <c r="AR10" i="34"/>
  <c r="AN10" i="34" a="1"/>
  <c r="AN10" i="34"/>
  <c r="AJ53" i="12"/>
  <c r="DA53" i="12" a="1"/>
  <c r="DA53" i="12"/>
  <c r="AK53" i="12"/>
  <c r="DN53" i="12" a="1"/>
  <c r="DN53" i="12"/>
  <c r="BS53" i="12" a="1"/>
  <c r="BS53" i="12"/>
  <c r="BN53" i="12" a="1"/>
  <c r="BN53" i="12"/>
  <c r="BR53" i="12" a="1"/>
  <c r="BR53" i="12"/>
  <c r="AJ100" i="12"/>
  <c r="BQ53" i="12" a="1"/>
  <c r="BQ53" i="12"/>
  <c r="AI53" i="12"/>
  <c r="CD53" i="12" a="1"/>
  <c r="CD53" i="12"/>
  <c r="BV53" i="12" a="1"/>
  <c r="BV53" i="12"/>
  <c r="AP86" i="45"/>
  <c r="AH100" i="12"/>
  <c r="BW100" i="12" a="1"/>
  <c r="BW100" i="12"/>
  <c r="AJ57" i="12"/>
  <c r="CO57" i="12" a="1"/>
  <c r="CO57" i="12"/>
  <c r="AK57" i="12"/>
  <c r="DK57" i="12" a="1"/>
  <c r="DK57" i="12"/>
  <c r="AH57" i="12"/>
  <c r="BQ57" i="12" a="1"/>
  <c r="BQ57" i="12"/>
  <c r="AH97" i="12"/>
  <c r="BV97" i="12" a="1"/>
  <c r="BV97" i="12"/>
  <c r="AH37" i="12"/>
  <c r="BM37" i="12" a="1"/>
  <c r="BM37" i="12"/>
  <c r="BU53" i="12" a="1"/>
  <c r="BU53" i="12"/>
  <c r="BY53" i="12" a="1"/>
  <c r="BY53" i="12"/>
  <c r="AI100" i="12"/>
  <c r="CM100" i="12" a="1"/>
  <c r="CM100" i="12"/>
  <c r="BM53" i="12" a="1"/>
  <c r="BM53" i="12"/>
  <c r="BP53" i="12" a="1"/>
  <c r="BP53" i="12"/>
  <c r="BZ53" i="12" a="1"/>
  <c r="BZ53" i="12"/>
  <c r="BO53" i="12" a="1"/>
  <c r="BO53" i="12"/>
  <c r="BX53" i="12" a="1"/>
  <c r="BX53" i="12"/>
  <c r="BT53" i="12" a="1"/>
  <c r="BT53" i="12"/>
  <c r="CZ37" i="12" a="1"/>
  <c r="CZ37" i="12"/>
  <c r="CY37" i="12" a="1"/>
  <c r="CY37" i="12"/>
  <c r="CX37" i="12" a="1"/>
  <c r="CX37" i="12"/>
  <c r="DA37" i="12" a="1"/>
  <c r="DA37" i="12"/>
  <c r="CT37" i="12" a="1"/>
  <c r="CT37" i="12"/>
  <c r="CW37" i="12" a="1"/>
  <c r="CW37" i="12"/>
  <c r="CU37" i="12" a="1"/>
  <c r="CU37" i="12"/>
  <c r="AH46" i="45"/>
  <c r="BN46" i="45" a="1"/>
  <c r="BN46" i="45"/>
  <c r="AI46" i="45"/>
  <c r="CA46" i="45" a="1"/>
  <c r="CA46" i="45"/>
  <c r="AI37" i="12"/>
  <c r="CN37" i="12" a="1"/>
  <c r="CN37" i="12"/>
  <c r="CO37" i="12" a="1"/>
  <c r="CO37" i="12"/>
  <c r="CR37" i="12" a="1"/>
  <c r="CR37" i="12"/>
  <c r="CV37" i="12" a="1"/>
  <c r="CV37" i="12"/>
  <c r="AJ97" i="12"/>
  <c r="AK99" i="12"/>
  <c r="AJ99" i="12"/>
  <c r="AH99" i="12"/>
  <c r="BS99" i="12" a="1"/>
  <c r="BS99" i="12"/>
  <c r="AI97" i="12"/>
  <c r="CZ97" i="12" a="1"/>
  <c r="CZ97" i="12"/>
  <c r="DB37" i="12" a="1"/>
  <c r="DB37" i="12"/>
  <c r="AJ46" i="45"/>
  <c r="CV46" i="45" a="1"/>
  <c r="CV46" i="45"/>
  <c r="AK37" i="12"/>
  <c r="DP37" i="12" a="1"/>
  <c r="DP37" i="12"/>
  <c r="CQ37" i="12" a="1"/>
  <c r="CQ37" i="12"/>
  <c r="CS37" i="12" a="1"/>
  <c r="CS37" i="12"/>
  <c r="AP82" i="45"/>
  <c r="BG85" i="12" a="1"/>
  <c r="BG85" i="12"/>
  <c r="BG87" i="12"/>
  <c r="BF85" i="12" a="1"/>
  <c r="BF85" i="12"/>
  <c r="BF87" i="12"/>
  <c r="AP84" i="45"/>
  <c r="AH102" i="45"/>
  <c r="AJ102" i="45"/>
  <c r="AI102" i="45"/>
  <c r="AJ97" i="45"/>
  <c r="AK97" i="45"/>
  <c r="AI97" i="45"/>
  <c r="AI98" i="12"/>
  <c r="CJ98" i="12" a="1"/>
  <c r="CJ98" i="12"/>
  <c r="AH97" i="45"/>
  <c r="AK100" i="45"/>
  <c r="AI100" i="45"/>
  <c r="AH100" i="45"/>
  <c r="AJ100" i="45"/>
  <c r="AH98" i="45"/>
  <c r="AJ98" i="45"/>
  <c r="AK98" i="45"/>
  <c r="AI98" i="45"/>
  <c r="AK98" i="12"/>
  <c r="AJ98" i="12"/>
  <c r="AJ101" i="45"/>
  <c r="AI101" i="45"/>
  <c r="AK101" i="45"/>
  <c r="AH101" i="45"/>
  <c r="AJ99" i="45"/>
  <c r="AH99" i="45"/>
  <c r="AK99" i="45"/>
  <c r="AI99" i="45"/>
  <c r="BY102" i="12" a="1"/>
  <c r="BY102" i="12"/>
  <c r="CL102" i="12" a="1"/>
  <c r="CL102" i="12"/>
  <c r="DM53" i="45" a="1"/>
  <c r="DM53" i="45"/>
  <c r="CM101" i="12" a="1"/>
  <c r="CM101" i="12"/>
  <c r="CL101" i="12" a="1"/>
  <c r="CL101" i="12"/>
  <c r="BI47" i="45" a="1"/>
  <c r="BI47" i="45"/>
  <c r="BK47" i="45" a="1"/>
  <c r="BK47" i="45"/>
  <c r="BJ47" i="45" a="1"/>
  <c r="BJ47" i="45"/>
  <c r="DI46" i="45" a="1"/>
  <c r="DI46" i="45"/>
  <c r="DM46" i="45" a="1"/>
  <c r="DM46" i="45"/>
  <c r="DL46" i="45" a="1"/>
  <c r="DL46" i="45"/>
  <c r="CP63" i="45" a="1"/>
  <c r="CP63" i="45"/>
  <c r="CY63" i="45" a="1"/>
  <c r="CY63" i="45"/>
  <c r="CX63" i="45" a="1"/>
  <c r="CX63" i="45"/>
  <c r="BJ45" i="45" a="1"/>
  <c r="BJ45" i="45"/>
  <c r="BI45" i="45" a="1"/>
  <c r="BI45" i="45"/>
  <c r="BK45" i="45" a="1"/>
  <c r="BK45" i="45"/>
  <c r="BJ54" i="45" a="1"/>
  <c r="BJ54" i="45"/>
  <c r="BI54" i="45" a="1"/>
  <c r="BI54" i="45"/>
  <c r="BK54" i="45" a="1"/>
  <c r="BK54" i="45"/>
  <c r="BJ58" i="45" a="1"/>
  <c r="BJ58" i="45"/>
  <c r="BK58" i="45" a="1"/>
  <c r="BK58" i="45"/>
  <c r="BI58" i="45" a="1"/>
  <c r="BI58" i="45"/>
  <c r="BJ63" i="45" a="1"/>
  <c r="BJ63" i="45"/>
  <c r="BI63" i="45" a="1"/>
  <c r="BI63" i="45"/>
  <c r="BK63" i="45" a="1"/>
  <c r="BK63" i="45"/>
  <c r="BT63" i="45" a="1"/>
  <c r="BT63" i="45"/>
  <c r="BY63" i="45" a="1"/>
  <c r="BY63" i="45"/>
  <c r="BX63" i="45" a="1"/>
  <c r="BX63" i="45"/>
  <c r="DI56" i="45" a="1"/>
  <c r="DI56" i="45"/>
  <c r="DL56" i="45" a="1"/>
  <c r="DL56" i="45"/>
  <c r="DM56" i="45" a="1"/>
  <c r="DM56" i="45"/>
  <c r="BN58" i="45" a="1"/>
  <c r="BN58" i="45"/>
  <c r="BY58" i="45" a="1"/>
  <c r="BY58" i="45"/>
  <c r="BI50" i="45" a="1"/>
  <c r="BI50" i="45"/>
  <c r="BK50" i="45" a="1"/>
  <c r="BK50" i="45"/>
  <c r="BJ50" i="45" a="1"/>
  <c r="BJ50" i="45"/>
  <c r="BV53" i="45" a="1"/>
  <c r="BV53" i="45"/>
  <c r="BX53" i="45" a="1"/>
  <c r="BX53" i="45"/>
  <c r="BY53" i="45" a="1"/>
  <c r="BY53" i="45"/>
  <c r="BJ97" i="12" a="1"/>
  <c r="BJ97" i="12"/>
  <c r="BI97" i="12" a="1"/>
  <c r="BI97" i="12"/>
  <c r="BJ65" i="45" a="1"/>
  <c r="BJ65" i="45"/>
  <c r="BK65" i="45" a="1"/>
  <c r="BK65" i="45"/>
  <c r="BI65" i="45" a="1"/>
  <c r="BI65" i="45"/>
  <c r="BI100" i="12" a="1"/>
  <c r="BI100" i="12"/>
  <c r="BJ100" i="12" a="1"/>
  <c r="BJ100" i="12"/>
  <c r="BJ46" i="45" a="1"/>
  <c r="BJ46" i="45"/>
  <c r="BI46" i="45" a="1"/>
  <c r="BI46" i="45"/>
  <c r="BK46" i="45" a="1"/>
  <c r="BK46" i="45"/>
  <c r="BI35" i="45" a="1"/>
  <c r="BI35" i="45"/>
  <c r="BK35" i="45" a="1"/>
  <c r="BK35" i="45"/>
  <c r="BJ35" i="45" a="1"/>
  <c r="BJ35" i="45"/>
  <c r="BI64" i="45" a="1"/>
  <c r="BI64" i="45"/>
  <c r="BK64" i="45" a="1"/>
  <c r="BK64" i="45"/>
  <c r="BJ64" i="45" a="1"/>
  <c r="BJ64" i="45"/>
  <c r="BJ102" i="12" a="1"/>
  <c r="BJ102" i="12"/>
  <c r="BI102" i="12" a="1"/>
  <c r="BI102" i="12"/>
  <c r="BK55" i="45" a="1"/>
  <c r="BK55" i="45"/>
  <c r="BI55" i="45" a="1"/>
  <c r="BI55" i="45"/>
  <c r="BJ55" i="45" a="1"/>
  <c r="BJ55" i="45"/>
  <c r="BI62" i="45" a="1"/>
  <c r="BI62" i="45"/>
  <c r="BJ62" i="45" a="1"/>
  <c r="BJ62" i="45"/>
  <c r="BK62" i="45" a="1"/>
  <c r="BK62" i="45"/>
  <c r="BJ42" i="45" a="1"/>
  <c r="BJ42" i="45"/>
  <c r="BI42" i="45" a="1"/>
  <c r="BI42" i="45"/>
  <c r="BK42" i="45" a="1"/>
  <c r="BK42" i="45"/>
  <c r="BK43" i="45" a="1"/>
  <c r="BK43" i="45"/>
  <c r="BJ43" i="45" a="1"/>
  <c r="BJ43" i="45"/>
  <c r="BI43" i="45" a="1"/>
  <c r="BI43" i="45"/>
  <c r="BJ51" i="45" a="1"/>
  <c r="BJ51" i="45"/>
  <c r="BK51" i="45" a="1"/>
  <c r="BK51" i="45"/>
  <c r="BI51" i="45" a="1"/>
  <c r="BI51" i="45"/>
  <c r="BJ36" i="45" a="1"/>
  <c r="BJ36" i="45"/>
  <c r="BK36" i="45" a="1"/>
  <c r="BK36" i="45"/>
  <c r="BI36" i="45" a="1"/>
  <c r="BI36" i="45"/>
  <c r="BJ34" i="45" a="1"/>
  <c r="BJ34" i="45"/>
  <c r="BK34" i="45" a="1"/>
  <c r="BK34" i="45"/>
  <c r="BI34" i="45" a="1"/>
  <c r="BI34" i="45"/>
  <c r="BI57" i="45" a="1"/>
  <c r="BI57" i="45"/>
  <c r="BJ57" i="45" a="1"/>
  <c r="BJ57" i="45"/>
  <c r="BK57" i="45" a="1"/>
  <c r="BK57" i="45"/>
  <c r="BI98" i="12" a="1"/>
  <c r="BI98" i="12"/>
  <c r="BJ98" i="12" a="1"/>
  <c r="BJ98" i="12"/>
  <c r="BI99" i="12" a="1"/>
  <c r="BI99" i="12"/>
  <c r="BJ99" i="12" a="1"/>
  <c r="BJ99" i="12"/>
  <c r="BD101" i="12" a="1"/>
  <c r="BD101" i="12"/>
  <c r="BI101" i="12" a="1"/>
  <c r="BI101" i="12"/>
  <c r="BJ101" i="12" a="1"/>
  <c r="BJ101" i="12"/>
  <c r="BI53" i="45" a="1"/>
  <c r="BI53" i="45"/>
  <c r="BJ53" i="45" a="1"/>
  <c r="BJ53" i="45"/>
  <c r="BK53" i="45" a="1"/>
  <c r="BK53" i="45"/>
  <c r="BJ56" i="45" a="1"/>
  <c r="BJ56" i="45"/>
  <c r="BI56" i="45" a="1"/>
  <c r="BI56" i="45"/>
  <c r="BK56" i="45" a="1"/>
  <c r="BK56" i="45"/>
  <c r="BJ49" i="45" a="1"/>
  <c r="BJ49" i="45"/>
  <c r="BK49" i="45" a="1"/>
  <c r="BK49" i="45"/>
  <c r="BI49" i="45" a="1"/>
  <c r="BI49" i="45"/>
  <c r="AX39" i="45" a="1"/>
  <c r="AX39" i="45"/>
  <c r="BI39" i="45" a="1"/>
  <c r="BI39" i="45"/>
  <c r="BJ39" i="45" a="1"/>
  <c r="BJ39" i="45"/>
  <c r="BK39" i="45" a="1"/>
  <c r="BK39" i="45"/>
  <c r="DA102" i="12" a="1"/>
  <c r="DA102" i="12"/>
  <c r="BX102" i="12" a="1"/>
  <c r="BX102" i="12"/>
  <c r="BX101" i="12" a="1"/>
  <c r="BX101" i="12"/>
  <c r="BY101" i="12" a="1"/>
  <c r="BY101" i="12"/>
  <c r="DL53" i="45" a="1"/>
  <c r="DL53" i="45"/>
  <c r="CX58" i="45" a="1"/>
  <c r="CX58" i="45"/>
  <c r="DL58" i="45" a="1"/>
  <c r="DL58" i="45"/>
  <c r="CZ99" i="12" a="1"/>
  <c r="CZ99" i="12"/>
  <c r="CY42" i="45" a="1"/>
  <c r="CY42" i="45"/>
  <c r="BY98" i="12" a="1"/>
  <c r="BY98" i="12"/>
  <c r="DL63" i="45" a="1"/>
  <c r="DL63" i="45"/>
  <c r="DM63" i="45" a="1"/>
  <c r="DM63" i="45"/>
  <c r="BK52" i="45" a="1"/>
  <c r="BK52" i="45"/>
  <c r="BJ52" i="45" a="1"/>
  <c r="BJ52" i="45"/>
  <c r="BI52" i="45" a="1"/>
  <c r="BI52" i="45"/>
  <c r="BI41" i="45" a="1"/>
  <c r="BI41" i="45"/>
  <c r="BK41" i="45" a="1"/>
  <c r="BK41" i="45"/>
  <c r="BJ41" i="45" a="1"/>
  <c r="BJ41" i="45"/>
  <c r="BK40" i="45" a="1"/>
  <c r="BK40" i="45"/>
  <c r="BI40" i="45" a="1"/>
  <c r="BI40" i="45"/>
  <c r="BJ40" i="45" a="1"/>
  <c r="BJ40" i="45"/>
  <c r="BK48" i="45" a="1"/>
  <c r="BK48" i="45"/>
  <c r="BI48" i="45" a="1"/>
  <c r="BI48" i="45"/>
  <c r="BJ48" i="45" a="1"/>
  <c r="BJ48" i="45"/>
  <c r="CZ102" i="12" a="1"/>
  <c r="CZ102" i="12"/>
  <c r="DA101" i="12" a="1"/>
  <c r="DA101" i="12"/>
  <c r="CY53" i="45" a="1"/>
  <c r="CY53" i="45"/>
  <c r="CM99" i="12" a="1"/>
  <c r="CM99" i="12"/>
  <c r="DA99" i="12" a="1"/>
  <c r="DA99" i="12"/>
  <c r="CX42" i="45" a="1"/>
  <c r="CX42" i="45"/>
  <c r="BX98" i="12" a="1"/>
  <c r="BX98" i="12"/>
  <c r="CX48" i="45" a="1"/>
  <c r="CX48" i="45"/>
  <c r="BJ33" i="45" a="1"/>
  <c r="BJ33" i="45"/>
  <c r="BI33" i="45" a="1"/>
  <c r="BI33" i="45"/>
  <c r="BK33" i="45" a="1"/>
  <c r="BK33" i="45"/>
  <c r="BJ37" i="45" a="1"/>
  <c r="BJ37" i="45"/>
  <c r="BK37" i="45" a="1"/>
  <c r="BK37" i="45"/>
  <c r="BI37" i="45" a="1"/>
  <c r="BI37" i="45"/>
  <c r="BK38" i="45" a="1"/>
  <c r="BK38" i="45"/>
  <c r="BJ38" i="45" a="1"/>
  <c r="BJ38" i="45"/>
  <c r="BI38" i="45" a="1"/>
  <c r="BI38" i="45"/>
  <c r="BJ61" i="45" a="1"/>
  <c r="BJ61" i="45"/>
  <c r="BI61" i="45" a="1"/>
  <c r="BI61" i="45"/>
  <c r="BK61" i="45" a="1"/>
  <c r="BK61" i="45"/>
  <c r="BI44" i="45" a="1"/>
  <c r="BI44" i="45"/>
  <c r="BJ44" i="45" a="1"/>
  <c r="BJ44" i="45"/>
  <c r="BK44" i="45" a="1"/>
  <c r="BK44" i="45"/>
  <c r="CM102" i="12" a="1"/>
  <c r="CM102" i="12"/>
  <c r="CZ101" i="12" a="1"/>
  <c r="CZ101" i="12"/>
  <c r="CX53" i="45" a="1"/>
  <c r="CX53" i="45"/>
  <c r="DM58" i="45" a="1"/>
  <c r="DM58" i="45"/>
  <c r="CL99" i="12" a="1"/>
  <c r="CL99" i="12"/>
  <c r="CY48" i="45" a="1"/>
  <c r="CY48" i="45"/>
  <c r="DN102" i="12" a="1"/>
  <c r="DN102" i="12"/>
  <c r="DN99" i="12" a="1"/>
  <c r="DN99" i="12"/>
  <c r="DN101" i="12" a="1"/>
  <c r="DN101" i="12"/>
  <c r="DO102" i="12" a="1"/>
  <c r="DO102" i="12"/>
  <c r="DO99" i="12" a="1"/>
  <c r="DO99" i="12"/>
  <c r="DO101" i="12" a="1"/>
  <c r="DO101" i="12"/>
  <c r="DO63" i="12" a="1"/>
  <c r="DO63" i="12"/>
  <c r="CM58" i="12" a="1"/>
  <c r="CM58" i="12"/>
  <c r="DN52" i="12" a="1"/>
  <c r="DN52" i="12"/>
  <c r="CM51" i="12" a="1"/>
  <c r="CM51" i="12"/>
  <c r="DA63" i="12" a="1"/>
  <c r="DA63" i="12"/>
  <c r="AL47" i="34"/>
  <c r="AK47" i="34"/>
  <c r="AL53" i="34"/>
  <c r="AK53" i="34"/>
  <c r="BF35" i="12" a="1"/>
  <c r="BF35" i="12"/>
  <c r="BJ35" i="12" a="1"/>
  <c r="BJ35" i="12"/>
  <c r="BI35" i="12" a="1"/>
  <c r="BI35" i="12"/>
  <c r="BA34" i="12" a="1"/>
  <c r="BA34" i="12"/>
  <c r="BI34" i="12" a="1"/>
  <c r="BI34" i="12"/>
  <c r="BJ34" i="12" a="1"/>
  <c r="BJ34" i="12"/>
  <c r="BG55" i="12" a="1"/>
  <c r="BG55" i="12"/>
  <c r="BI55" i="12" a="1"/>
  <c r="BI55" i="12"/>
  <c r="BJ55" i="12" a="1"/>
  <c r="BJ55" i="12"/>
  <c r="BF56" i="12" a="1"/>
  <c r="BF56" i="12"/>
  <c r="BJ56" i="12" a="1"/>
  <c r="BJ56" i="12"/>
  <c r="BI56" i="12" a="1"/>
  <c r="BI56" i="12"/>
  <c r="CL52" i="12" a="1"/>
  <c r="CL52" i="12"/>
  <c r="BJ48" i="12" a="1"/>
  <c r="BJ48" i="12"/>
  <c r="BI48" i="12" a="1"/>
  <c r="BI48" i="12"/>
  <c r="BI37" i="12" a="1"/>
  <c r="BI37" i="12"/>
  <c r="BJ37" i="12" a="1"/>
  <c r="BJ37" i="12"/>
  <c r="BI51" i="12" a="1"/>
  <c r="BI51" i="12"/>
  <c r="BJ51" i="12" a="1"/>
  <c r="BJ51" i="12"/>
  <c r="BJ41" i="12" a="1"/>
  <c r="BJ41" i="12"/>
  <c r="BI41" i="12" a="1"/>
  <c r="BI41" i="12"/>
  <c r="AL50" i="34"/>
  <c r="G51" i="34"/>
  <c r="AK50" i="34"/>
  <c r="AL54" i="34"/>
  <c r="AK54" i="34"/>
  <c r="AL55" i="34"/>
  <c r="AK55" i="34"/>
  <c r="AZ57" i="12" a="1"/>
  <c r="AZ57" i="12"/>
  <c r="BJ57" i="12" a="1"/>
  <c r="BJ57" i="12"/>
  <c r="BI57" i="12" a="1"/>
  <c r="BI57" i="12"/>
  <c r="BI46" i="12" a="1"/>
  <c r="BI46" i="12"/>
  <c r="BJ46" i="12" a="1"/>
  <c r="BJ46" i="12"/>
  <c r="BI42" i="12" a="1"/>
  <c r="BI42" i="12"/>
  <c r="BJ42" i="12" a="1"/>
  <c r="BJ42" i="12"/>
  <c r="BI40" i="12" a="1"/>
  <c r="BI40" i="12"/>
  <c r="BJ40" i="12" a="1"/>
  <c r="BJ40" i="12"/>
  <c r="AL49" i="34"/>
  <c r="AK49" i="34"/>
  <c r="AL57" i="34"/>
  <c r="AK57" i="34"/>
  <c r="BJ33" i="12" a="1"/>
  <c r="BJ33" i="12"/>
  <c r="BI33" i="12" a="1"/>
  <c r="BI33" i="12"/>
  <c r="BJ61" i="12" a="1"/>
  <c r="BJ61" i="12"/>
  <c r="BI61" i="12" a="1"/>
  <c r="BI61" i="12"/>
  <c r="BJ52" i="12" a="1"/>
  <c r="BJ52" i="12"/>
  <c r="BI52" i="12" a="1"/>
  <c r="BI52" i="12"/>
  <c r="BI66" i="12" a="1"/>
  <c r="BI66" i="12"/>
  <c r="BJ66" i="12" a="1"/>
  <c r="BJ66" i="12"/>
  <c r="AX65" i="12" a="1"/>
  <c r="AX65" i="12"/>
  <c r="BJ65" i="12" a="1"/>
  <c r="BJ65" i="12"/>
  <c r="BI65" i="12" a="1"/>
  <c r="BI65" i="12"/>
  <c r="BD63" i="12" a="1"/>
  <c r="BD63" i="12"/>
  <c r="BI63" i="12" a="1"/>
  <c r="BI63" i="12"/>
  <c r="BJ63" i="12" a="1"/>
  <c r="BJ63" i="12"/>
  <c r="BF36" i="12" a="1"/>
  <c r="BF36" i="12"/>
  <c r="BJ36" i="12" a="1"/>
  <c r="BJ36" i="12"/>
  <c r="BI36" i="12" a="1"/>
  <c r="BI36" i="12"/>
  <c r="DN44" i="12" a="1"/>
  <c r="DN44" i="12"/>
  <c r="CZ58" i="12" a="1"/>
  <c r="CZ58" i="12"/>
  <c r="DN63" i="12" a="1"/>
  <c r="DN63" i="12"/>
  <c r="CZ52" i="12" a="1"/>
  <c r="CZ52" i="12"/>
  <c r="DO52" i="12" a="1"/>
  <c r="DO52" i="12"/>
  <c r="BJ49" i="12" a="1"/>
  <c r="BJ49" i="12"/>
  <c r="BI49" i="12" a="1"/>
  <c r="BI49" i="12"/>
  <c r="BC53" i="12" a="1"/>
  <c r="BC53" i="12"/>
  <c r="BI53" i="12" a="1"/>
  <c r="BI53" i="12"/>
  <c r="BJ53" i="12" a="1"/>
  <c r="BJ53" i="12"/>
  <c r="AL48" i="34"/>
  <c r="AK48" i="34"/>
  <c r="AL51" i="34"/>
  <c r="AK51" i="34"/>
  <c r="AL56" i="34"/>
  <c r="G57" i="34"/>
  <c r="AK56" i="34"/>
  <c r="BK58" i="12" a="1"/>
  <c r="BK58" i="12"/>
  <c r="BI58" i="12" a="1"/>
  <c r="BI58" i="12"/>
  <c r="BJ58" i="12" a="1"/>
  <c r="BJ58" i="12"/>
  <c r="DA46" i="12" a="1"/>
  <c r="DA46" i="12"/>
  <c r="CM57" i="12" a="1"/>
  <c r="CM57" i="12"/>
  <c r="DN58" i="12" a="1"/>
  <c r="DN58" i="12"/>
  <c r="DO58" i="12" a="1"/>
  <c r="DO58" i="12"/>
  <c r="CM63" i="12" a="1"/>
  <c r="CM63" i="12"/>
  <c r="DA52" i="12" a="1"/>
  <c r="DA52" i="12"/>
  <c r="BI54" i="12" a="1"/>
  <c r="BI54" i="12"/>
  <c r="BJ54" i="12" a="1"/>
  <c r="BJ54" i="12"/>
  <c r="BI47" i="12" a="1"/>
  <c r="BI47" i="12"/>
  <c r="BJ47" i="12" a="1"/>
  <c r="BJ47" i="12"/>
  <c r="BJ43" i="12" a="1"/>
  <c r="BJ43" i="12"/>
  <c r="BI43" i="12" a="1"/>
  <c r="BI43" i="12"/>
  <c r="BI44" i="12" a="1"/>
  <c r="BI44" i="12"/>
  <c r="BJ44" i="12" a="1"/>
  <c r="BJ44" i="12"/>
  <c r="BC39" i="12" a="1"/>
  <c r="BC39" i="12"/>
  <c r="BI39" i="12" a="1"/>
  <c r="BI39" i="12"/>
  <c r="BJ39" i="12" a="1"/>
  <c r="BJ39" i="12"/>
  <c r="BI64" i="12" a="1"/>
  <c r="BI64" i="12"/>
  <c r="BJ64" i="12" a="1"/>
  <c r="BJ64" i="12"/>
  <c r="BJ62" i="12" a="1"/>
  <c r="BJ62" i="12"/>
  <c r="BI62" i="12" a="1"/>
  <c r="BI62" i="12"/>
  <c r="BJ45" i="12" a="1"/>
  <c r="BJ45" i="12"/>
  <c r="BI45" i="12" a="1"/>
  <c r="BI45" i="12"/>
  <c r="BB38" i="12" a="1"/>
  <c r="BB38" i="12"/>
  <c r="BI38" i="12" a="1"/>
  <c r="BI38" i="12"/>
  <c r="BJ38" i="12" a="1"/>
  <c r="BJ38" i="12"/>
  <c r="AY50" i="12" a="1"/>
  <c r="AY50" i="12"/>
  <c r="BJ50" i="12" a="1"/>
  <c r="BJ50" i="12"/>
  <c r="BI50" i="12" a="1"/>
  <c r="BI50" i="12"/>
  <c r="CZ46" i="12" a="1"/>
  <c r="CZ46" i="12"/>
  <c r="CL57" i="12" a="1"/>
  <c r="CL57" i="12"/>
  <c r="DO44" i="12" a="1"/>
  <c r="DO44" i="12"/>
  <c r="DA58" i="12" a="1"/>
  <c r="DA58" i="12"/>
  <c r="CL58" i="12" a="1"/>
  <c r="CL58" i="12"/>
  <c r="CL63" i="12" a="1"/>
  <c r="CL63" i="12"/>
  <c r="CZ63" i="12" a="1"/>
  <c r="CZ63" i="12"/>
  <c r="CM52" i="12" a="1"/>
  <c r="CM52" i="12"/>
  <c r="AK44" i="34"/>
  <c r="AL44" i="34"/>
  <c r="G45" i="34"/>
  <c r="AL45" i="34"/>
  <c r="AK45" i="34"/>
  <c r="AK43" i="34"/>
  <c r="AL43" i="34"/>
  <c r="AK41" i="34"/>
  <c r="AL41" i="34"/>
  <c r="AK42" i="34"/>
  <c r="AL42" i="34"/>
  <c r="AZ9" i="34" a="1"/>
  <c r="AZ9" i="34"/>
  <c r="BA9" i="34" a="1"/>
  <c r="BA9" i="34"/>
  <c r="AY9" i="34" a="1"/>
  <c r="AY9" i="34"/>
  <c r="BH46" i="45" a="1"/>
  <c r="BH46" i="45"/>
  <c r="BA46" i="45" a="1"/>
  <c r="BA46" i="45"/>
  <c r="AY46" i="45" a="1"/>
  <c r="AY46" i="45"/>
  <c r="BE46" i="45" a="1"/>
  <c r="BE46" i="45"/>
  <c r="BD46" i="45" a="1"/>
  <c r="BD46" i="45"/>
  <c r="AZ46" i="45" a="1"/>
  <c r="AZ46" i="45"/>
  <c r="BG46" i="45" a="1"/>
  <c r="BG46" i="45"/>
  <c r="BF46" i="45" a="1"/>
  <c r="BF46" i="45"/>
  <c r="BB46" i="45" a="1"/>
  <c r="BB46" i="45"/>
  <c r="BH34" i="45" a="1"/>
  <c r="BH34" i="45"/>
  <c r="AZ34" i="45" a="1"/>
  <c r="AZ34" i="45"/>
  <c r="BA34" i="45" a="1"/>
  <c r="BA34" i="45"/>
  <c r="BE34" i="45" a="1"/>
  <c r="BE34" i="45"/>
  <c r="BD34" i="45" a="1"/>
  <c r="BD34" i="45"/>
  <c r="BC34" i="45" a="1"/>
  <c r="BC34" i="45"/>
  <c r="BG34" i="45" a="1"/>
  <c r="BG34" i="45"/>
  <c r="BF34" i="45" a="1"/>
  <c r="BF34" i="45"/>
  <c r="BB34" i="45" a="1"/>
  <c r="BB34" i="45"/>
  <c r="AY34" i="45" a="1"/>
  <c r="AY34" i="45"/>
  <c r="BG57" i="45" a="1"/>
  <c r="BG57" i="45"/>
  <c r="BH57" i="45" a="1"/>
  <c r="BH57" i="45"/>
  <c r="BC57" i="45" a="1"/>
  <c r="BC57" i="45"/>
  <c r="BF57" i="45" a="1"/>
  <c r="BF57" i="45"/>
  <c r="BD57" i="45" a="1"/>
  <c r="BD57" i="45"/>
  <c r="BA57" i="45" a="1"/>
  <c r="BA57" i="45"/>
  <c r="BE57" i="45" a="1"/>
  <c r="BE57" i="45"/>
  <c r="BB57" i="45" a="1"/>
  <c r="BB57" i="45"/>
  <c r="AY57" i="45" a="1"/>
  <c r="AY57" i="45"/>
  <c r="AZ57" i="45" a="1"/>
  <c r="AZ57" i="45"/>
  <c r="AZ43" i="45" a="1"/>
  <c r="AZ43" i="45"/>
  <c r="BA43" i="45" a="1"/>
  <c r="BA43" i="45"/>
  <c r="BE43" i="45" a="1"/>
  <c r="BE43" i="45"/>
  <c r="BD43" i="45" a="1"/>
  <c r="BD43" i="45"/>
  <c r="BB43" i="45" a="1"/>
  <c r="BB43" i="45"/>
  <c r="BG43" i="45" a="1"/>
  <c r="BG43" i="45"/>
  <c r="BF43" i="45" a="1"/>
  <c r="BF43" i="45"/>
  <c r="BC43" i="45" a="1"/>
  <c r="BC43" i="45"/>
  <c r="BH43" i="45" a="1"/>
  <c r="BH43" i="45"/>
  <c r="AY43" i="45" a="1"/>
  <c r="AY43" i="45"/>
  <c r="BG33" i="45" a="1"/>
  <c r="BG33" i="45"/>
  <c r="BF33" i="45" a="1"/>
  <c r="BF33" i="45"/>
  <c r="BB33" i="45" a="1"/>
  <c r="BB33" i="45"/>
  <c r="BH33" i="45" a="1"/>
  <c r="BH33" i="45"/>
  <c r="BA33" i="45" a="1"/>
  <c r="BA33" i="45"/>
  <c r="BC33" i="45" a="1"/>
  <c r="BC33" i="45"/>
  <c r="BE33" i="45" a="1"/>
  <c r="BE33" i="45"/>
  <c r="BD33" i="45" a="1"/>
  <c r="BD33" i="45"/>
  <c r="AY33" i="45" a="1"/>
  <c r="AY33" i="45"/>
  <c r="AZ33" i="45" a="1"/>
  <c r="AZ33" i="45"/>
  <c r="AZ51" i="45" a="1"/>
  <c r="AZ51" i="45"/>
  <c r="BE51" i="45" a="1"/>
  <c r="BE51" i="45"/>
  <c r="BD51" i="45" a="1"/>
  <c r="BD51" i="45"/>
  <c r="BG51" i="45" a="1"/>
  <c r="BG51" i="45"/>
  <c r="BF51" i="45" a="1"/>
  <c r="BF51" i="45"/>
  <c r="BC51" i="45" a="1"/>
  <c r="BC51" i="45"/>
  <c r="BH51" i="45" a="1"/>
  <c r="BH51" i="45"/>
  <c r="BA51" i="45" a="1"/>
  <c r="BA51" i="45"/>
  <c r="AY51" i="45" a="1"/>
  <c r="AY51" i="45"/>
  <c r="BB51" i="45" a="1"/>
  <c r="BB51" i="45"/>
  <c r="AX52" i="45" a="1"/>
  <c r="AX52" i="45"/>
  <c r="BE52" i="45" a="1"/>
  <c r="BE52" i="45"/>
  <c r="BD52" i="45" a="1"/>
  <c r="BD52" i="45"/>
  <c r="AZ52" i="45" a="1"/>
  <c r="AZ52" i="45"/>
  <c r="AY52" i="45" a="1"/>
  <c r="AY52" i="45"/>
  <c r="BG52" i="45" a="1"/>
  <c r="BG52" i="45"/>
  <c r="BF52" i="45" a="1"/>
  <c r="BF52" i="45"/>
  <c r="BH52" i="45" a="1"/>
  <c r="BH52" i="45"/>
  <c r="BA52" i="45" a="1"/>
  <c r="BA52" i="45"/>
  <c r="BC52" i="45" a="1"/>
  <c r="BC52" i="45"/>
  <c r="BB52" i="45" a="1"/>
  <c r="BB52" i="45"/>
  <c r="AX41" i="45" a="1"/>
  <c r="AX41" i="45"/>
  <c r="BG41" i="45" a="1"/>
  <c r="BG41" i="45"/>
  <c r="BF41" i="45" a="1"/>
  <c r="BF41" i="45"/>
  <c r="AZ41" i="45" a="1"/>
  <c r="AZ41" i="45"/>
  <c r="BH41" i="45" a="1"/>
  <c r="BH41" i="45"/>
  <c r="AY41" i="45" a="1"/>
  <c r="AY41" i="45"/>
  <c r="BB41" i="45" a="1"/>
  <c r="BB41" i="45"/>
  <c r="BE41" i="45" a="1"/>
  <c r="BE41" i="45"/>
  <c r="BD41" i="45" a="1"/>
  <c r="BD41" i="45"/>
  <c r="BA41" i="45" a="1"/>
  <c r="BA41" i="45"/>
  <c r="BC41" i="45" a="1"/>
  <c r="BC41" i="45"/>
  <c r="BE40" i="45" a="1"/>
  <c r="BE40" i="45"/>
  <c r="BD40" i="45" a="1"/>
  <c r="BD40" i="45"/>
  <c r="AY40" i="45" a="1"/>
  <c r="AY40" i="45"/>
  <c r="AZ40" i="45" a="1"/>
  <c r="AZ40" i="45"/>
  <c r="BG40" i="45" a="1"/>
  <c r="BG40" i="45"/>
  <c r="BF40" i="45" a="1"/>
  <c r="BF40" i="45"/>
  <c r="BC40" i="45" a="1"/>
  <c r="BC40" i="45"/>
  <c r="BH40" i="45" a="1"/>
  <c r="BH40" i="45"/>
  <c r="BB40" i="45" a="1"/>
  <c r="BB40" i="45"/>
  <c r="BA40" i="45" a="1"/>
  <c r="BA40" i="45"/>
  <c r="BE48" i="45" a="1"/>
  <c r="BE48" i="45"/>
  <c r="BD48" i="45" a="1"/>
  <c r="BD48" i="45"/>
  <c r="BA48" i="45" a="1"/>
  <c r="BA48" i="45"/>
  <c r="BG48" i="45" a="1"/>
  <c r="BG48" i="45"/>
  <c r="BF48" i="45" a="1"/>
  <c r="BF48" i="45"/>
  <c r="BH48" i="45" a="1"/>
  <c r="BH48" i="45"/>
  <c r="AY48" i="45" a="1"/>
  <c r="AY48" i="45"/>
  <c r="BB48" i="45" a="1"/>
  <c r="BB48" i="45"/>
  <c r="BC48" i="45" a="1"/>
  <c r="BC48" i="45"/>
  <c r="AZ48" i="45" a="1"/>
  <c r="AZ48" i="45"/>
  <c r="BA64" i="45" a="1"/>
  <c r="BA64" i="45"/>
  <c r="BH64" i="45" a="1"/>
  <c r="BH64" i="45"/>
  <c r="AY64" i="45" a="1"/>
  <c r="AY64" i="45"/>
  <c r="BB64" i="45" a="1"/>
  <c r="BB64" i="45"/>
  <c r="BF64" i="45" a="1"/>
  <c r="BF64" i="45"/>
  <c r="AZ64" i="45" a="1"/>
  <c r="AZ64" i="45"/>
  <c r="BG64" i="45" a="1"/>
  <c r="BG64" i="45"/>
  <c r="BD64" i="45" a="1"/>
  <c r="BD64" i="45"/>
  <c r="BE64" i="45" a="1"/>
  <c r="BE64" i="45"/>
  <c r="BC64" i="45" a="1"/>
  <c r="BC64" i="45"/>
  <c r="AX55" i="45" a="1"/>
  <c r="AX55" i="45"/>
  <c r="BH55" i="45" a="1"/>
  <c r="BH55" i="45"/>
  <c r="BC55" i="45" a="1"/>
  <c r="BC55" i="45"/>
  <c r="BE55" i="45" a="1"/>
  <c r="BE55" i="45"/>
  <c r="AZ55" i="45" a="1"/>
  <c r="AZ55" i="45"/>
  <c r="BG55" i="45" a="1"/>
  <c r="BG55" i="45"/>
  <c r="AY55" i="45" a="1"/>
  <c r="AY55" i="45"/>
  <c r="BB55" i="45" a="1"/>
  <c r="BB55" i="45"/>
  <c r="BF55" i="45" a="1"/>
  <c r="BF55" i="45"/>
  <c r="BD55" i="45" a="1"/>
  <c r="BD55" i="45"/>
  <c r="BA55" i="45" a="1"/>
  <c r="BA55" i="45"/>
  <c r="BB62" i="45" a="1"/>
  <c r="BB62" i="45"/>
  <c r="BA62" i="45" a="1"/>
  <c r="BA62" i="45"/>
  <c r="BH62" i="45" a="1"/>
  <c r="BH62" i="45"/>
  <c r="AY62" i="45" a="1"/>
  <c r="AY62" i="45"/>
  <c r="BF62" i="45" a="1"/>
  <c r="BF62" i="45"/>
  <c r="AZ62" i="45" a="1"/>
  <c r="AZ62" i="45"/>
  <c r="BC62" i="45" a="1"/>
  <c r="BC62" i="45"/>
  <c r="BD62" i="45" a="1"/>
  <c r="BD62" i="45"/>
  <c r="BE62" i="45" a="1"/>
  <c r="BE62" i="45"/>
  <c r="BG62" i="45" a="1"/>
  <c r="BG62" i="45"/>
  <c r="AX37" i="45" a="1"/>
  <c r="AX37" i="45"/>
  <c r="BG37" i="45" a="1"/>
  <c r="BG37" i="45"/>
  <c r="BF37" i="45" a="1"/>
  <c r="BF37" i="45"/>
  <c r="BH37" i="45" a="1"/>
  <c r="BH37" i="45"/>
  <c r="BB37" i="45" a="1"/>
  <c r="BB37" i="45"/>
  <c r="BC37" i="45" a="1"/>
  <c r="BC37" i="45"/>
  <c r="AZ37" i="45" a="1"/>
  <c r="AZ37" i="45"/>
  <c r="BE37" i="45" a="1"/>
  <c r="BE37" i="45"/>
  <c r="BD37" i="45" a="1"/>
  <c r="BD37" i="45"/>
  <c r="BA37" i="45" a="1"/>
  <c r="BA37" i="45"/>
  <c r="AY37" i="45" a="1"/>
  <c r="AY37" i="45"/>
  <c r="BH38" i="45" a="1"/>
  <c r="BH38" i="45"/>
  <c r="AY38" i="45" a="1"/>
  <c r="AY38" i="45"/>
  <c r="BE38" i="45" a="1"/>
  <c r="BE38" i="45"/>
  <c r="BD38" i="45" a="1"/>
  <c r="BD38" i="45"/>
  <c r="BA38" i="45" a="1"/>
  <c r="BA38" i="45"/>
  <c r="AZ38" i="45" a="1"/>
  <c r="AZ38" i="45"/>
  <c r="BG38" i="45" a="1"/>
  <c r="BG38" i="45"/>
  <c r="BF38" i="45" a="1"/>
  <c r="BF38" i="45"/>
  <c r="BC38" i="45" a="1"/>
  <c r="BC38" i="45"/>
  <c r="BB38" i="45" a="1"/>
  <c r="BB38" i="45"/>
  <c r="BB61" i="45" a="1"/>
  <c r="BB61" i="45"/>
  <c r="BE61" i="45" a="1"/>
  <c r="BE61" i="45"/>
  <c r="BF61" i="45" a="1"/>
  <c r="BF61" i="45"/>
  <c r="BC61" i="45" a="1"/>
  <c r="BC61" i="45"/>
  <c r="BD61" i="45" a="1"/>
  <c r="BD61" i="45"/>
  <c r="BA61" i="45" a="1"/>
  <c r="BA61" i="45"/>
  <c r="BH61" i="45" a="1"/>
  <c r="BH61" i="45"/>
  <c r="AY61" i="45" a="1"/>
  <c r="AY61" i="45"/>
  <c r="AZ61" i="45" a="1"/>
  <c r="AZ61" i="45"/>
  <c r="BG61" i="45" a="1"/>
  <c r="BG61" i="45"/>
  <c r="BE44" i="45" a="1"/>
  <c r="BE44" i="45"/>
  <c r="BD44" i="45" a="1"/>
  <c r="BD44" i="45"/>
  <c r="AZ44" i="45" a="1"/>
  <c r="AZ44" i="45"/>
  <c r="BG44" i="45" a="1"/>
  <c r="BG44" i="45"/>
  <c r="BF44" i="45" a="1"/>
  <c r="BF44" i="45"/>
  <c r="AY44" i="45" a="1"/>
  <c r="AY44" i="45"/>
  <c r="BH44" i="45" a="1"/>
  <c r="BH44" i="45"/>
  <c r="BC44" i="45" a="1"/>
  <c r="BC44" i="45"/>
  <c r="BA44" i="45" a="1"/>
  <c r="BA44" i="45"/>
  <c r="BB44" i="45" a="1"/>
  <c r="BB44" i="45"/>
  <c r="AX42" i="45" a="1"/>
  <c r="AX42" i="45"/>
  <c r="BH42" i="45" a="1"/>
  <c r="BH42" i="45"/>
  <c r="AZ42" i="45" a="1"/>
  <c r="AZ42" i="45"/>
  <c r="BE42" i="45" a="1"/>
  <c r="BE42" i="45"/>
  <c r="BD42" i="45" a="1"/>
  <c r="BD42" i="45"/>
  <c r="AY42" i="45" a="1"/>
  <c r="AY42" i="45"/>
  <c r="BC42" i="45" a="1"/>
  <c r="BC42" i="45"/>
  <c r="BG42" i="45" a="1"/>
  <c r="BG42" i="45"/>
  <c r="BF42" i="45" a="1"/>
  <c r="BF42" i="45"/>
  <c r="BA42" i="45" a="1"/>
  <c r="BA42" i="45"/>
  <c r="BB42" i="45" a="1"/>
  <c r="BB42" i="45"/>
  <c r="BH50" i="45" a="1"/>
  <c r="BH50" i="45"/>
  <c r="BA50" i="45" a="1"/>
  <c r="BA50" i="45"/>
  <c r="BE50" i="45" a="1"/>
  <c r="BE50" i="45"/>
  <c r="BD50" i="45" a="1"/>
  <c r="BD50" i="45"/>
  <c r="BB50" i="45" a="1"/>
  <c r="BB50" i="45"/>
  <c r="BC50" i="45" a="1"/>
  <c r="BC50" i="45"/>
  <c r="AZ50" i="45" a="1"/>
  <c r="AZ50" i="45"/>
  <c r="BG50" i="45" a="1"/>
  <c r="BG50" i="45"/>
  <c r="BF50" i="45" a="1"/>
  <c r="BF50" i="45"/>
  <c r="AY50" i="45" a="1"/>
  <c r="AY50" i="45"/>
  <c r="BE36" i="45" a="1"/>
  <c r="BE36" i="45"/>
  <c r="BD36" i="45" a="1"/>
  <c r="BD36" i="45"/>
  <c r="BC36" i="45" a="1"/>
  <c r="BC36" i="45"/>
  <c r="BA36" i="45" a="1"/>
  <c r="BA36" i="45"/>
  <c r="AZ36" i="45" a="1"/>
  <c r="AZ36" i="45"/>
  <c r="BG36" i="45" a="1"/>
  <c r="BG36" i="45"/>
  <c r="BF36" i="45" a="1"/>
  <c r="BF36" i="45"/>
  <c r="BB36" i="45" a="1"/>
  <c r="BB36" i="45"/>
  <c r="BH36" i="45" a="1"/>
  <c r="BH36" i="45"/>
  <c r="AY36" i="45" a="1"/>
  <c r="AY36" i="45"/>
  <c r="BG53" i="45" a="1"/>
  <c r="BG53" i="45"/>
  <c r="AY53" i="45" a="1"/>
  <c r="AY53" i="45"/>
  <c r="BB53" i="45" a="1"/>
  <c r="BB53" i="45"/>
  <c r="AZ53" i="45" a="1"/>
  <c r="AZ53" i="45"/>
  <c r="BH53" i="45" a="1"/>
  <c r="BH53" i="45"/>
  <c r="BC53" i="45" a="1"/>
  <c r="BC53" i="45"/>
  <c r="BE53" i="45" a="1"/>
  <c r="BE53" i="45"/>
  <c r="BF53" i="45" a="1"/>
  <c r="BF53" i="45"/>
  <c r="BD53" i="45" a="1"/>
  <c r="BD53" i="45"/>
  <c r="BA53" i="45" a="1"/>
  <c r="BA53" i="45"/>
  <c r="AX56" i="45" a="1"/>
  <c r="AX56" i="45"/>
  <c r="BE56" i="45" a="1"/>
  <c r="BE56" i="45"/>
  <c r="AZ56" i="45" a="1"/>
  <c r="AZ56" i="45"/>
  <c r="BH56" i="45" a="1"/>
  <c r="BH56" i="45"/>
  <c r="BG56" i="45" a="1"/>
  <c r="BG56" i="45"/>
  <c r="BD56" i="45" a="1"/>
  <c r="BD56" i="45"/>
  <c r="BC56" i="45" a="1"/>
  <c r="BC56" i="45"/>
  <c r="BB56" i="45" a="1"/>
  <c r="BB56" i="45"/>
  <c r="BA56" i="45" a="1"/>
  <c r="BA56" i="45"/>
  <c r="AY56" i="45" a="1"/>
  <c r="AY56" i="45"/>
  <c r="BF56" i="45" a="1"/>
  <c r="BF56" i="45"/>
  <c r="BG49" i="45" a="1"/>
  <c r="BG49" i="45"/>
  <c r="BF49" i="45" a="1"/>
  <c r="BF49" i="45"/>
  <c r="BB49" i="45" a="1"/>
  <c r="BB49" i="45"/>
  <c r="BH49" i="45" a="1"/>
  <c r="BH49" i="45"/>
  <c r="BA49" i="45" a="1"/>
  <c r="BA49" i="45"/>
  <c r="AZ49" i="45" a="1"/>
  <c r="AZ49" i="45"/>
  <c r="BC49" i="45" a="1"/>
  <c r="BC49" i="45"/>
  <c r="BE49" i="45" a="1"/>
  <c r="BE49" i="45"/>
  <c r="BD49" i="45" a="1"/>
  <c r="BD49" i="45"/>
  <c r="AY49" i="45" a="1"/>
  <c r="AY49" i="45"/>
  <c r="BC39" i="45" a="1"/>
  <c r="BC39" i="45"/>
  <c r="AY39" i="45" a="1"/>
  <c r="AY39" i="45"/>
  <c r="BE39" i="45" a="1"/>
  <c r="BE39" i="45"/>
  <c r="BD39" i="45" a="1"/>
  <c r="BD39" i="45"/>
  <c r="BG39" i="45" a="1"/>
  <c r="BG39" i="45"/>
  <c r="BF39" i="45" a="1"/>
  <c r="BF39" i="45"/>
  <c r="BA39" i="45" a="1"/>
  <c r="BA39" i="45"/>
  <c r="BH39" i="45" a="1"/>
  <c r="BH39" i="45"/>
  <c r="AZ39" i="45" a="1"/>
  <c r="AZ39" i="45"/>
  <c r="BB39" i="45" a="1"/>
  <c r="BB39" i="45"/>
  <c r="BE47" i="45" a="1"/>
  <c r="BE47" i="45"/>
  <c r="BD47" i="45" a="1"/>
  <c r="BD47" i="45"/>
  <c r="AZ47" i="45" a="1"/>
  <c r="AZ47" i="45"/>
  <c r="BG47" i="45" a="1"/>
  <c r="BG47" i="45"/>
  <c r="BF47" i="45" a="1"/>
  <c r="BF47" i="45"/>
  <c r="BB47" i="45" a="1"/>
  <c r="BB47" i="45"/>
  <c r="BH47" i="45" a="1"/>
  <c r="BH47" i="45"/>
  <c r="BA47" i="45" a="1"/>
  <c r="BA47" i="45"/>
  <c r="AY47" i="45" a="1"/>
  <c r="AY47" i="45"/>
  <c r="BB35" i="45" a="1"/>
  <c r="BB35" i="45"/>
  <c r="BA35" i="45" a="1"/>
  <c r="BA35" i="45"/>
  <c r="BE35" i="45" a="1"/>
  <c r="BE35" i="45"/>
  <c r="BD35" i="45" a="1"/>
  <c r="BD35" i="45"/>
  <c r="BG35" i="45" a="1"/>
  <c r="BG35" i="45"/>
  <c r="BF35" i="45" a="1"/>
  <c r="BF35" i="45"/>
  <c r="AZ35" i="45" a="1"/>
  <c r="AZ35" i="45"/>
  <c r="BH35" i="45" a="1"/>
  <c r="BH35" i="45"/>
  <c r="AY35" i="45" a="1"/>
  <c r="AY35" i="45"/>
  <c r="BC35" i="45" a="1"/>
  <c r="BC35" i="45"/>
  <c r="BG45" i="45" a="1"/>
  <c r="BG45" i="45"/>
  <c r="BF45" i="45" a="1"/>
  <c r="BF45" i="45"/>
  <c r="BC45" i="45" a="1"/>
  <c r="BC45" i="45"/>
  <c r="BH45" i="45" a="1"/>
  <c r="BH45" i="45"/>
  <c r="AZ45" i="45" a="1"/>
  <c r="AZ45" i="45"/>
  <c r="AY45" i="45" a="1"/>
  <c r="AY45" i="45"/>
  <c r="BE45" i="45" a="1"/>
  <c r="BE45" i="45"/>
  <c r="BD45" i="45" a="1"/>
  <c r="BD45" i="45"/>
  <c r="BB45" i="45" a="1"/>
  <c r="BB45" i="45"/>
  <c r="BA45" i="45" a="1"/>
  <c r="BA45" i="45"/>
  <c r="BC65" i="45" a="1"/>
  <c r="BC65" i="45"/>
  <c r="BH65" i="45" a="1"/>
  <c r="BH65" i="45"/>
  <c r="AY65" i="45" a="1"/>
  <c r="AY65" i="45"/>
  <c r="BF65" i="45" a="1"/>
  <c r="BF65" i="45"/>
  <c r="BA65" i="45" a="1"/>
  <c r="BA65" i="45"/>
  <c r="BE65" i="45" a="1"/>
  <c r="BE65" i="45"/>
  <c r="AZ65" i="45" a="1"/>
  <c r="AZ65" i="45"/>
  <c r="BD65" i="45" a="1"/>
  <c r="BD65" i="45"/>
  <c r="BG65" i="45" a="1"/>
  <c r="BG65" i="45"/>
  <c r="BB65" i="45" a="1"/>
  <c r="BB65" i="45"/>
  <c r="AX54" i="45" a="1"/>
  <c r="AX54" i="45"/>
  <c r="BH54" i="45" a="1"/>
  <c r="BH54" i="45"/>
  <c r="AZ54" i="45" a="1"/>
  <c r="AZ54" i="45"/>
  <c r="BF54" i="45" a="1"/>
  <c r="BF54" i="45"/>
  <c r="BE54" i="45" a="1"/>
  <c r="BE54" i="45"/>
  <c r="BD54" i="45" a="1"/>
  <c r="BD54" i="45"/>
  <c r="AY54" i="45" a="1"/>
  <c r="AY54" i="45"/>
  <c r="BA54" i="45" a="1"/>
  <c r="BA54" i="45"/>
  <c r="BB54" i="45" a="1"/>
  <c r="BB54" i="45"/>
  <c r="BG54" i="45" a="1"/>
  <c r="BG54" i="45"/>
  <c r="BC54" i="45" a="1"/>
  <c r="BC54" i="45"/>
  <c r="BB58" i="45" a="1"/>
  <c r="BB58" i="45"/>
  <c r="AY58" i="45" a="1"/>
  <c r="AY58" i="45"/>
  <c r="BD58" i="45" a="1"/>
  <c r="BD58" i="45"/>
  <c r="BE58" i="45" a="1"/>
  <c r="BE58" i="45"/>
  <c r="AZ58" i="45" a="1"/>
  <c r="AZ58" i="45"/>
  <c r="BF58" i="45" a="1"/>
  <c r="BF58" i="45"/>
  <c r="BG58" i="45" a="1"/>
  <c r="BG58" i="45"/>
  <c r="BH58" i="45" a="1"/>
  <c r="BH58" i="45"/>
  <c r="BC58" i="45" a="1"/>
  <c r="BC58" i="45"/>
  <c r="BA58" i="45" a="1"/>
  <c r="BA58" i="45"/>
  <c r="AX63" i="45" a="1"/>
  <c r="AX63" i="45"/>
  <c r="BD63" i="45" a="1"/>
  <c r="BD63" i="45"/>
  <c r="BB63" i="45" a="1"/>
  <c r="BB63" i="45"/>
  <c r="BC63" i="45" a="1"/>
  <c r="BC63" i="45"/>
  <c r="BF63" i="45" a="1"/>
  <c r="BF63" i="45"/>
  <c r="AY63" i="45" a="1"/>
  <c r="AY63" i="45"/>
  <c r="AZ63" i="45" a="1"/>
  <c r="AZ63" i="45"/>
  <c r="BH63" i="45" a="1"/>
  <c r="BH63" i="45"/>
  <c r="BA63" i="45" a="1"/>
  <c r="BA63" i="45"/>
  <c r="BG63" i="45" a="1"/>
  <c r="BG63" i="45"/>
  <c r="BE63" i="45" a="1"/>
  <c r="BE63" i="45"/>
  <c r="DB63" i="45" a="1"/>
  <c r="DB63" i="45"/>
  <c r="DD63" i="45" a="1"/>
  <c r="DD63" i="45"/>
  <c r="CB34" i="45" a="1"/>
  <c r="CB34" i="45"/>
  <c r="CK34" i="45" a="1"/>
  <c r="CK34" i="45"/>
  <c r="CZ48" i="45" a="1"/>
  <c r="CZ48" i="45"/>
  <c r="CI58" i="45" a="1"/>
  <c r="CI58" i="45"/>
  <c r="DF63" i="45" a="1"/>
  <c r="DF63" i="45"/>
  <c r="BS53" i="45" a="1"/>
  <c r="BS53" i="45"/>
  <c r="CG58" i="45" a="1"/>
  <c r="CG58" i="45"/>
  <c r="BN53" i="45" a="1"/>
  <c r="BN53" i="45"/>
  <c r="DB56" i="45" a="1"/>
  <c r="DB56" i="45"/>
  <c r="CH50" i="45" a="1"/>
  <c r="CH50" i="45"/>
  <c r="DK63" i="45" a="1"/>
  <c r="DK63" i="45"/>
  <c r="DI63" i="45" a="1"/>
  <c r="DI63" i="45"/>
  <c r="DG46" i="45" a="1"/>
  <c r="DG46" i="45"/>
  <c r="CL53" i="45" a="1"/>
  <c r="CL53" i="45"/>
  <c r="CW53" i="45" a="1"/>
  <c r="CW53" i="45"/>
  <c r="CC58" i="45" a="1"/>
  <c r="CC58" i="45"/>
  <c r="DE46" i="45" a="1"/>
  <c r="DE46" i="45"/>
  <c r="BV58" i="45" a="1"/>
  <c r="BV58" i="45"/>
  <c r="CT53" i="45" a="1"/>
  <c r="CT53" i="45"/>
  <c r="DK56" i="45" a="1"/>
  <c r="DK56" i="45"/>
  <c r="DG63" i="45" a="1"/>
  <c r="DG63" i="45"/>
  <c r="CB50" i="45" a="1"/>
  <c r="CB50" i="45"/>
  <c r="CF34" i="45" a="1"/>
  <c r="CF34" i="45"/>
  <c r="DH46" i="45" a="1"/>
  <c r="DH46" i="45"/>
  <c r="AX40" i="45" a="1"/>
  <c r="AX40" i="45"/>
  <c r="AX48" i="45" a="1"/>
  <c r="AX48" i="45"/>
  <c r="AX53" i="45" a="1"/>
  <c r="AX53" i="45"/>
  <c r="CW58" i="45" a="1"/>
  <c r="CW58" i="45"/>
  <c r="CT58" i="45" a="1"/>
  <c r="CT58" i="45"/>
  <c r="CU58" i="45" a="1"/>
  <c r="CU58" i="45"/>
  <c r="CC43" i="45" a="1"/>
  <c r="CC43" i="45"/>
  <c r="DF58" i="45" a="1"/>
  <c r="DF58" i="45"/>
  <c r="CN63" i="45" a="1"/>
  <c r="CN63" i="45"/>
  <c r="CS58" i="45" a="1"/>
  <c r="CS58" i="45"/>
  <c r="CQ58" i="45" a="1"/>
  <c r="CQ58" i="45"/>
  <c r="CF37" i="45" a="1"/>
  <c r="CF37" i="45"/>
  <c r="CJ37" i="45" a="1"/>
  <c r="CJ37" i="45"/>
  <c r="CD53" i="45" a="1"/>
  <c r="CD53" i="45"/>
  <c r="CH53" i="45" a="1"/>
  <c r="CH53" i="45"/>
  <c r="CI53" i="45" a="1"/>
  <c r="CI53" i="45"/>
  <c r="BR53" i="45" a="1"/>
  <c r="BR53" i="45"/>
  <c r="BZ53" i="45" a="1"/>
  <c r="BZ53" i="45"/>
  <c r="BO53" i="45" a="1"/>
  <c r="BO53" i="45"/>
  <c r="BP53" i="45" a="1"/>
  <c r="BP53" i="45"/>
  <c r="BW58" i="45" a="1"/>
  <c r="BW58" i="45"/>
  <c r="BO63" i="45" a="1"/>
  <c r="BO63" i="45"/>
  <c r="CB61" i="45" a="1"/>
  <c r="CB61" i="45"/>
  <c r="CG43" i="45" a="1"/>
  <c r="CG43" i="45"/>
  <c r="CK61" i="45" a="1"/>
  <c r="CK61" i="45"/>
  <c r="BU53" i="45" a="1"/>
  <c r="BU53" i="45"/>
  <c r="CG61" i="45" a="1"/>
  <c r="CG61" i="45"/>
  <c r="CV53" i="45" a="1"/>
  <c r="CV53" i="45"/>
  <c r="CG53" i="45" a="1"/>
  <c r="CG53" i="45"/>
  <c r="BW53" i="45" a="1"/>
  <c r="BW53" i="45"/>
  <c r="CB53" i="45" a="1"/>
  <c r="CB53" i="45"/>
  <c r="CC53" i="45" a="1"/>
  <c r="CC53" i="45"/>
  <c r="DF53" i="45" a="1"/>
  <c r="DF53" i="45"/>
  <c r="DF56" i="45" a="1"/>
  <c r="DF56" i="45"/>
  <c r="DE56" i="45" a="1"/>
  <c r="DE56" i="45"/>
  <c r="CI43" i="45" a="1"/>
  <c r="CI43" i="45"/>
  <c r="CN58" i="45" a="1"/>
  <c r="CN58" i="45"/>
  <c r="BQ53" i="45" a="1"/>
  <c r="BQ53" i="45"/>
  <c r="DB53" i="45" a="1"/>
  <c r="DB53" i="45"/>
  <c r="CB58" i="45" a="1"/>
  <c r="CB58" i="45"/>
  <c r="CM63" i="45" a="1"/>
  <c r="CM63" i="45"/>
  <c r="CV63" i="45" a="1"/>
  <c r="CV63" i="45"/>
  <c r="CU63" i="45" a="1"/>
  <c r="CU63" i="45"/>
  <c r="CT63" i="45" a="1"/>
  <c r="CT63" i="45"/>
  <c r="CR63" i="45" a="1"/>
  <c r="CR63" i="45"/>
  <c r="CD58" i="45" a="1"/>
  <c r="CD58" i="45"/>
  <c r="DB58" i="45" a="1"/>
  <c r="DB58" i="45"/>
  <c r="DI58" i="45" a="1"/>
  <c r="DI58" i="45"/>
  <c r="CP58" i="45" a="1"/>
  <c r="CP58" i="45"/>
  <c r="DG58" i="45" a="1"/>
  <c r="DG58" i="45"/>
  <c r="CE50" i="45" a="1"/>
  <c r="CE50" i="45"/>
  <c r="CL50" i="45" a="1"/>
  <c r="CL50" i="45"/>
  <c r="CD50" i="45" a="1"/>
  <c r="CD50" i="45"/>
  <c r="CT42" i="45" a="1"/>
  <c r="CT42" i="45"/>
  <c r="CU42" i="45" a="1"/>
  <c r="CU42" i="45"/>
  <c r="CZ42" i="45" a="1"/>
  <c r="CZ42" i="45"/>
  <c r="CM42" i="45" a="1"/>
  <c r="CM42" i="45"/>
  <c r="CE43" i="45" a="1"/>
  <c r="CE43" i="45"/>
  <c r="CD37" i="45" a="1"/>
  <c r="CD37" i="45"/>
  <c r="CL37" i="45" a="1"/>
  <c r="CL37" i="45"/>
  <c r="CH37" i="45" a="1"/>
  <c r="CH37" i="45"/>
  <c r="CC37" i="45" a="1"/>
  <c r="CC37" i="45"/>
  <c r="CH34" i="45" a="1"/>
  <c r="CH34" i="45"/>
  <c r="CT48" i="45" a="1"/>
  <c r="CT48" i="45"/>
  <c r="CS48" i="45" a="1"/>
  <c r="CS48" i="45"/>
  <c r="CM48" i="45" a="1"/>
  <c r="CM48" i="45"/>
  <c r="DB46" i="45" a="1"/>
  <c r="DB46" i="45"/>
  <c r="DN46" i="45" a="1"/>
  <c r="DN46" i="45"/>
  <c r="BM63" i="45" a="1"/>
  <c r="BM63" i="45"/>
  <c r="BP63" i="45" a="1"/>
  <c r="BP63" i="45"/>
  <c r="BW63" i="45" a="1"/>
  <c r="BW63" i="45"/>
  <c r="BQ63" i="45" a="1"/>
  <c r="BQ63" i="45"/>
  <c r="CD63" i="45" a="1"/>
  <c r="CD63" i="45"/>
  <c r="CL63" i="45" a="1"/>
  <c r="CL63" i="45"/>
  <c r="CE63" i="45" a="1"/>
  <c r="CE63" i="45"/>
  <c r="CF63" i="45" a="1"/>
  <c r="CF63" i="45"/>
  <c r="CM58" i="45" a="1"/>
  <c r="CM58" i="45"/>
  <c r="DG53" i="45" a="1"/>
  <c r="DG53" i="45"/>
  <c r="DC58" i="45" a="1"/>
  <c r="DC58" i="45"/>
  <c r="CO63" i="45" a="1"/>
  <c r="CO63" i="45"/>
  <c r="CP42" i="45" a="1"/>
  <c r="CP42" i="45"/>
  <c r="CF43" i="45" a="1"/>
  <c r="CF43" i="45"/>
  <c r="CE37" i="45" a="1"/>
  <c r="CE37" i="45"/>
  <c r="BT53" i="45" a="1"/>
  <c r="BT53" i="45"/>
  <c r="CF53" i="45" a="1"/>
  <c r="CF53" i="45"/>
  <c r="DI53" i="45" a="1"/>
  <c r="DI53" i="45"/>
  <c r="DG56" i="45" a="1"/>
  <c r="DG56" i="45"/>
  <c r="DH53" i="45" a="1"/>
  <c r="DH53" i="45"/>
  <c r="CB63" i="45" a="1"/>
  <c r="CB63" i="45"/>
  <c r="DH58" i="45" a="1"/>
  <c r="DH58" i="45"/>
  <c r="CI50" i="45" a="1"/>
  <c r="CI50" i="45"/>
  <c r="CN42" i="45" a="1"/>
  <c r="CN42" i="45"/>
  <c r="CS42" i="45" a="1"/>
  <c r="CS42" i="45"/>
  <c r="CR42" i="45" a="1"/>
  <c r="CR42" i="45"/>
  <c r="DK53" i="45" a="1"/>
  <c r="DK53" i="45"/>
  <c r="CK37" i="45" a="1"/>
  <c r="CK37" i="45"/>
  <c r="CI37" i="45" a="1"/>
  <c r="CI37" i="45"/>
  <c r="CB37" i="45" a="1"/>
  <c r="CB37" i="45"/>
  <c r="CI34" i="45" a="1"/>
  <c r="CI34" i="45"/>
  <c r="CE34" i="45" a="1"/>
  <c r="CE34" i="45"/>
  <c r="CC34" i="45" a="1"/>
  <c r="CC34" i="45"/>
  <c r="CL34" i="45" a="1"/>
  <c r="CL34" i="45"/>
  <c r="CQ48" i="45" a="1"/>
  <c r="CQ48" i="45"/>
  <c r="CN48" i="45" a="1"/>
  <c r="CN48" i="45"/>
  <c r="CP48" i="45" a="1"/>
  <c r="CP48" i="45"/>
  <c r="CU48" i="45" a="1"/>
  <c r="CU48" i="45"/>
  <c r="DJ46" i="45" a="1"/>
  <c r="DJ46" i="45"/>
  <c r="DF46" i="45" a="1"/>
  <c r="DF46" i="45"/>
  <c r="DC46" i="45" a="1"/>
  <c r="DC46" i="45"/>
  <c r="DK46" i="45" a="1"/>
  <c r="DK46" i="45"/>
  <c r="CC61" i="45" a="1"/>
  <c r="CC61" i="45"/>
  <c r="CL61" i="45" a="1"/>
  <c r="CL61" i="45"/>
  <c r="CH61" i="45" a="1"/>
  <c r="CH61" i="45"/>
  <c r="CI61" i="45" a="1"/>
  <c r="CI61" i="45"/>
  <c r="BS63" i="45" a="1"/>
  <c r="BS63" i="45"/>
  <c r="CJ43" i="45" a="1"/>
  <c r="CJ43" i="45"/>
  <c r="CD61" i="45" a="1"/>
  <c r="CD61" i="45"/>
  <c r="DC53" i="45" a="1"/>
  <c r="DC53" i="45"/>
  <c r="CL43" i="45" a="1"/>
  <c r="CL43" i="45"/>
  <c r="BU63" i="45" a="1"/>
  <c r="BU63" i="45"/>
  <c r="CF61" i="45" a="1"/>
  <c r="CF61" i="45"/>
  <c r="CJ63" i="45" a="1"/>
  <c r="CJ63" i="45"/>
  <c r="BR63" i="45" a="1"/>
  <c r="BR63" i="45"/>
  <c r="CW63" i="45" a="1"/>
  <c r="CW63" i="45"/>
  <c r="CV58" i="45" a="1"/>
  <c r="CV58" i="45"/>
  <c r="CB43" i="45" a="1"/>
  <c r="CB43" i="45"/>
  <c r="CO42" i="45" a="1"/>
  <c r="CO42" i="45"/>
  <c r="CQ42" i="45" a="1"/>
  <c r="CQ42" i="45"/>
  <c r="CR53" i="45" a="1"/>
  <c r="CR53" i="45"/>
  <c r="CO53" i="45" a="1"/>
  <c r="CO53" i="45"/>
  <c r="CQ53" i="45" a="1"/>
  <c r="CQ53" i="45"/>
  <c r="CJ58" i="45" a="1"/>
  <c r="CJ58" i="45"/>
  <c r="CK58" i="45" a="1"/>
  <c r="CK58" i="45"/>
  <c r="CE58" i="45" a="1"/>
  <c r="CE58" i="45"/>
  <c r="BP58" i="45" a="1"/>
  <c r="BP58" i="45"/>
  <c r="BS58" i="45" a="1"/>
  <c r="BS58" i="45"/>
  <c r="BT58" i="45" a="1"/>
  <c r="BT58" i="45"/>
  <c r="BQ58" i="45" a="1"/>
  <c r="BQ58" i="45"/>
  <c r="BO58" i="45" a="1"/>
  <c r="BO58" i="45"/>
  <c r="BR58" i="45" a="1"/>
  <c r="BR58" i="45"/>
  <c r="AX61" i="45" a="1"/>
  <c r="AX61" i="45"/>
  <c r="CF58" i="45" a="1"/>
  <c r="CF58" i="45"/>
  <c r="CD43" i="45" a="1"/>
  <c r="CD43" i="45"/>
  <c r="CJ61" i="45" a="1"/>
  <c r="CJ61" i="45"/>
  <c r="DJ53" i="45" a="1"/>
  <c r="DJ53" i="45"/>
  <c r="CS53" i="45" a="1"/>
  <c r="CS53" i="45"/>
  <c r="CZ53" i="45" a="1"/>
  <c r="CZ53" i="45"/>
  <c r="CN53" i="45" a="1"/>
  <c r="CN53" i="45"/>
  <c r="DN56" i="45" a="1"/>
  <c r="DN56" i="45"/>
  <c r="CO58" i="45" a="1"/>
  <c r="CO58" i="45"/>
  <c r="CG63" i="45" a="1"/>
  <c r="CG63" i="45"/>
  <c r="BN63" i="45" a="1"/>
  <c r="BN63" i="45"/>
  <c r="CC63" i="45" a="1"/>
  <c r="CC63" i="45"/>
  <c r="CS63" i="45" a="1"/>
  <c r="CS63" i="45"/>
  <c r="BZ58" i="45" a="1"/>
  <c r="BZ58" i="45"/>
  <c r="DE58" i="45" a="1"/>
  <c r="DE58" i="45"/>
  <c r="DD58" i="45" a="1"/>
  <c r="DD58" i="45"/>
  <c r="DA63" i="45" a="1"/>
  <c r="DA63" i="45"/>
  <c r="DJ63" i="45" a="1"/>
  <c r="DJ63" i="45"/>
  <c r="DE63" i="45" a="1"/>
  <c r="DE63" i="45"/>
  <c r="DC63" i="45" a="1"/>
  <c r="DC63" i="45"/>
  <c r="AX49" i="45" a="1"/>
  <c r="AX49" i="45"/>
  <c r="CH43" i="45" a="1"/>
  <c r="CH43" i="45"/>
  <c r="CQ63" i="45" a="1"/>
  <c r="CQ63" i="45"/>
  <c r="CK53" i="45" a="1"/>
  <c r="CK53" i="45"/>
  <c r="DD56" i="45" a="1"/>
  <c r="DD56" i="45"/>
  <c r="CJ53" i="45" a="1"/>
  <c r="CJ53" i="45"/>
  <c r="CM53" i="45" a="1"/>
  <c r="CM53" i="45"/>
  <c r="CU53" i="45" a="1"/>
  <c r="CU53" i="45"/>
  <c r="DD53" i="45" a="1"/>
  <c r="DD53" i="45"/>
  <c r="DE53" i="45" a="1"/>
  <c r="DE53" i="45"/>
  <c r="DJ56" i="45" a="1"/>
  <c r="DJ56" i="45"/>
  <c r="CG50" i="45" a="1"/>
  <c r="CG50" i="45"/>
  <c r="DH56" i="45" a="1"/>
  <c r="DH56" i="45"/>
  <c r="CH58" i="45" a="1"/>
  <c r="CH58" i="45"/>
  <c r="CC50" i="45" a="1"/>
  <c r="CC50" i="45"/>
  <c r="CZ63" i="45" a="1"/>
  <c r="CZ63" i="45"/>
  <c r="CK63" i="45" a="1"/>
  <c r="CK63" i="45"/>
  <c r="CH63" i="45" a="1"/>
  <c r="CH63" i="45"/>
  <c r="BV63" i="45" a="1"/>
  <c r="BV63" i="45"/>
  <c r="BZ63" i="45" a="1"/>
  <c r="BZ63" i="45"/>
  <c r="DH63" i="45" a="1"/>
  <c r="DH63" i="45"/>
  <c r="CZ58" i="45" a="1"/>
  <c r="CZ58" i="45"/>
  <c r="CR58" i="45" a="1"/>
  <c r="CR58" i="45"/>
  <c r="DN58" i="45" a="1"/>
  <c r="DN58" i="45"/>
  <c r="BU58" i="45" a="1"/>
  <c r="BU58" i="45"/>
  <c r="DK58" i="45" a="1"/>
  <c r="DK58" i="45"/>
  <c r="CJ50" i="45" a="1"/>
  <c r="CJ50" i="45"/>
  <c r="CF50" i="45" a="1"/>
  <c r="CF50" i="45"/>
  <c r="CW42" i="45" a="1"/>
  <c r="CW42" i="45"/>
  <c r="CG34" i="45" a="1"/>
  <c r="CG34" i="45"/>
  <c r="CD34" i="45" a="1"/>
  <c r="CD34" i="45"/>
  <c r="CO48" i="45" a="1"/>
  <c r="CO48" i="45"/>
  <c r="CW48" i="45" a="1"/>
  <c r="CW48" i="45"/>
  <c r="CV48" i="45" a="1"/>
  <c r="CV48" i="45"/>
  <c r="DD46" i="45" a="1"/>
  <c r="DD46" i="45"/>
  <c r="DC56" i="45" a="1"/>
  <c r="DC56" i="45"/>
  <c r="AX38" i="45" a="1"/>
  <c r="AX38" i="45"/>
  <c r="AX58" i="45" a="1"/>
  <c r="AX58" i="45"/>
  <c r="BH85" i="12" a="1"/>
  <c r="BH85" i="12"/>
  <c r="BH87" i="12"/>
  <c r="BD85" i="12" a="1"/>
  <c r="BD85" i="12"/>
  <c r="BD87" i="12"/>
  <c r="AW85" i="12" a="1"/>
  <c r="AW85" i="12"/>
  <c r="AW87" i="12"/>
  <c r="BE85" i="12" a="1"/>
  <c r="BE85" i="12"/>
  <c r="BE87" i="12"/>
  <c r="AX85" i="12" a="1"/>
  <c r="AX85" i="12"/>
  <c r="AX87" i="12"/>
  <c r="BC85" i="12" a="1"/>
  <c r="BC85" i="12"/>
  <c r="BC87" i="12"/>
  <c r="AY85" i="12" a="1"/>
  <c r="AY85" i="12"/>
  <c r="AY87" i="12"/>
  <c r="BA85" i="12" a="1"/>
  <c r="BA85" i="12"/>
  <c r="BA87" i="12"/>
  <c r="AV85" i="12" a="1"/>
  <c r="AV85" i="12"/>
  <c r="AV87" i="12"/>
  <c r="AZ85" i="12" a="1"/>
  <c r="AZ85" i="12"/>
  <c r="AZ87" i="12"/>
  <c r="BB85" i="12" a="1"/>
  <c r="BB85" i="12"/>
  <c r="BB87" i="12"/>
  <c r="BA101" i="12" a="1"/>
  <c r="BA101" i="12"/>
  <c r="CH101" i="12" a="1"/>
  <c r="CH101" i="12"/>
  <c r="AX101" i="12" a="1"/>
  <c r="AX101" i="12"/>
  <c r="CY101" i="12" a="1"/>
  <c r="CY101" i="12"/>
  <c r="CC101" i="12" a="1"/>
  <c r="CC101" i="12"/>
  <c r="CS101" i="12" a="1"/>
  <c r="CS101" i="12"/>
  <c r="BP101" i="12" a="1"/>
  <c r="BP101" i="12"/>
  <c r="CF101" i="12" a="1"/>
  <c r="CF101" i="12"/>
  <c r="CD100" i="12" a="1"/>
  <c r="CD100" i="12"/>
  <c r="CI101" i="12" a="1"/>
  <c r="CI101" i="12"/>
  <c r="CG101" i="12" a="1"/>
  <c r="CG101" i="12"/>
  <c r="BK101" i="12" a="1"/>
  <c r="BK101" i="12"/>
  <c r="CG100" i="12" a="1"/>
  <c r="CG100" i="12"/>
  <c r="BV101" i="12" a="1"/>
  <c r="BV101" i="12"/>
  <c r="DL101" i="12" a="1"/>
  <c r="DL101" i="12"/>
  <c r="DI101" i="12" a="1"/>
  <c r="DI101" i="12"/>
  <c r="BW102" i="12" a="1"/>
  <c r="BW102" i="12"/>
  <c r="BF101" i="12" a="1"/>
  <c r="BF101" i="12"/>
  <c r="BH101" i="12" a="1"/>
  <c r="BH101" i="12"/>
  <c r="DC101" i="12" a="1"/>
  <c r="DC101" i="12"/>
  <c r="CD101" i="12" a="1"/>
  <c r="CD101" i="12"/>
  <c r="CA101" i="12" a="1"/>
  <c r="CA101" i="12"/>
  <c r="CV101" i="12" a="1"/>
  <c r="CV101" i="12"/>
  <c r="DJ101" i="12" a="1"/>
  <c r="DJ101" i="12"/>
  <c r="CN101" i="12" a="1"/>
  <c r="CN101" i="12"/>
  <c r="BU102" i="12" a="1"/>
  <c r="BU102" i="12"/>
  <c r="BB101" i="12" a="1"/>
  <c r="BB101" i="12"/>
  <c r="CW101" i="12" a="1"/>
  <c r="CW101" i="12"/>
  <c r="DH101" i="12" a="1"/>
  <c r="DH101" i="12"/>
  <c r="BO101" i="12" a="1"/>
  <c r="BO101" i="12"/>
  <c r="DD101" i="12" a="1"/>
  <c r="DD101" i="12"/>
  <c r="BQ101" i="12" a="1"/>
  <c r="BQ101" i="12"/>
  <c r="BQ102" i="12" a="1"/>
  <c r="BQ102" i="12"/>
  <c r="CE99" i="12" a="1"/>
  <c r="CE99" i="12"/>
  <c r="CX99" i="12" a="1"/>
  <c r="CX99" i="12"/>
  <c r="CW99" i="12" a="1"/>
  <c r="CW99" i="12"/>
  <c r="CT99" i="12" a="1"/>
  <c r="CT99" i="12"/>
  <c r="CK99" i="12" a="1"/>
  <c r="CK99" i="12"/>
  <c r="CQ99" i="12" a="1"/>
  <c r="CQ99" i="12"/>
  <c r="CH99" i="12" a="1"/>
  <c r="CH99" i="12"/>
  <c r="CF99" i="12" a="1"/>
  <c r="CF99" i="12"/>
  <c r="DD99" i="12" a="1"/>
  <c r="DD99" i="12"/>
  <c r="DJ99" i="12" a="1"/>
  <c r="DJ99" i="12"/>
  <c r="BW98" i="12" a="1"/>
  <c r="BW98" i="12"/>
  <c r="BN98" i="12" a="1"/>
  <c r="BN98" i="12"/>
  <c r="BV98" i="12" a="1"/>
  <c r="BV98" i="12"/>
  <c r="CE102" i="12" a="1"/>
  <c r="CE102" i="12"/>
  <c r="DP102" i="12" a="1"/>
  <c r="DP102" i="12"/>
  <c r="CT102" i="12" a="1"/>
  <c r="CT102" i="12"/>
  <c r="CV102" i="12" a="1"/>
  <c r="CV102" i="12"/>
  <c r="DC102" i="12" a="1"/>
  <c r="DC102" i="12"/>
  <c r="DE102" i="12" a="1"/>
  <c r="DE102" i="12"/>
  <c r="DL102" i="12" a="1"/>
  <c r="DL102" i="12"/>
  <c r="DF102" i="12" a="1"/>
  <c r="DF102" i="12"/>
  <c r="DH102" i="12" a="1"/>
  <c r="DH102" i="12"/>
  <c r="AY101" i="12" a="1"/>
  <c r="AY101" i="12"/>
  <c r="BE101" i="12" a="1"/>
  <c r="BE101" i="12"/>
  <c r="BC101" i="12" a="1"/>
  <c r="BC101" i="12"/>
  <c r="DP99" i="12" a="1"/>
  <c r="DP99" i="12"/>
  <c r="CY99" i="12" a="1"/>
  <c r="CY99" i="12"/>
  <c r="DM99" i="12" a="1"/>
  <c r="DM99" i="12"/>
  <c r="DE99" i="12" a="1"/>
  <c r="DE99" i="12"/>
  <c r="DL99" i="12" a="1"/>
  <c r="DL99" i="12"/>
  <c r="CI99" i="12" a="1"/>
  <c r="CI99" i="12"/>
  <c r="CN99" i="12" a="1"/>
  <c r="CN99" i="12"/>
  <c r="CP99" i="12" a="1"/>
  <c r="CP99" i="12"/>
  <c r="CC99" i="12" a="1"/>
  <c r="CC99" i="12"/>
  <c r="DG99" i="12" a="1"/>
  <c r="DG99" i="12"/>
  <c r="CE101" i="12" a="1"/>
  <c r="CE101" i="12"/>
  <c r="CX101" i="12" a="1"/>
  <c r="CX101" i="12"/>
  <c r="DF101" i="12" a="1"/>
  <c r="DF101" i="12"/>
  <c r="CJ101" i="12" a="1"/>
  <c r="CJ101" i="12"/>
  <c r="DE101" i="12" a="1"/>
  <c r="DE101" i="12"/>
  <c r="DP101" i="12" a="1"/>
  <c r="DP101" i="12"/>
  <c r="BT101" i="12" a="1"/>
  <c r="BT101" i="12"/>
  <c r="CQ101" i="12" a="1"/>
  <c r="CQ101" i="12"/>
  <c r="CP101" i="12" a="1"/>
  <c r="CP101" i="12"/>
  <c r="DG101" i="12" a="1"/>
  <c r="DG101" i="12"/>
  <c r="BU101" i="12" a="1"/>
  <c r="BU101" i="12"/>
  <c r="BS101" i="12" a="1"/>
  <c r="BS101" i="12"/>
  <c r="BO98" i="12" a="1"/>
  <c r="BO98" i="12"/>
  <c r="BS98" i="12" a="1"/>
  <c r="BS98" i="12"/>
  <c r="BT102" i="12" a="1"/>
  <c r="BT102" i="12"/>
  <c r="DD102" i="12" a="1"/>
  <c r="DD102" i="12"/>
  <c r="CJ102" i="12" a="1"/>
  <c r="CJ102" i="12"/>
  <c r="DI102" i="12" a="1"/>
  <c r="DI102" i="12"/>
  <c r="CB102" i="12" a="1"/>
  <c r="CB102" i="12"/>
  <c r="DK102" i="12" a="1"/>
  <c r="DK102" i="12"/>
  <c r="CI102" i="12" a="1"/>
  <c r="CI102" i="12"/>
  <c r="BS102" i="12" a="1"/>
  <c r="BS102" i="12"/>
  <c r="DG102" i="12" a="1"/>
  <c r="DG102" i="12"/>
  <c r="CN102" i="12" a="1"/>
  <c r="CN102" i="12"/>
  <c r="BN102" i="12" a="1"/>
  <c r="BN102" i="12"/>
  <c r="DB99" i="12" a="1"/>
  <c r="DB99" i="12"/>
  <c r="DH99" i="12" a="1"/>
  <c r="DH99" i="12"/>
  <c r="CA99" i="12" a="1"/>
  <c r="CA99" i="12"/>
  <c r="DI99" i="12" a="1"/>
  <c r="DI99" i="12"/>
  <c r="DF99" i="12" a="1"/>
  <c r="DF99" i="12"/>
  <c r="CS99" i="12" a="1"/>
  <c r="CS99" i="12"/>
  <c r="CB99" i="12" a="1"/>
  <c r="CB99" i="12"/>
  <c r="CD99" i="12" a="1"/>
  <c r="CD99" i="12"/>
  <c r="BT98" i="12" a="1"/>
  <c r="BT98" i="12"/>
  <c r="DM102" i="12" a="1"/>
  <c r="DM102" i="12"/>
  <c r="CW102" i="12" a="1"/>
  <c r="CW102" i="12"/>
  <c r="CP102" i="12" a="1"/>
  <c r="CP102" i="12"/>
  <c r="DB102" i="12" a="1"/>
  <c r="DB102" i="12"/>
  <c r="CC102" i="12" a="1"/>
  <c r="CC102" i="12"/>
  <c r="CQ102" i="12" a="1"/>
  <c r="CQ102" i="12"/>
  <c r="CO102" i="12" a="1"/>
  <c r="CO102" i="12"/>
  <c r="CY102" i="12" a="1"/>
  <c r="CY102" i="12"/>
  <c r="CX102" i="12" a="1"/>
  <c r="CX102" i="12"/>
  <c r="CG102" i="12" a="1"/>
  <c r="CG102" i="12"/>
  <c r="AZ101" i="12" a="1"/>
  <c r="AZ101" i="12"/>
  <c r="BG101" i="12" a="1"/>
  <c r="BG101" i="12"/>
  <c r="CJ99" i="12" a="1"/>
  <c r="CJ99" i="12"/>
  <c r="CR99" i="12" a="1"/>
  <c r="CR99" i="12"/>
  <c r="DK99" i="12" a="1"/>
  <c r="DK99" i="12"/>
  <c r="CU99" i="12" a="1"/>
  <c r="CU99" i="12"/>
  <c r="CG99" i="12" a="1"/>
  <c r="CG99" i="12"/>
  <c r="DC99" i="12" a="1"/>
  <c r="DC99" i="12"/>
  <c r="CV99" i="12" a="1"/>
  <c r="CV99" i="12"/>
  <c r="CK101" i="12" a="1"/>
  <c r="CK101" i="12"/>
  <c r="CR101" i="12" a="1"/>
  <c r="CR101" i="12"/>
  <c r="CT101" i="12" a="1"/>
  <c r="CT101" i="12"/>
  <c r="BN101" i="12" a="1"/>
  <c r="BN101" i="12"/>
  <c r="DB101" i="12" a="1"/>
  <c r="DB101" i="12"/>
  <c r="CB101" i="12" a="1"/>
  <c r="CB101" i="12"/>
  <c r="DM101" i="12" a="1"/>
  <c r="DM101" i="12"/>
  <c r="BW101" i="12" a="1"/>
  <c r="BW101" i="12"/>
  <c r="CO101" i="12" a="1"/>
  <c r="CO101" i="12"/>
  <c r="DK101" i="12" a="1"/>
  <c r="DK101" i="12"/>
  <c r="BQ98" i="12" a="1"/>
  <c r="BQ98" i="12"/>
  <c r="BP98" i="12" a="1"/>
  <c r="BP98" i="12"/>
  <c r="CH102" i="12" a="1"/>
  <c r="CH102" i="12"/>
  <c r="CR102" i="12" a="1"/>
  <c r="CR102" i="12"/>
  <c r="BO102" i="12" a="1"/>
  <c r="BO102" i="12"/>
  <c r="CS102" i="12" a="1"/>
  <c r="CS102" i="12"/>
  <c r="CK102" i="12" a="1"/>
  <c r="CK102" i="12"/>
  <c r="BV102" i="12" a="1"/>
  <c r="BV102" i="12"/>
  <c r="CU102" i="12" a="1"/>
  <c r="CU102" i="12"/>
  <c r="CF102" i="12" a="1"/>
  <c r="CF102" i="12"/>
  <c r="DJ102" i="12" a="1"/>
  <c r="DJ102" i="12"/>
  <c r="CA102" i="12" a="1"/>
  <c r="CA102" i="12"/>
  <c r="BP102" i="12" a="1"/>
  <c r="BP102" i="12"/>
  <c r="BD55" i="12" a="1"/>
  <c r="BD55" i="12"/>
  <c r="AX97" i="12" a="1"/>
  <c r="AX97" i="12"/>
  <c r="BA97" i="12" a="1"/>
  <c r="BA97" i="12"/>
  <c r="BB97" i="12" a="1"/>
  <c r="BB97" i="12"/>
  <c r="BG97" i="12" a="1"/>
  <c r="BG97" i="12"/>
  <c r="BE97" i="12" a="1"/>
  <c r="BE97" i="12"/>
  <c r="BD97" i="12" a="1"/>
  <c r="BD97" i="12"/>
  <c r="BF97" i="12" a="1"/>
  <c r="BF97" i="12"/>
  <c r="AY97" i="12" a="1"/>
  <c r="AY97" i="12"/>
  <c r="BH97" i="12" a="1"/>
  <c r="BH97" i="12"/>
  <c r="AZ97" i="12" a="1"/>
  <c r="AZ97" i="12"/>
  <c r="BH99" i="12" a="1"/>
  <c r="BH99" i="12"/>
  <c r="AZ99" i="12" a="1"/>
  <c r="AZ99" i="12"/>
  <c r="BA99" i="12" a="1"/>
  <c r="BA99" i="12"/>
  <c r="BG99" i="12" a="1"/>
  <c r="BG99" i="12"/>
  <c r="BE99" i="12" a="1"/>
  <c r="BE99" i="12"/>
  <c r="BF99" i="12" a="1"/>
  <c r="BF99" i="12"/>
  <c r="BB99" i="12" a="1"/>
  <c r="BB99" i="12"/>
  <c r="AX99" i="12" a="1"/>
  <c r="AX99" i="12"/>
  <c r="AY99" i="12" a="1"/>
  <c r="AY99" i="12"/>
  <c r="BD99" i="12" a="1"/>
  <c r="BD99" i="12"/>
  <c r="AX102" i="12" a="1"/>
  <c r="AX102" i="12"/>
  <c r="BE102" i="12" a="1"/>
  <c r="BE102" i="12"/>
  <c r="BB102" i="12" a="1"/>
  <c r="BB102" i="12"/>
  <c r="BF102" i="12" a="1"/>
  <c r="BF102" i="12"/>
  <c r="AZ102" i="12" a="1"/>
  <c r="AZ102" i="12"/>
  <c r="AY102" i="12" a="1"/>
  <c r="AY102" i="12"/>
  <c r="BA102" i="12" a="1"/>
  <c r="BA102" i="12"/>
  <c r="BG102" i="12" a="1"/>
  <c r="BG102" i="12"/>
  <c r="BD102" i="12" a="1"/>
  <c r="BD102" i="12"/>
  <c r="BH102" i="12" a="1"/>
  <c r="BH102" i="12"/>
  <c r="AX98" i="12" a="1"/>
  <c r="AX98" i="12"/>
  <c r="BD98" i="12" a="1"/>
  <c r="BD98" i="12"/>
  <c r="BB98" i="12" a="1"/>
  <c r="BB98" i="12"/>
  <c r="BE98" i="12" a="1"/>
  <c r="BE98" i="12"/>
  <c r="BF98" i="12" a="1"/>
  <c r="BF98" i="12"/>
  <c r="AY98" i="12" a="1"/>
  <c r="AY98" i="12"/>
  <c r="BG98" i="12" a="1"/>
  <c r="BG98" i="12"/>
  <c r="AZ98" i="12" a="1"/>
  <c r="AZ98" i="12"/>
  <c r="BH98" i="12" a="1"/>
  <c r="BH98" i="12"/>
  <c r="BA98" i="12" a="1"/>
  <c r="BA98" i="12"/>
  <c r="BF100" i="12" a="1"/>
  <c r="BF100" i="12"/>
  <c r="BD100" i="12" a="1"/>
  <c r="BD100" i="12"/>
  <c r="BB100" i="12" a="1"/>
  <c r="BB100" i="12"/>
  <c r="BE100" i="12" a="1"/>
  <c r="BE100" i="12"/>
  <c r="AZ100" i="12" a="1"/>
  <c r="AZ100" i="12"/>
  <c r="AX100" i="12" a="1"/>
  <c r="AX100" i="12"/>
  <c r="AY100" i="12" a="1"/>
  <c r="AY100" i="12"/>
  <c r="BH100" i="12" a="1"/>
  <c r="BH100" i="12"/>
  <c r="BA100" i="12" a="1"/>
  <c r="BA100" i="12"/>
  <c r="BG100" i="12" a="1"/>
  <c r="BG100" i="12"/>
  <c r="BE56" i="12" a="1"/>
  <c r="BE56" i="12"/>
  <c r="BE34" i="12" a="1"/>
  <c r="BE34" i="12"/>
  <c r="BC56" i="12" a="1"/>
  <c r="BC56" i="12"/>
  <c r="AY55" i="12" a="1"/>
  <c r="AY55" i="12"/>
  <c r="BB56" i="12" a="1"/>
  <c r="BB56" i="12"/>
  <c r="BH34" i="12" a="1"/>
  <c r="BH34" i="12"/>
  <c r="AZ50" i="12" a="1"/>
  <c r="AZ50" i="12"/>
  <c r="AX55" i="12" a="1"/>
  <c r="AX55" i="12"/>
  <c r="AX34" i="12" a="1"/>
  <c r="AX34" i="12"/>
  <c r="BG56" i="12" a="1"/>
  <c r="BG56" i="12"/>
  <c r="AZ34" i="12" a="1"/>
  <c r="AZ34" i="12"/>
  <c r="AZ55" i="12" a="1"/>
  <c r="AZ55" i="12"/>
  <c r="BA56" i="12" a="1"/>
  <c r="BA56" i="12"/>
  <c r="BB34" i="12" a="1"/>
  <c r="BB34" i="12"/>
  <c r="BB55" i="12" a="1"/>
  <c r="BB55" i="12"/>
  <c r="CD58" i="12" a="1"/>
  <c r="CD58" i="12"/>
  <c r="BF38" i="12" a="1"/>
  <c r="BF38" i="12"/>
  <c r="CW63" i="12" a="1"/>
  <c r="CW63" i="12"/>
  <c r="CQ63" i="12" a="1"/>
  <c r="CQ63" i="12"/>
  <c r="BE57" i="12" a="1"/>
  <c r="BE57" i="12"/>
  <c r="BK38" i="12" a="1"/>
  <c r="BK38" i="12"/>
  <c r="DM44" i="12" a="1"/>
  <c r="DM44" i="12"/>
  <c r="CK63" i="12" a="1"/>
  <c r="CK63" i="12"/>
  <c r="BC55" i="12" a="1"/>
  <c r="BC55" i="12"/>
  <c r="BK56" i="12" a="1"/>
  <c r="BK56" i="12"/>
  <c r="AY56" i="12" a="1"/>
  <c r="AY56" i="12"/>
  <c r="BD34" i="12" a="1"/>
  <c r="BD34" i="12"/>
  <c r="BE55" i="12" a="1"/>
  <c r="BE55" i="12"/>
  <c r="BF55" i="12" a="1"/>
  <c r="BF55" i="12"/>
  <c r="DL44" i="12" a="1"/>
  <c r="DL44" i="12"/>
  <c r="CK58" i="12" a="1"/>
  <c r="CK58" i="12"/>
  <c r="CC58" i="12" a="1"/>
  <c r="CC58" i="12"/>
  <c r="CE58" i="12" a="1"/>
  <c r="CE58" i="12"/>
  <c r="CS63" i="12" a="1"/>
  <c r="CS63" i="12"/>
  <c r="DE63" i="12" a="1"/>
  <c r="DE63" i="12"/>
  <c r="CR63" i="12" a="1"/>
  <c r="CR63" i="12"/>
  <c r="BC34" i="12" a="1"/>
  <c r="BC34" i="12"/>
  <c r="AZ56" i="12" a="1"/>
  <c r="AZ56" i="12"/>
  <c r="BH56" i="12" a="1"/>
  <c r="BH56" i="12"/>
  <c r="BG34" i="12" a="1"/>
  <c r="BG34" i="12"/>
  <c r="AY34" i="12" a="1"/>
  <c r="AY34" i="12"/>
  <c r="BB63" i="12" a="1"/>
  <c r="BB63" i="12"/>
  <c r="BA55" i="12" a="1"/>
  <c r="BA55" i="12"/>
  <c r="DG44" i="12" a="1"/>
  <c r="DG44" i="12"/>
  <c r="CN51" i="12" a="1"/>
  <c r="CN51" i="12"/>
  <c r="CE51" i="12" a="1"/>
  <c r="CE51" i="12"/>
  <c r="CI51" i="12" a="1"/>
  <c r="CI51" i="12"/>
  <c r="CC51" i="12" a="1"/>
  <c r="CC51" i="12"/>
  <c r="CG51" i="12" a="1"/>
  <c r="CG51" i="12"/>
  <c r="CH51" i="12" a="1"/>
  <c r="CH51" i="12"/>
  <c r="CB51" i="12" a="1"/>
  <c r="CB51" i="12"/>
  <c r="DJ52" i="12" a="1"/>
  <c r="DJ52" i="12"/>
  <c r="DI52" i="12" a="1"/>
  <c r="DI52" i="12"/>
  <c r="CV52" i="12" a="1"/>
  <c r="CV52" i="12"/>
  <c r="CP58" i="12" a="1"/>
  <c r="CP58" i="12"/>
  <c r="CD57" i="12" a="1"/>
  <c r="CD57" i="12"/>
  <c r="CJ57" i="12" a="1"/>
  <c r="CJ57" i="12"/>
  <c r="BB50" i="12" a="1"/>
  <c r="BB50" i="12"/>
  <c r="DM52" i="12" a="1"/>
  <c r="DM52" i="12"/>
  <c r="CD52" i="12" a="1"/>
  <c r="CD52" i="12"/>
  <c r="DJ44" i="12" a="1"/>
  <c r="DJ44" i="12"/>
  <c r="CQ58" i="12" a="1"/>
  <c r="CQ58" i="12"/>
  <c r="CG58" i="12" a="1"/>
  <c r="CG58" i="12"/>
  <c r="CV58" i="12" a="1"/>
  <c r="CV58" i="12"/>
  <c r="CI58" i="12" a="1"/>
  <c r="CI58" i="12"/>
  <c r="CX58" i="12" a="1"/>
  <c r="CX58" i="12"/>
  <c r="DM58" i="12" a="1"/>
  <c r="DM58" i="12"/>
  <c r="CG57" i="12" a="1"/>
  <c r="CG57" i="12"/>
  <c r="CB57" i="12" a="1"/>
  <c r="CB57" i="12"/>
  <c r="CY63" i="12" a="1"/>
  <c r="CY63" i="12"/>
  <c r="DK63" i="12" a="1"/>
  <c r="DK63" i="12"/>
  <c r="DG63" i="12" a="1"/>
  <c r="DG63" i="12"/>
  <c r="CV63" i="12" a="1"/>
  <c r="CV63" i="12"/>
  <c r="DM63" i="12" a="1"/>
  <c r="DM63" i="12"/>
  <c r="CJ63" i="12" a="1"/>
  <c r="CJ63" i="12"/>
  <c r="CB63" i="12" a="1"/>
  <c r="CB63" i="12"/>
  <c r="DJ63" i="12" a="1"/>
  <c r="DJ63" i="12"/>
  <c r="CU46" i="12" a="1"/>
  <c r="CU46" i="12"/>
  <c r="CY46" i="12" a="1"/>
  <c r="CY46" i="12"/>
  <c r="CD51" i="12" a="1"/>
  <c r="CD51" i="12"/>
  <c r="CJ52" i="12" a="1"/>
  <c r="CJ52" i="12"/>
  <c r="CR52" i="12" a="1"/>
  <c r="CR52" i="12"/>
  <c r="DE52" i="12" a="1"/>
  <c r="DE52" i="12"/>
  <c r="CW58" i="12" a="1"/>
  <c r="CW58" i="12"/>
  <c r="DL58" i="12" a="1"/>
  <c r="DL58" i="12"/>
  <c r="CS58" i="12" a="1"/>
  <c r="CS58" i="12"/>
  <c r="CK57" i="12" a="1"/>
  <c r="CK57" i="12"/>
  <c r="CE57" i="12" a="1"/>
  <c r="CE57" i="12"/>
  <c r="CV46" i="12" a="1"/>
  <c r="CV46" i="12"/>
  <c r="CK52" i="12" a="1"/>
  <c r="CK52" i="12"/>
  <c r="DF52" i="12" a="1"/>
  <c r="DF52" i="12"/>
  <c r="CH52" i="12" a="1"/>
  <c r="CH52" i="12"/>
  <c r="CG52" i="12" a="1"/>
  <c r="CG52" i="12"/>
  <c r="DK52" i="12" a="1"/>
  <c r="DK52" i="12"/>
  <c r="BC38" i="12" a="1"/>
  <c r="BC38" i="12"/>
  <c r="BK55" i="12" a="1"/>
  <c r="BK55" i="12"/>
  <c r="AX56" i="12" a="1"/>
  <c r="AX56" i="12"/>
  <c r="BK34" i="12" a="1"/>
  <c r="BK34" i="12"/>
  <c r="BD56" i="12" a="1"/>
  <c r="BD56" i="12"/>
  <c r="BF34" i="12" a="1"/>
  <c r="BF34" i="12"/>
  <c r="BH55" i="12" a="1"/>
  <c r="BH55" i="12"/>
  <c r="CI52" i="12" a="1"/>
  <c r="CI52" i="12"/>
  <c r="CB52" i="12" a="1"/>
  <c r="CB52" i="12"/>
  <c r="CU52" i="12" a="1"/>
  <c r="CU52" i="12"/>
  <c r="CW52" i="12" a="1"/>
  <c r="CW52" i="12"/>
  <c r="CQ52" i="12" a="1"/>
  <c r="CQ52" i="12"/>
  <c r="CY52" i="12" a="1"/>
  <c r="CY52" i="12"/>
  <c r="DD52" i="12" a="1"/>
  <c r="DD52" i="12"/>
  <c r="DD44" i="12" a="1"/>
  <c r="DD44" i="12"/>
  <c r="DE44" i="12" a="1"/>
  <c r="DE44" i="12"/>
  <c r="DI44" i="12" a="1"/>
  <c r="DI44" i="12"/>
  <c r="DI58" i="12" a="1"/>
  <c r="DI58" i="12"/>
  <c r="CY58" i="12" a="1"/>
  <c r="CY58" i="12"/>
  <c r="CB58" i="12" a="1"/>
  <c r="CB58" i="12"/>
  <c r="DE58" i="12" a="1"/>
  <c r="DE58" i="12"/>
  <c r="DD58" i="12" a="1"/>
  <c r="DD58" i="12"/>
  <c r="DG58" i="12" a="1"/>
  <c r="DG58" i="12"/>
  <c r="CR58" i="12" a="1"/>
  <c r="CR58" i="12"/>
  <c r="CH57" i="12" a="1"/>
  <c r="CH57" i="12"/>
  <c r="CC57" i="12" a="1"/>
  <c r="CC57" i="12"/>
  <c r="CE63" i="12" a="1"/>
  <c r="CE63" i="12"/>
  <c r="CH63" i="12" a="1"/>
  <c r="CH63" i="12"/>
  <c r="DD63" i="12" a="1"/>
  <c r="DD63" i="12"/>
  <c r="CI63" i="12" a="1"/>
  <c r="CI63" i="12"/>
  <c r="DI63" i="12" a="1"/>
  <c r="DI63" i="12"/>
  <c r="CP63" i="12" a="1"/>
  <c r="CP63" i="12"/>
  <c r="CW46" i="12" a="1"/>
  <c r="CW46" i="12"/>
  <c r="CQ46" i="12" a="1"/>
  <c r="CQ46" i="12"/>
  <c r="CS46" i="12" a="1"/>
  <c r="CS46" i="12"/>
  <c r="CK51" i="12" a="1"/>
  <c r="CK51" i="12"/>
  <c r="CC52" i="12" a="1"/>
  <c r="CC52" i="12"/>
  <c r="CX52" i="12" a="1"/>
  <c r="CX52" i="12"/>
  <c r="CE52" i="12" a="1"/>
  <c r="CE52" i="12"/>
  <c r="DG52" i="12" a="1"/>
  <c r="DG52" i="12"/>
  <c r="CS52" i="12" a="1"/>
  <c r="CS52" i="12"/>
  <c r="CP52" i="12" a="1"/>
  <c r="CP52" i="12"/>
  <c r="DL52" i="12" a="1"/>
  <c r="DL52" i="12"/>
  <c r="DK44" i="12" a="1"/>
  <c r="DK44" i="12"/>
  <c r="DF58" i="12" a="1"/>
  <c r="DF58" i="12"/>
  <c r="CU58" i="12" a="1"/>
  <c r="CU58" i="12"/>
  <c r="DK58" i="12" a="1"/>
  <c r="DK58" i="12"/>
  <c r="CJ58" i="12" a="1"/>
  <c r="CJ58" i="12"/>
  <c r="CH58" i="12" a="1"/>
  <c r="CH58" i="12"/>
  <c r="CI57" i="12" a="1"/>
  <c r="CI57" i="12"/>
  <c r="CC63" i="12" a="1"/>
  <c r="CC63" i="12"/>
  <c r="CX63" i="12" a="1"/>
  <c r="CX63" i="12"/>
  <c r="DL63" i="12" a="1"/>
  <c r="DL63" i="12"/>
  <c r="CD63" i="12" a="1"/>
  <c r="CD63" i="12"/>
  <c r="CU63" i="12" a="1"/>
  <c r="CU63" i="12"/>
  <c r="DF63" i="12" a="1"/>
  <c r="DF63" i="12"/>
  <c r="CG63" i="12" a="1"/>
  <c r="CG63" i="12"/>
  <c r="CR46" i="12" a="1"/>
  <c r="CR46" i="12"/>
  <c r="CP46" i="12" a="1"/>
  <c r="CP46" i="12"/>
  <c r="CX46" i="12" a="1"/>
  <c r="CX46" i="12"/>
  <c r="CJ51" i="12" a="1"/>
  <c r="CJ51" i="12"/>
  <c r="BK100" i="12" a="1"/>
  <c r="BK100" i="12"/>
  <c r="BH36" i="12" a="1"/>
  <c r="BH36" i="12"/>
  <c r="AZ58" i="12" a="1"/>
  <c r="AZ58" i="12"/>
  <c r="BC58" i="12" a="1"/>
  <c r="BC58" i="12"/>
  <c r="AK46" i="12"/>
  <c r="BD57" i="12" a="1"/>
  <c r="BD57" i="12"/>
  <c r="BH57" i="12" a="1"/>
  <c r="BH57" i="12"/>
  <c r="BA38" i="12" a="1"/>
  <c r="BA38" i="12"/>
  <c r="AX36" i="12" a="1"/>
  <c r="AX36" i="12"/>
  <c r="BE36" i="12" a="1"/>
  <c r="BE36" i="12"/>
  <c r="BD58" i="12" a="1"/>
  <c r="BD58" i="12"/>
  <c r="BB58" i="12" a="1"/>
  <c r="BB58" i="12"/>
  <c r="BC57" i="12" a="1"/>
  <c r="BC57" i="12"/>
  <c r="BF58" i="12" a="1"/>
  <c r="BF58" i="12"/>
  <c r="BB57" i="12" a="1"/>
  <c r="BB57" i="12"/>
  <c r="BA50" i="12" a="1"/>
  <c r="BA50" i="12"/>
  <c r="BC50" i="12" a="1"/>
  <c r="BC50" i="12"/>
  <c r="BH38" i="12" a="1"/>
  <c r="BH38" i="12"/>
  <c r="AX58" i="12" a="1"/>
  <c r="AX58" i="12"/>
  <c r="AX50" i="12" a="1"/>
  <c r="AX50" i="12"/>
  <c r="BK50" i="12" a="1"/>
  <c r="BK50" i="12"/>
  <c r="BG58" i="12" a="1"/>
  <c r="BG58" i="12"/>
  <c r="BA57" i="12" a="1"/>
  <c r="BA57" i="12"/>
  <c r="BG50" i="12" a="1"/>
  <c r="BG50" i="12"/>
  <c r="AY38" i="12" a="1"/>
  <c r="AY38" i="12"/>
  <c r="BK57" i="12" a="1"/>
  <c r="BK57" i="12"/>
  <c r="BF57" i="12" a="1"/>
  <c r="BF57" i="12"/>
  <c r="BG57" i="12" a="1"/>
  <c r="BG57" i="12"/>
  <c r="AY36" i="12" a="1"/>
  <c r="AY36" i="12"/>
  <c r="BB35" i="12" a="1"/>
  <c r="BB35" i="12"/>
  <c r="AX57" i="12" a="1"/>
  <c r="AX57" i="12"/>
  <c r="BC35" i="12" a="1"/>
  <c r="BC35" i="12"/>
  <c r="AY57" i="12" a="1"/>
  <c r="AY57" i="12"/>
  <c r="AZ36" i="12" a="1"/>
  <c r="AZ36" i="12"/>
  <c r="BA63" i="12" a="1"/>
  <c r="BA63" i="12"/>
  <c r="AX35" i="12" a="1"/>
  <c r="AX35" i="12"/>
  <c r="AX38" i="12" a="1"/>
  <c r="AX38" i="12"/>
  <c r="BD50" i="12" a="1"/>
  <c r="BD50" i="12"/>
  <c r="BF50" i="12" a="1"/>
  <c r="BF50" i="12"/>
  <c r="BE38" i="12" a="1"/>
  <c r="BE38" i="12"/>
  <c r="AZ38" i="12" a="1"/>
  <c r="AZ38" i="12"/>
  <c r="BG38" i="12" a="1"/>
  <c r="BG38" i="12"/>
  <c r="BF63" i="12" a="1"/>
  <c r="BF63" i="12"/>
  <c r="BD35" i="12" a="1"/>
  <c r="BD35" i="12"/>
  <c r="CN52" i="12" a="1"/>
  <c r="CN52" i="12"/>
  <c r="CO46" i="12" a="1"/>
  <c r="CO46" i="12"/>
  <c r="AY35" i="12" a="1"/>
  <c r="AY35" i="12"/>
  <c r="BC63" i="12" a="1"/>
  <c r="BC63" i="12"/>
  <c r="BH50" i="12" a="1"/>
  <c r="BH50" i="12"/>
  <c r="BE50" i="12" a="1"/>
  <c r="BE50" i="12"/>
  <c r="BD38" i="12" a="1"/>
  <c r="BD38" i="12"/>
  <c r="BH63" i="12" a="1"/>
  <c r="BH63" i="12"/>
  <c r="BE63" i="12" a="1"/>
  <c r="BE63" i="12"/>
  <c r="BG35" i="12" a="1"/>
  <c r="BG35" i="12"/>
  <c r="AX63" i="12" a="1"/>
  <c r="AX63" i="12"/>
  <c r="BA58" i="12" a="1"/>
  <c r="BA58" i="12"/>
  <c r="AY58" i="12" a="1"/>
  <c r="AY58" i="12"/>
  <c r="BD36" i="12" a="1"/>
  <c r="BD36" i="12"/>
  <c r="BG36" i="12" a="1"/>
  <c r="BG36" i="12"/>
  <c r="BA36" i="12" a="1"/>
  <c r="BA36" i="12"/>
  <c r="AZ63" i="12" a="1"/>
  <c r="AZ63" i="12"/>
  <c r="AY63" i="12" a="1"/>
  <c r="AY63" i="12"/>
  <c r="BA35" i="12" a="1"/>
  <c r="BA35" i="12"/>
  <c r="BH35" i="12" a="1"/>
  <c r="BH35" i="12"/>
  <c r="BK63" i="12" a="1"/>
  <c r="BK63" i="12"/>
  <c r="BK35" i="12" a="1"/>
  <c r="BK35" i="12"/>
  <c r="BC36" i="12" a="1"/>
  <c r="BC36" i="12"/>
  <c r="BK36" i="12" a="1"/>
  <c r="BK36" i="12"/>
  <c r="BE58" i="12" a="1"/>
  <c r="BE58" i="12"/>
  <c r="BH58" i="12" a="1"/>
  <c r="BH58" i="12"/>
  <c r="BB36" i="12" a="1"/>
  <c r="BB36" i="12"/>
  <c r="BG63" i="12" a="1"/>
  <c r="BG63" i="12"/>
  <c r="AZ35" i="12" a="1"/>
  <c r="AZ35" i="12"/>
  <c r="BE35" i="12" a="1"/>
  <c r="BE35" i="12"/>
  <c r="CN63" i="12" a="1"/>
  <c r="CN63" i="12"/>
  <c r="BC100" i="12" a="1"/>
  <c r="BC100" i="12"/>
  <c r="AJ54" i="45"/>
  <c r="BC99" i="12" a="1"/>
  <c r="BC99" i="12"/>
  <c r="G103" i="12"/>
  <c r="DB52" i="12" a="1"/>
  <c r="DB52" i="12"/>
  <c r="AK57" i="45"/>
  <c r="AH46" i="12"/>
  <c r="BK102" i="12" a="1"/>
  <c r="BK102" i="12"/>
  <c r="AI46" i="12"/>
  <c r="AK35" i="45"/>
  <c r="AI62" i="45"/>
  <c r="AX65" i="45" a="1"/>
  <c r="AX65" i="45"/>
  <c r="BC52" i="12" a="1"/>
  <c r="BC52" i="12"/>
  <c r="BG52" i="12" a="1"/>
  <c r="BG52" i="12"/>
  <c r="BB52" i="12" a="1"/>
  <c r="BB52" i="12"/>
  <c r="BE52" i="12" a="1"/>
  <c r="BE52" i="12"/>
  <c r="BF52" i="12" a="1"/>
  <c r="BF52" i="12"/>
  <c r="BD52" i="12" a="1"/>
  <c r="BD52" i="12"/>
  <c r="BH52" i="12" a="1"/>
  <c r="BH52" i="12"/>
  <c r="AY52" i="12" a="1"/>
  <c r="AY52" i="12"/>
  <c r="BA52" i="12" a="1"/>
  <c r="BA52" i="12"/>
  <c r="AZ52" i="12" a="1"/>
  <c r="AZ52" i="12"/>
  <c r="BK62" i="12" a="1"/>
  <c r="BK62" i="12"/>
  <c r="AY62" i="12" a="1"/>
  <c r="AY62" i="12"/>
  <c r="BD62" i="12" a="1"/>
  <c r="BD62" i="12"/>
  <c r="BA62" i="12" a="1"/>
  <c r="BA62" i="12"/>
  <c r="BB62" i="12" a="1"/>
  <c r="BB62" i="12"/>
  <c r="BG62" i="12" a="1"/>
  <c r="BG62" i="12"/>
  <c r="BH62" i="12" a="1"/>
  <c r="BH62" i="12"/>
  <c r="BE62" i="12" a="1"/>
  <c r="BE62" i="12"/>
  <c r="BF62" i="12" a="1"/>
  <c r="BF62" i="12"/>
  <c r="AZ62" i="12" a="1"/>
  <c r="AZ62" i="12"/>
  <c r="BK45" i="12" a="1"/>
  <c r="BK45" i="12"/>
  <c r="BD45" i="12" a="1"/>
  <c r="BD45" i="12"/>
  <c r="BE45" i="12" a="1"/>
  <c r="BE45" i="12"/>
  <c r="BA45" i="12" a="1"/>
  <c r="BA45" i="12"/>
  <c r="BH45" i="12" a="1"/>
  <c r="BH45" i="12"/>
  <c r="BG45" i="12" a="1"/>
  <c r="BG45" i="12"/>
  <c r="AZ45" i="12" a="1"/>
  <c r="AZ45" i="12"/>
  <c r="BF45" i="12" a="1"/>
  <c r="BF45" i="12"/>
  <c r="BB45" i="12" a="1"/>
  <c r="BB45" i="12"/>
  <c r="AY45" i="12" a="1"/>
  <c r="AY45" i="12"/>
  <c r="AX53" i="12" a="1"/>
  <c r="AX53" i="12"/>
  <c r="BB53" i="12" a="1"/>
  <c r="BB53" i="12"/>
  <c r="AZ53" i="12" a="1"/>
  <c r="AZ53" i="12"/>
  <c r="AY53" i="12" a="1"/>
  <c r="AY53" i="12"/>
  <c r="BD53" i="12" a="1"/>
  <c r="BD53" i="12"/>
  <c r="BE53" i="12" a="1"/>
  <c r="BE53" i="12"/>
  <c r="BG53" i="12" a="1"/>
  <c r="BG53" i="12"/>
  <c r="BH53" i="12" a="1"/>
  <c r="BH53" i="12"/>
  <c r="BF53" i="12" a="1"/>
  <c r="BF53" i="12"/>
  <c r="BA53" i="12" a="1"/>
  <c r="BA53" i="12"/>
  <c r="BC65" i="12" a="1"/>
  <c r="BC65" i="12"/>
  <c r="AZ65" i="12" a="1"/>
  <c r="AZ65" i="12"/>
  <c r="BF65" i="12" a="1"/>
  <c r="BF65" i="12"/>
  <c r="BD65" i="12" a="1"/>
  <c r="BD65" i="12"/>
  <c r="BE65" i="12" a="1"/>
  <c r="BE65" i="12"/>
  <c r="BA65" i="12" a="1"/>
  <c r="BA65" i="12"/>
  <c r="BH65" i="12" a="1"/>
  <c r="BH65" i="12"/>
  <c r="AY65" i="12" a="1"/>
  <c r="AY65" i="12"/>
  <c r="BG65" i="12" a="1"/>
  <c r="BG65" i="12"/>
  <c r="BB65" i="12" a="1"/>
  <c r="BB65" i="12"/>
  <c r="BK46" i="12" a="1"/>
  <c r="BK46" i="12"/>
  <c r="AY46" i="12" a="1"/>
  <c r="AY46" i="12"/>
  <c r="BF46" i="12" a="1"/>
  <c r="BF46" i="12"/>
  <c r="BE46" i="12" a="1"/>
  <c r="BE46" i="12"/>
  <c r="BB46" i="12" a="1"/>
  <c r="BB46" i="12"/>
  <c r="BD46" i="12" a="1"/>
  <c r="BD46" i="12"/>
  <c r="AZ46" i="12" a="1"/>
  <c r="AZ46" i="12"/>
  <c r="BG46" i="12" a="1"/>
  <c r="BG46" i="12"/>
  <c r="BH46" i="12" a="1"/>
  <c r="BH46" i="12"/>
  <c r="BA46" i="12" a="1"/>
  <c r="BA46" i="12"/>
  <c r="AX61" i="12" a="1"/>
  <c r="AX61" i="12"/>
  <c r="BD61" i="12" a="1"/>
  <c r="BD61" i="12"/>
  <c r="BE61" i="12" a="1"/>
  <c r="BE61" i="12"/>
  <c r="AZ61" i="12" a="1"/>
  <c r="AZ61" i="12"/>
  <c r="BF61" i="12" a="1"/>
  <c r="BF61" i="12"/>
  <c r="BH61" i="12" a="1"/>
  <c r="BH61" i="12"/>
  <c r="BA61" i="12" a="1"/>
  <c r="BA61" i="12"/>
  <c r="AY61" i="12" a="1"/>
  <c r="AY61" i="12"/>
  <c r="BB61" i="12" a="1"/>
  <c r="BB61" i="12"/>
  <c r="BG61" i="12" a="1"/>
  <c r="BG61" i="12"/>
  <c r="BH41" i="12" a="1"/>
  <c r="BH41" i="12"/>
  <c r="BA41" i="12" a="1"/>
  <c r="BA41" i="12"/>
  <c r="AZ41" i="12" a="1"/>
  <c r="AZ41" i="12"/>
  <c r="BB41" i="12" a="1"/>
  <c r="BB41" i="12"/>
  <c r="BE41" i="12" a="1"/>
  <c r="BE41" i="12"/>
  <c r="BF41" i="12" a="1"/>
  <c r="BF41" i="12"/>
  <c r="AY41" i="12" a="1"/>
  <c r="AY41" i="12"/>
  <c r="BD41" i="12" a="1"/>
  <c r="BD41" i="12"/>
  <c r="BG41" i="12" a="1"/>
  <c r="BG41" i="12"/>
  <c r="BG54" i="12" a="1"/>
  <c r="BG54" i="12"/>
  <c r="AY54" i="12" a="1"/>
  <c r="AY54" i="12"/>
  <c r="BH54" i="12" a="1"/>
  <c r="BH54" i="12"/>
  <c r="BF54" i="12" a="1"/>
  <c r="BF54" i="12"/>
  <c r="BA54" i="12" a="1"/>
  <c r="BA54" i="12"/>
  <c r="BE54" i="12" a="1"/>
  <c r="BE54" i="12"/>
  <c r="BB54" i="12" a="1"/>
  <c r="BB54" i="12"/>
  <c r="AZ54" i="12" a="1"/>
  <c r="AZ54" i="12"/>
  <c r="BD54" i="12" a="1"/>
  <c r="BD54" i="12"/>
  <c r="BK49" i="12" a="1"/>
  <c r="BK49" i="12"/>
  <c r="BA49" i="12" a="1"/>
  <c r="BA49" i="12"/>
  <c r="BB49" i="12" a="1"/>
  <c r="BB49" i="12"/>
  <c r="BD49" i="12" a="1"/>
  <c r="BD49" i="12"/>
  <c r="BE49" i="12" a="1"/>
  <c r="BE49" i="12"/>
  <c r="AY49" i="12" a="1"/>
  <c r="AY49" i="12"/>
  <c r="BH49" i="12" a="1"/>
  <c r="BH49" i="12"/>
  <c r="BF49" i="12" a="1"/>
  <c r="BF49" i="12"/>
  <c r="AZ49" i="12" a="1"/>
  <c r="AZ49" i="12"/>
  <c r="BG49" i="12" a="1"/>
  <c r="BG49" i="12"/>
  <c r="BK99" i="12" a="1"/>
  <c r="BK99" i="12"/>
  <c r="BK33" i="12" a="1"/>
  <c r="BK33" i="12"/>
  <c r="BA33" i="12" a="1"/>
  <c r="BA33" i="12"/>
  <c r="BF33" i="12" a="1"/>
  <c r="BF33" i="12"/>
  <c r="BB33" i="12" a="1"/>
  <c r="BB33" i="12"/>
  <c r="BD33" i="12" a="1"/>
  <c r="BD33" i="12"/>
  <c r="BE33" i="12" a="1"/>
  <c r="BE33" i="12"/>
  <c r="AY33" i="12" a="1"/>
  <c r="AY33" i="12"/>
  <c r="BH33" i="12" a="1"/>
  <c r="BH33" i="12"/>
  <c r="BG33" i="12" a="1"/>
  <c r="BG33" i="12"/>
  <c r="AZ33" i="12" a="1"/>
  <c r="AZ33" i="12"/>
  <c r="BM102" i="12" a="1"/>
  <c r="BM102" i="12"/>
  <c r="BK48" i="12" a="1"/>
  <c r="BK48" i="12"/>
  <c r="BE48" i="12" a="1"/>
  <c r="BE48" i="12"/>
  <c r="BF48" i="12" a="1"/>
  <c r="BF48" i="12"/>
  <c r="BG48" i="12" a="1"/>
  <c r="BG48" i="12"/>
  <c r="BD48" i="12" a="1"/>
  <c r="BD48" i="12"/>
  <c r="AY48" i="12" a="1"/>
  <c r="AY48" i="12"/>
  <c r="BA48" i="12" a="1"/>
  <c r="BA48" i="12"/>
  <c r="BB48" i="12" a="1"/>
  <c r="BB48" i="12"/>
  <c r="BH48" i="12" a="1"/>
  <c r="BH48" i="12"/>
  <c r="AZ48" i="12" a="1"/>
  <c r="AZ48" i="12"/>
  <c r="BC66" i="12" a="1"/>
  <c r="BC66" i="12"/>
  <c r="AY66" i="12"/>
  <c r="BA66" i="12"/>
  <c r="AZ66" i="12"/>
  <c r="BB66" i="12"/>
  <c r="BD66" i="12" a="1"/>
  <c r="BD66" i="12"/>
  <c r="BF66" i="12" a="1"/>
  <c r="BF66" i="12"/>
  <c r="BG66" i="12" a="1"/>
  <c r="BG66" i="12"/>
  <c r="BE66" i="12" a="1"/>
  <c r="BE66" i="12"/>
  <c r="BH66" i="12" a="1"/>
  <c r="BH66" i="12"/>
  <c r="BB40" i="12" a="1"/>
  <c r="BB40" i="12"/>
  <c r="BE40" i="12" a="1"/>
  <c r="BE40" i="12"/>
  <c r="AY40" i="12" a="1"/>
  <c r="AY40" i="12"/>
  <c r="BF40" i="12" a="1"/>
  <c r="BF40" i="12"/>
  <c r="BH40" i="12" a="1"/>
  <c r="BH40" i="12"/>
  <c r="BA40" i="12" a="1"/>
  <c r="BA40" i="12"/>
  <c r="AZ40" i="12" a="1"/>
  <c r="AZ40" i="12"/>
  <c r="BG40" i="12" a="1"/>
  <c r="BG40" i="12"/>
  <c r="BD40" i="12" a="1"/>
  <c r="BD40" i="12"/>
  <c r="BC37" i="12" a="1"/>
  <c r="BC37" i="12"/>
  <c r="BA37" i="12" a="1"/>
  <c r="BA37" i="12"/>
  <c r="BG37" i="12" a="1"/>
  <c r="BG37" i="12"/>
  <c r="BH37" i="12" a="1"/>
  <c r="BH37" i="12"/>
  <c r="BF37" i="12" a="1"/>
  <c r="BF37" i="12"/>
  <c r="BD37" i="12" a="1"/>
  <c r="BD37" i="12"/>
  <c r="BE37" i="12" a="1"/>
  <c r="BE37" i="12"/>
  <c r="BB37" i="12" a="1"/>
  <c r="BB37" i="12"/>
  <c r="AZ37" i="12" a="1"/>
  <c r="AZ37" i="12"/>
  <c r="AY37" i="12" a="1"/>
  <c r="AY37" i="12"/>
  <c r="AX51" i="12" a="1"/>
  <c r="AX51" i="12"/>
  <c r="BF51" i="12" a="1"/>
  <c r="BF51" i="12"/>
  <c r="BG51" i="12" a="1"/>
  <c r="BG51" i="12"/>
  <c r="BA51" i="12" a="1"/>
  <c r="BA51" i="12"/>
  <c r="BB51" i="12" a="1"/>
  <c r="BB51" i="12"/>
  <c r="AZ51" i="12" a="1"/>
  <c r="AZ51" i="12"/>
  <c r="BE51" i="12" a="1"/>
  <c r="BE51" i="12"/>
  <c r="BH51" i="12" a="1"/>
  <c r="BH51" i="12"/>
  <c r="BD51" i="12" a="1"/>
  <c r="BD51" i="12"/>
  <c r="AY51" i="12" a="1"/>
  <c r="AY51" i="12"/>
  <c r="BK42" i="12" a="1"/>
  <c r="BK42" i="12"/>
  <c r="AY42" i="12" a="1"/>
  <c r="AY42" i="12"/>
  <c r="BD42" i="12" a="1"/>
  <c r="BD42" i="12"/>
  <c r="BE42" i="12" a="1"/>
  <c r="BE42" i="12"/>
  <c r="BG42" i="12" a="1"/>
  <c r="BG42" i="12"/>
  <c r="BB42" i="12" a="1"/>
  <c r="BB42" i="12"/>
  <c r="BH42" i="12" a="1"/>
  <c r="BH42" i="12"/>
  <c r="AZ42" i="12" a="1"/>
  <c r="AZ42" i="12"/>
  <c r="BA42" i="12" a="1"/>
  <c r="BA42" i="12"/>
  <c r="BF42" i="12" a="1"/>
  <c r="BF42" i="12"/>
  <c r="BK47" i="12" a="1"/>
  <c r="BK47" i="12"/>
  <c r="BB47" i="12" a="1"/>
  <c r="BB47" i="12"/>
  <c r="BF47" i="12" a="1"/>
  <c r="BF47" i="12"/>
  <c r="AZ47" i="12" a="1"/>
  <c r="AZ47" i="12"/>
  <c r="BH47" i="12" a="1"/>
  <c r="BH47" i="12"/>
  <c r="BA47" i="12" a="1"/>
  <c r="BA47" i="12"/>
  <c r="BE47" i="12" a="1"/>
  <c r="BE47" i="12"/>
  <c r="BG47" i="12" a="1"/>
  <c r="BG47" i="12"/>
  <c r="BD47" i="12" a="1"/>
  <c r="BD47" i="12"/>
  <c r="AY47" i="12" a="1"/>
  <c r="AY47" i="12"/>
  <c r="BK43" i="12" a="1"/>
  <c r="BK43" i="12"/>
  <c r="BH43" i="12" a="1"/>
  <c r="BH43" i="12"/>
  <c r="AY43" i="12" a="1"/>
  <c r="AY43" i="12"/>
  <c r="BF43" i="12" a="1"/>
  <c r="BF43" i="12"/>
  <c r="BG43" i="12" a="1"/>
  <c r="BG43" i="12"/>
  <c r="BA43" i="12" a="1"/>
  <c r="BA43" i="12"/>
  <c r="BD43" i="12" a="1"/>
  <c r="BD43" i="12"/>
  <c r="BB43" i="12" a="1"/>
  <c r="BB43" i="12"/>
  <c r="BE43" i="12" a="1"/>
  <c r="BE43" i="12"/>
  <c r="AZ43" i="12" a="1"/>
  <c r="AZ43" i="12"/>
  <c r="BK44" i="12" a="1"/>
  <c r="BK44" i="12"/>
  <c r="BD44" i="12" a="1"/>
  <c r="BD44" i="12"/>
  <c r="BA44" i="12" a="1"/>
  <c r="BA44" i="12"/>
  <c r="BH44" i="12" a="1"/>
  <c r="BH44" i="12"/>
  <c r="AY44" i="12" a="1"/>
  <c r="AY44" i="12"/>
  <c r="BE44" i="12" a="1"/>
  <c r="BE44" i="12"/>
  <c r="BB44" i="12" a="1"/>
  <c r="BB44" i="12"/>
  <c r="BF44" i="12" a="1"/>
  <c r="BF44" i="12"/>
  <c r="AZ44" i="12" a="1"/>
  <c r="AZ44" i="12"/>
  <c r="BG44" i="12" a="1"/>
  <c r="BG44" i="12"/>
  <c r="BK39" i="12" a="1"/>
  <c r="BK39" i="12"/>
  <c r="BH39" i="12" a="1"/>
  <c r="BH39" i="12"/>
  <c r="BB39" i="12" a="1"/>
  <c r="BB39" i="12"/>
  <c r="BF39" i="12" a="1"/>
  <c r="BF39" i="12"/>
  <c r="BG39" i="12" a="1"/>
  <c r="BG39" i="12"/>
  <c r="BE39" i="12" a="1"/>
  <c r="BE39" i="12"/>
  <c r="AZ39" i="12" a="1"/>
  <c r="AZ39" i="12"/>
  <c r="BA39" i="12" a="1"/>
  <c r="BA39" i="12"/>
  <c r="BD39" i="12" a="1"/>
  <c r="BD39" i="12"/>
  <c r="AY39" i="12" a="1"/>
  <c r="AY39" i="12"/>
  <c r="AX64" i="12" a="1"/>
  <c r="AX64" i="12"/>
  <c r="BE64" i="12" a="1"/>
  <c r="BE64" i="12"/>
  <c r="BF64" i="12" a="1"/>
  <c r="BF64" i="12"/>
  <c r="BH64" i="12" a="1"/>
  <c r="BH64" i="12"/>
  <c r="AY64" i="12" a="1"/>
  <c r="AY64" i="12"/>
  <c r="BD64" i="12" a="1"/>
  <c r="BD64" i="12"/>
  <c r="BG64" i="12" a="1"/>
  <c r="BG64" i="12"/>
  <c r="AZ64" i="12" a="1"/>
  <c r="AZ64" i="12"/>
  <c r="BB64" i="12" a="1"/>
  <c r="BB64" i="12"/>
  <c r="BA64" i="12" a="1"/>
  <c r="BA64" i="12"/>
  <c r="BK65" i="12" a="1"/>
  <c r="BK65" i="12"/>
  <c r="BK53" i="12" a="1"/>
  <c r="BK53" i="12"/>
  <c r="AI39" i="45"/>
  <c r="BK98" i="12" a="1"/>
  <c r="BK98" i="12"/>
  <c r="BK61" i="12" a="1"/>
  <c r="BK61" i="12"/>
  <c r="BC64" i="12" a="1"/>
  <c r="BC64" i="12"/>
  <c r="BK64" i="12" a="1"/>
  <c r="BK64" i="12"/>
  <c r="AX62" i="45" a="1"/>
  <c r="AX62" i="45"/>
  <c r="AH37" i="45"/>
  <c r="AX39" i="12" a="1"/>
  <c r="AX39" i="12"/>
  <c r="AK37" i="45"/>
  <c r="BC51" i="12" a="1"/>
  <c r="BC51" i="12"/>
  <c r="DH52" i="12" a="1"/>
  <c r="DH52" i="12"/>
  <c r="BK51" i="12" a="1"/>
  <c r="BK51" i="12"/>
  <c r="BR102" i="12" a="1"/>
  <c r="BR102" i="12"/>
  <c r="DP52" i="12" a="1"/>
  <c r="DP52" i="12"/>
  <c r="BK52" i="12" a="1"/>
  <c r="BK52" i="12"/>
  <c r="AX15" i="45"/>
  <c r="AY15" i="45"/>
  <c r="BC98" i="12" a="1"/>
  <c r="BC98" i="12"/>
  <c r="AX52" i="12" a="1"/>
  <c r="AX52" i="12"/>
  <c r="BZ101" i="12" a="1"/>
  <c r="BZ101" i="12"/>
  <c r="AJ37" i="45"/>
  <c r="CT63" i="12" a="1"/>
  <c r="CT63" i="12"/>
  <c r="AI57" i="45"/>
  <c r="AX48" i="12" a="1"/>
  <c r="AX48" i="12"/>
  <c r="CT52" i="12" a="1"/>
  <c r="CT52" i="12"/>
  <c r="AH57" i="45"/>
  <c r="AX66" i="12"/>
  <c r="AJ57" i="45"/>
  <c r="CF52" i="12" a="1"/>
  <c r="CF52" i="12"/>
  <c r="BK66" i="12" a="1"/>
  <c r="BK66" i="12"/>
  <c r="BK97" i="12" a="1"/>
  <c r="BK97" i="12"/>
  <c r="AX37" i="12" a="1"/>
  <c r="AX37" i="12"/>
  <c r="BM101" i="12" a="1"/>
  <c r="BM101" i="12"/>
  <c r="AU103" i="12"/>
  <c r="AX57" i="45" a="1"/>
  <c r="AX57" i="45"/>
  <c r="AU85" i="12" a="1"/>
  <c r="AU85" i="12"/>
  <c r="AU87" i="12"/>
  <c r="D66" i="47"/>
  <c r="D66" i="9"/>
  <c r="BC97" i="12" a="1"/>
  <c r="BC97" i="12"/>
  <c r="AX14" i="45"/>
  <c r="AY14" i="45"/>
  <c r="AX34" i="45" a="1"/>
  <c r="AX34" i="45"/>
  <c r="DB63" i="12" a="1"/>
  <c r="DB63" i="12"/>
  <c r="CA63" i="12" a="1"/>
  <c r="CA63" i="12"/>
  <c r="BC48" i="12" a="1"/>
  <c r="BC48" i="12"/>
  <c r="BC102" i="12" a="1"/>
  <c r="BC102" i="12"/>
  <c r="BM53" i="45" a="1"/>
  <c r="BM53" i="45"/>
  <c r="CA53" i="45" a="1"/>
  <c r="CA53" i="45"/>
  <c r="CA63" i="45" a="1"/>
  <c r="CA63" i="45"/>
  <c r="BC61" i="12" a="1"/>
  <c r="BC61" i="12"/>
  <c r="BK37" i="12" a="1"/>
  <c r="BK37" i="12"/>
  <c r="AJ51" i="45"/>
  <c r="AX33" i="12" a="1"/>
  <c r="AX33" i="12"/>
  <c r="AX36" i="45" a="1"/>
  <c r="AX36" i="45"/>
  <c r="AX64" i="45" a="1"/>
  <c r="AX64" i="45"/>
  <c r="BC49" i="12" a="1"/>
  <c r="BC49" i="12"/>
  <c r="CT46" i="12" a="1"/>
  <c r="CT46" i="12"/>
  <c r="AH52" i="45"/>
  <c r="BC62" i="12" a="1"/>
  <c r="BC62" i="12"/>
  <c r="AX62" i="12" a="1"/>
  <c r="AX62" i="12"/>
  <c r="AX49" i="12" a="1"/>
  <c r="AX49" i="12"/>
  <c r="DC63" i="12" a="1"/>
  <c r="DC63" i="12"/>
  <c r="DH63" i="12" a="1"/>
  <c r="DH63" i="12"/>
  <c r="AX35" i="45" a="1"/>
  <c r="AX35" i="45"/>
  <c r="AJ52" i="45"/>
  <c r="AK52" i="45"/>
  <c r="AI52" i="45"/>
  <c r="AK48" i="45"/>
  <c r="AK54" i="45"/>
  <c r="AX51" i="45" a="1"/>
  <c r="AX51" i="45"/>
  <c r="AH56" i="45"/>
  <c r="AK43" i="45"/>
  <c r="BC33" i="12" a="1"/>
  <c r="BC33" i="12"/>
  <c r="AH50" i="45"/>
  <c r="AX50" i="45" a="1"/>
  <c r="AX50" i="45"/>
  <c r="AK50" i="45"/>
  <c r="AJ56" i="45"/>
  <c r="DA53" i="45" a="1"/>
  <c r="DA53" i="45"/>
  <c r="AH39" i="45"/>
  <c r="AJ35" i="45"/>
  <c r="AI42" i="45"/>
  <c r="DA46" i="45" a="1"/>
  <c r="DA46" i="45"/>
  <c r="AH51" i="45"/>
  <c r="AJ44" i="45"/>
  <c r="AH35" i="45"/>
  <c r="AI48" i="45"/>
  <c r="AI54" i="45"/>
  <c r="AI51" i="45"/>
  <c r="AH48" i="45"/>
  <c r="AJ43" i="45"/>
  <c r="AK51" i="45"/>
  <c r="BM58" i="45" a="1"/>
  <c r="BM58" i="45"/>
  <c r="AH44" i="45"/>
  <c r="AJ62" i="45"/>
  <c r="AI35" i="45"/>
  <c r="CA43" i="45" a="1"/>
  <c r="CA43" i="45"/>
  <c r="DA56" i="45" a="1"/>
  <c r="DA56" i="45"/>
  <c r="CA61" i="45" a="1"/>
  <c r="CA61" i="45"/>
  <c r="DC44" i="12" a="1"/>
  <c r="DC44" i="12"/>
  <c r="DH44" i="12" a="1"/>
  <c r="DH44" i="12"/>
  <c r="DP44" i="12" a="1"/>
  <c r="DP44" i="12"/>
  <c r="CA34" i="45" a="1"/>
  <c r="CA34" i="45"/>
  <c r="CF51" i="12" a="1"/>
  <c r="CF51" i="12"/>
  <c r="CA51" i="12" a="1"/>
  <c r="CA51" i="12"/>
  <c r="CA50" i="45" a="1"/>
  <c r="CA50" i="45"/>
  <c r="AH51" i="12"/>
  <c r="G68" i="45"/>
  <c r="AH49" i="12"/>
  <c r="AI49" i="12"/>
  <c r="AK49" i="12"/>
  <c r="AJ49" i="12"/>
  <c r="AJ51" i="12"/>
  <c r="AH44" i="12"/>
  <c r="AI34" i="12"/>
  <c r="AJ34" i="12"/>
  <c r="AH34" i="12"/>
  <c r="AK34" i="12"/>
  <c r="CF57" i="12" a="1"/>
  <c r="CF57" i="12"/>
  <c r="CA57" i="12" a="1"/>
  <c r="CA57" i="12"/>
  <c r="AJ33" i="12"/>
  <c r="AH33" i="12"/>
  <c r="AI33" i="12"/>
  <c r="AK33" i="12"/>
  <c r="AJ61" i="12"/>
  <c r="AH61" i="12"/>
  <c r="AK61" i="12"/>
  <c r="AI61" i="12"/>
  <c r="AJ39" i="45"/>
  <c r="AI44" i="12"/>
  <c r="AK47" i="12"/>
  <c r="AH47" i="12"/>
  <c r="AI47" i="12"/>
  <c r="AJ47" i="12"/>
  <c r="AH36" i="12"/>
  <c r="AI36" i="12"/>
  <c r="AJ36" i="12"/>
  <c r="AK36" i="12"/>
  <c r="AK36" i="45"/>
  <c r="AH36" i="45"/>
  <c r="AJ36" i="45"/>
  <c r="AI36" i="45"/>
  <c r="AK64" i="45"/>
  <c r="AI64" i="45"/>
  <c r="AH64" i="45"/>
  <c r="AJ64" i="45"/>
  <c r="AK60" i="45"/>
  <c r="AJ60" i="45"/>
  <c r="AI60" i="45"/>
  <c r="AH60" i="45"/>
  <c r="AK51" i="12"/>
  <c r="AJ44" i="12"/>
  <c r="AJ47" i="45"/>
  <c r="AK47" i="45"/>
  <c r="AI47" i="45"/>
  <c r="AH47" i="45"/>
  <c r="AK34" i="45"/>
  <c r="AH42" i="45"/>
  <c r="AJ34" i="45"/>
  <c r="AJ45" i="45"/>
  <c r="AK45" i="45"/>
  <c r="AI45" i="45"/>
  <c r="AH45" i="45"/>
  <c r="AK35" i="12"/>
  <c r="AH35" i="12"/>
  <c r="AJ35" i="12"/>
  <c r="AI35" i="12"/>
  <c r="AH62" i="45"/>
  <c r="AK44" i="45"/>
  <c r="AI42" i="12"/>
  <c r="AJ42" i="12"/>
  <c r="AH42" i="12"/>
  <c r="AK42" i="12"/>
  <c r="AK43" i="12"/>
  <c r="AH43" i="12"/>
  <c r="AI43" i="12"/>
  <c r="AJ43" i="12"/>
  <c r="AJ38" i="12"/>
  <c r="AI38" i="12"/>
  <c r="AH38" i="12"/>
  <c r="AK38" i="12"/>
  <c r="AH41" i="12"/>
  <c r="AI41" i="12"/>
  <c r="AJ41" i="12"/>
  <c r="AK41" i="12"/>
  <c r="AJ61" i="45"/>
  <c r="AK42" i="45"/>
  <c r="AI49" i="45"/>
  <c r="AK49" i="45"/>
  <c r="AH49" i="45"/>
  <c r="AJ49" i="45"/>
  <c r="AJ38" i="45"/>
  <c r="AI38" i="45"/>
  <c r="AH38" i="45"/>
  <c r="AK38" i="45"/>
  <c r="AI41" i="45"/>
  <c r="AH41" i="45"/>
  <c r="AK41" i="45"/>
  <c r="AJ41" i="45"/>
  <c r="BM98" i="12" a="1"/>
  <c r="BM98" i="12"/>
  <c r="BR98" i="12" a="1"/>
  <c r="BR98" i="12"/>
  <c r="BZ98" i="12" a="1"/>
  <c r="BZ98" i="12"/>
  <c r="AI56" i="45"/>
  <c r="AH61" i="45"/>
  <c r="AH39" i="12"/>
  <c r="AK39" i="12"/>
  <c r="AI39" i="12"/>
  <c r="AJ39" i="12"/>
  <c r="AK62" i="45"/>
  <c r="AH43" i="45"/>
  <c r="AK61" i="45"/>
  <c r="AH54" i="45"/>
  <c r="AJ50" i="45"/>
  <c r="CA37" i="45" a="1"/>
  <c r="CA37" i="45"/>
  <c r="AH50" i="12"/>
  <c r="AI50" i="12"/>
  <c r="AK50" i="12"/>
  <c r="AJ50" i="12"/>
  <c r="AH48" i="12"/>
  <c r="AK48" i="12"/>
  <c r="AJ48" i="12"/>
  <c r="AI48" i="12"/>
  <c r="AI64" i="12"/>
  <c r="AH64" i="12"/>
  <c r="AJ64" i="12"/>
  <c r="AK64" i="12"/>
  <c r="AH60" i="12"/>
  <c r="AI60" i="12"/>
  <c r="AK60" i="12"/>
  <c r="AJ60" i="12"/>
  <c r="AK56" i="12"/>
  <c r="AI56" i="12"/>
  <c r="AH56" i="12"/>
  <c r="AJ56" i="12"/>
  <c r="AK62" i="12"/>
  <c r="AI62" i="12"/>
  <c r="AJ62" i="12"/>
  <c r="AH62" i="12"/>
  <c r="AH59" i="45"/>
  <c r="AI59" i="45"/>
  <c r="AJ59" i="45"/>
  <c r="AK59" i="45"/>
  <c r="AK55" i="45"/>
  <c r="AH55" i="45"/>
  <c r="AI55" i="45"/>
  <c r="AJ55" i="45"/>
  <c r="AJ33" i="45"/>
  <c r="AK33" i="45"/>
  <c r="AI33" i="45"/>
  <c r="AH33" i="45"/>
  <c r="AI44" i="45"/>
  <c r="AH59" i="12"/>
  <c r="AI59" i="12"/>
  <c r="AJ59" i="12"/>
  <c r="AK59" i="12"/>
  <c r="AH55" i="12"/>
  <c r="AJ55" i="12"/>
  <c r="AK55" i="12"/>
  <c r="AI55" i="12"/>
  <c r="AK54" i="12"/>
  <c r="AJ54" i="12"/>
  <c r="AI54" i="12"/>
  <c r="AH54" i="12"/>
  <c r="AI40" i="12"/>
  <c r="AK40" i="12"/>
  <c r="AH40" i="12"/>
  <c r="AJ40" i="12"/>
  <c r="AK39" i="45"/>
  <c r="AH34" i="45"/>
  <c r="AK40" i="45"/>
  <c r="AH40" i="45"/>
  <c r="AJ40" i="45"/>
  <c r="AI40" i="45"/>
  <c r="AX33" i="45" a="1"/>
  <c r="AX33" i="45"/>
  <c r="AK45" i="12"/>
  <c r="AH45" i="12"/>
  <c r="AJ45" i="12"/>
  <c r="AI45" i="12"/>
  <c r="G56" i="34"/>
  <c r="G53" i="34"/>
  <c r="G54" i="34"/>
  <c r="G55" i="34"/>
  <c r="G50" i="34"/>
  <c r="G48" i="34"/>
  <c r="G49" i="34"/>
  <c r="G47" i="34"/>
  <c r="AN9" i="34" a="1"/>
  <c r="AN9" i="34"/>
  <c r="AR9" i="34" a="1"/>
  <c r="AR9" i="34"/>
  <c r="AX9" i="34" a="1"/>
  <c r="AX9" i="34"/>
  <c r="AX13" i="34"/>
  <c r="BH30" i="12"/>
  <c r="AO9" i="34" a="1"/>
  <c r="AO9" i="34"/>
  <c r="AU9" i="34" a="1"/>
  <c r="AU9" i="34"/>
  <c r="AV9" i="34" a="1"/>
  <c r="AV9" i="34"/>
  <c r="AQ9" i="34" a="1"/>
  <c r="AQ9" i="34"/>
  <c r="AW9" i="34" a="1"/>
  <c r="AW9" i="34"/>
  <c r="AP9" i="34" a="1"/>
  <c r="AP9" i="34"/>
  <c r="AT9" i="34" a="1"/>
  <c r="AT9" i="34"/>
  <c r="G44" i="34"/>
  <c r="G42" i="34"/>
  <c r="G43" i="34"/>
  <c r="G41" i="34"/>
  <c r="AS9" i="34" a="1"/>
  <c r="AS9" i="34"/>
  <c r="CA58" i="45" a="1"/>
  <c r="CA58" i="45"/>
  <c r="DC58" i="12" a="1"/>
  <c r="DC58" i="12"/>
  <c r="DH58" i="12" a="1"/>
  <c r="DH58" i="12"/>
  <c r="DP58" i="12" a="1"/>
  <c r="DP58" i="12"/>
  <c r="BK54" i="12" a="1"/>
  <c r="BK54" i="12"/>
  <c r="AX54" i="12" a="1"/>
  <c r="AX54" i="12"/>
  <c r="BC54" i="12" a="1"/>
  <c r="BC54" i="12"/>
  <c r="BK40" i="12" a="1"/>
  <c r="BK40" i="12"/>
  <c r="AX40" i="12" a="1"/>
  <c r="AX40" i="12"/>
  <c r="BC40" i="12" a="1"/>
  <c r="BC40" i="12"/>
  <c r="DB58" i="12" a="1"/>
  <c r="DB58" i="12"/>
  <c r="CT58" i="12" a="1"/>
  <c r="CT58" i="12"/>
  <c r="AX41" i="12" a="1"/>
  <c r="AX41" i="12"/>
  <c r="BC41" i="12" a="1"/>
  <c r="BC41" i="12"/>
  <c r="BK41" i="12" a="1"/>
  <c r="BK41" i="12"/>
  <c r="DA58" i="45" a="1"/>
  <c r="DA58" i="45"/>
  <c r="CF58" i="12" a="1"/>
  <c r="CF58" i="12"/>
  <c r="CA58" i="12" a="1"/>
  <c r="CA58" i="12"/>
  <c r="BC43" i="12" a="1"/>
  <c r="BC43" i="12"/>
  <c r="AX43" i="12" a="1"/>
  <c r="AX43" i="12"/>
  <c r="AX43" i="45" a="1"/>
  <c r="AX43" i="45"/>
  <c r="BC46" i="45" a="1"/>
  <c r="BC46" i="45"/>
  <c r="BC47" i="45" a="1"/>
  <c r="BC47" i="45"/>
  <c r="BC45" i="12" a="1"/>
  <c r="BC45" i="12"/>
  <c r="AX42" i="12" a="1"/>
  <c r="AX42" i="12"/>
  <c r="AX44" i="12" a="1"/>
  <c r="AX44" i="12"/>
  <c r="AX44" i="45" a="1"/>
  <c r="AX44" i="45"/>
  <c r="AX45" i="12" a="1"/>
  <c r="AX45" i="12"/>
  <c r="AX45" i="45" a="1"/>
  <c r="AX45" i="45"/>
  <c r="AU68" i="45"/>
  <c r="BC42" i="12" a="1"/>
  <c r="BC42" i="12"/>
  <c r="BC44" i="12" a="1"/>
  <c r="BC44" i="12"/>
  <c r="DI53" i="12" a="1"/>
  <c r="DI53" i="12"/>
  <c r="CP53" i="12" a="1"/>
  <c r="CP53" i="12"/>
  <c r="CW53" i="12" a="1"/>
  <c r="CW53" i="12"/>
  <c r="DK53" i="12" a="1"/>
  <c r="DK53" i="12"/>
  <c r="DD53" i="12" a="1"/>
  <c r="DD53" i="12"/>
  <c r="DC53" i="12" a="1"/>
  <c r="DC53" i="12"/>
  <c r="DL53" i="12" a="1"/>
  <c r="DL53" i="12"/>
  <c r="CX53" i="12" a="1"/>
  <c r="CX53" i="12"/>
  <c r="DM53" i="12" a="1"/>
  <c r="DM53" i="12"/>
  <c r="CS53" i="12" a="1"/>
  <c r="CS53" i="12"/>
  <c r="DH53" i="12" a="1"/>
  <c r="DH53" i="12"/>
  <c r="DO53" i="12" a="1"/>
  <c r="DO53" i="12"/>
  <c r="DP53" i="12" a="1"/>
  <c r="DP53" i="12"/>
  <c r="DG53" i="12" a="1"/>
  <c r="DG53" i="12"/>
  <c r="DF53" i="12" a="1"/>
  <c r="DF53" i="12"/>
  <c r="CR53" i="12" a="1"/>
  <c r="CR53" i="12"/>
  <c r="CC53" i="12" a="1"/>
  <c r="CC53" i="12"/>
  <c r="CK53" i="12" a="1"/>
  <c r="CK53" i="12"/>
  <c r="CJ53" i="12" a="1"/>
  <c r="CJ53" i="12"/>
  <c r="DE53" i="12" a="1"/>
  <c r="DE53" i="12"/>
  <c r="DJ53" i="12" a="1"/>
  <c r="DJ53" i="12"/>
  <c r="CL53" i="12" a="1"/>
  <c r="CL53" i="12"/>
  <c r="CM53" i="12" a="1"/>
  <c r="CM53" i="12"/>
  <c r="CK46" i="45" a="1"/>
  <c r="CK46" i="45"/>
  <c r="CH53" i="12" a="1"/>
  <c r="CH53" i="12"/>
  <c r="CS57" i="12" a="1"/>
  <c r="CS57" i="12"/>
  <c r="CA53" i="12" a="1"/>
  <c r="CA53" i="12"/>
  <c r="BP37" i="12" a="1"/>
  <c r="BP37" i="12"/>
  <c r="DB57" i="12" a="1"/>
  <c r="DB57" i="12"/>
  <c r="CN53" i="12" a="1"/>
  <c r="CN53" i="12"/>
  <c r="CG53" i="12" a="1"/>
  <c r="CG53" i="12"/>
  <c r="CB53" i="12" a="1"/>
  <c r="CB53" i="12"/>
  <c r="CF53" i="12" a="1"/>
  <c r="CF53" i="12"/>
  <c r="CI53" i="12" a="1"/>
  <c r="CI53" i="12"/>
  <c r="CE53" i="12" a="1"/>
  <c r="CE53" i="12"/>
  <c r="BS37" i="12" a="1"/>
  <c r="BS37" i="12"/>
  <c r="AY13" i="34"/>
  <c r="BI30" i="12"/>
  <c r="AD341" i="47"/>
  <c r="D341" i="47"/>
  <c r="D341" i="9"/>
  <c r="AR13" i="34"/>
  <c r="BB30" i="12"/>
  <c r="AN13" i="34"/>
  <c r="AX30" i="12"/>
  <c r="AD108" i="47"/>
  <c r="D108" i="47"/>
  <c r="D108" i="9"/>
  <c r="AW13" i="34"/>
  <c r="BG30" i="12"/>
  <c r="AO13" i="34"/>
  <c r="AY30" i="12"/>
  <c r="AZ13" i="34"/>
  <c r="BJ30" i="12"/>
  <c r="AQ13" i="34"/>
  <c r="BA30" i="12"/>
  <c r="BA13" i="34"/>
  <c r="BK30" i="12"/>
  <c r="AT13" i="34"/>
  <c r="BD30" i="12"/>
  <c r="AV13" i="34"/>
  <c r="BF30" i="12"/>
  <c r="AS13" i="34"/>
  <c r="BC30" i="12"/>
  <c r="AD223" i="47"/>
  <c r="D223" i="47"/>
  <c r="D223" i="9"/>
  <c r="AP13" i="34"/>
  <c r="AZ30" i="12"/>
  <c r="AU13" i="34"/>
  <c r="BE30" i="12"/>
  <c r="CT53" i="12" a="1"/>
  <c r="CT53" i="12"/>
  <c r="CW57" i="12" a="1"/>
  <c r="CW57" i="12"/>
  <c r="CU53" i="12" a="1"/>
  <c r="CU53" i="12"/>
  <c r="CV53" i="12" a="1"/>
  <c r="CV53" i="12"/>
  <c r="CT57" i="12" a="1"/>
  <c r="CT57" i="12"/>
  <c r="CQ53" i="12" a="1"/>
  <c r="CQ53" i="12"/>
  <c r="BT37" i="12" a="1"/>
  <c r="BT37" i="12"/>
  <c r="CI97" i="12" a="1"/>
  <c r="CI97" i="12"/>
  <c r="DB53" i="12" a="1"/>
  <c r="DB53" i="12"/>
  <c r="CY53" i="12" a="1"/>
  <c r="CY53" i="12"/>
  <c r="CO53" i="12" a="1"/>
  <c r="CO53" i="12"/>
  <c r="CB37" i="12" a="1"/>
  <c r="CB37" i="12"/>
  <c r="CU57" i="12" a="1"/>
  <c r="CU57" i="12"/>
  <c r="DH57" i="12" a="1"/>
  <c r="DH57" i="12"/>
  <c r="DG57" i="12" a="1"/>
  <c r="DG57" i="12"/>
  <c r="BZ46" i="45" a="1"/>
  <c r="BZ46" i="45"/>
  <c r="DC57" i="12" a="1"/>
  <c r="DC57" i="12"/>
  <c r="BY57" i="12" a="1"/>
  <c r="BY57" i="12"/>
  <c r="BR99" i="12" a="1"/>
  <c r="BR99" i="12"/>
  <c r="DV99" i="12"/>
  <c r="DE57" i="12" a="1"/>
  <c r="DE57" i="12"/>
  <c r="BR46" i="45" a="1"/>
  <c r="BR46" i="45"/>
  <c r="BM46" i="45" a="1"/>
  <c r="BM46" i="45"/>
  <c r="BV46" i="45" a="1"/>
  <c r="BV46" i="45"/>
  <c r="BM57" i="12" a="1"/>
  <c r="BM57" i="12"/>
  <c r="DP57" i="12" a="1"/>
  <c r="DP57" i="12"/>
  <c r="BR37" i="12" a="1"/>
  <c r="BR37" i="12"/>
  <c r="DF57" i="12" a="1"/>
  <c r="DF57" i="12"/>
  <c r="BS57" i="12" a="1"/>
  <c r="BS57" i="12"/>
  <c r="BQ46" i="45" a="1"/>
  <c r="BQ46" i="45"/>
  <c r="CZ57" i="12" a="1"/>
  <c r="CZ57" i="12"/>
  <c r="DA57" i="12" a="1"/>
  <c r="DA57" i="12"/>
  <c r="DO57" i="12" a="1"/>
  <c r="DO57" i="12"/>
  <c r="BT100" i="12" a="1"/>
  <c r="BT100" i="12"/>
  <c r="CH100" i="12" a="1"/>
  <c r="CH100" i="12"/>
  <c r="CJ100" i="12" a="1"/>
  <c r="CJ100" i="12"/>
  <c r="CG97" i="12" a="1"/>
  <c r="CG97" i="12"/>
  <c r="CC100" i="12" a="1"/>
  <c r="CC100" i="12"/>
  <c r="BQ100" i="12" a="1"/>
  <c r="BQ100" i="12"/>
  <c r="DP100" i="12" a="1"/>
  <c r="DP100" i="12"/>
  <c r="CS100" i="12" a="1"/>
  <c r="CS100" i="12"/>
  <c r="DH97" i="12" a="1"/>
  <c r="DH97" i="12"/>
  <c r="DE100" i="12" a="1"/>
  <c r="DE100" i="12"/>
  <c r="BX37" i="12" a="1"/>
  <c r="BX37" i="12"/>
  <c r="BW37" i="12" a="1"/>
  <c r="BW37" i="12"/>
  <c r="BO37" i="12" a="1"/>
  <c r="BO37" i="12"/>
  <c r="DC100" i="12" a="1"/>
  <c r="DC100" i="12"/>
  <c r="BW97" i="12" a="1"/>
  <c r="BW97" i="12"/>
  <c r="CR100" i="12" a="1"/>
  <c r="CR100" i="12"/>
  <c r="CP100" i="12" a="1"/>
  <c r="CP100" i="12"/>
  <c r="CV57" i="12" a="1"/>
  <c r="CV57" i="12"/>
  <c r="CX57" i="12" a="1"/>
  <c r="CX57" i="12"/>
  <c r="BU37" i="12" a="1"/>
  <c r="BU37" i="12"/>
  <c r="BV37" i="12" a="1"/>
  <c r="BV37" i="12"/>
  <c r="BV100" i="12" a="1"/>
  <c r="BV100" i="12"/>
  <c r="BO100" i="12" a="1"/>
  <c r="BO100" i="12"/>
  <c r="CV100" i="12" a="1"/>
  <c r="CV100" i="12"/>
  <c r="DK100" i="12" a="1"/>
  <c r="DK100" i="12"/>
  <c r="BY37" i="12" a="1"/>
  <c r="BY37" i="12"/>
  <c r="BM100" i="12" a="1"/>
  <c r="BM100" i="12"/>
  <c r="CA37" i="12" a="1"/>
  <c r="CA37" i="12"/>
  <c r="BZ37" i="12" a="1"/>
  <c r="BZ37" i="12"/>
  <c r="ED37" i="12"/>
  <c r="CQ57" i="12" a="1"/>
  <c r="CQ57" i="12"/>
  <c r="CP57" i="12" a="1"/>
  <c r="CP57" i="12"/>
  <c r="BW57" i="12" a="1"/>
  <c r="BW57" i="12"/>
  <c r="BQ37" i="12" a="1"/>
  <c r="BQ37" i="12"/>
  <c r="BT57" i="12" a="1"/>
  <c r="BT57" i="12"/>
  <c r="CR57" i="12" a="1"/>
  <c r="CR57" i="12"/>
  <c r="CY57" i="12" a="1"/>
  <c r="CY57" i="12"/>
  <c r="BN37" i="12" a="1"/>
  <c r="BN37" i="12"/>
  <c r="CF100" i="12" a="1"/>
  <c r="CF100" i="12"/>
  <c r="CU100" i="12" a="1"/>
  <c r="CU100" i="12"/>
  <c r="BS100" i="12" a="1"/>
  <c r="BS100" i="12"/>
  <c r="DM98" i="12" a="1"/>
  <c r="DM98" i="12"/>
  <c r="CQ100" i="12" a="1"/>
  <c r="CQ100" i="12"/>
  <c r="DI100" i="12" a="1"/>
  <c r="DI100" i="12"/>
  <c r="BP100" i="12" a="1"/>
  <c r="BP100" i="12"/>
  <c r="DB100" i="12" a="1"/>
  <c r="DB100" i="12"/>
  <c r="CH97" i="12" a="1"/>
  <c r="CH97" i="12"/>
  <c r="CE100" i="12" a="1"/>
  <c r="CE100" i="12"/>
  <c r="CZ53" i="12" a="1"/>
  <c r="CZ53" i="12"/>
  <c r="BY100" i="12" a="1"/>
  <c r="BY100" i="12"/>
  <c r="CL100" i="12" a="1"/>
  <c r="CL100" i="12"/>
  <c r="DO100" i="12" a="1"/>
  <c r="DO100" i="12"/>
  <c r="DN100" i="12" a="1"/>
  <c r="DN100" i="12"/>
  <c r="DA100" i="12" a="1"/>
  <c r="DA100" i="12"/>
  <c r="CH37" i="12" a="1"/>
  <c r="CH37" i="12"/>
  <c r="CY100" i="12" a="1"/>
  <c r="CY100" i="12"/>
  <c r="CS97" i="12" a="1"/>
  <c r="CS97" i="12"/>
  <c r="CI100" i="12" a="1"/>
  <c r="CI100" i="12"/>
  <c r="CB100" i="12" a="1"/>
  <c r="CB100" i="12"/>
  <c r="BZ100" i="12" a="1"/>
  <c r="BZ100" i="12"/>
  <c r="CI37" i="12" a="1"/>
  <c r="CI37" i="12"/>
  <c r="CG37" i="12" a="1"/>
  <c r="CG37" i="12"/>
  <c r="DM100" i="12" a="1"/>
  <c r="DM100" i="12"/>
  <c r="DD100" i="12" a="1"/>
  <c r="DD100" i="12"/>
  <c r="CR97" i="12" a="1"/>
  <c r="CR97" i="12"/>
  <c r="DH100" i="12" a="1"/>
  <c r="DH100" i="12"/>
  <c r="CX100" i="12" a="1"/>
  <c r="CX100" i="12"/>
  <c r="BU100" i="12" a="1"/>
  <c r="BU100" i="12"/>
  <c r="BN100" i="12" a="1"/>
  <c r="BN100" i="12"/>
  <c r="CD97" i="12" a="1"/>
  <c r="CD97" i="12"/>
  <c r="CT100" i="12" a="1"/>
  <c r="CT100" i="12"/>
  <c r="CO98" i="12" a="1"/>
  <c r="CO98" i="12"/>
  <c r="DF100" i="12" a="1"/>
  <c r="DF100" i="12"/>
  <c r="CN100" i="12" a="1"/>
  <c r="CN100" i="12"/>
  <c r="CA100" i="12" a="1"/>
  <c r="CA100" i="12"/>
  <c r="CJ97" i="12" a="1"/>
  <c r="CJ97" i="12"/>
  <c r="CQ97" i="12" a="1"/>
  <c r="CQ97" i="12"/>
  <c r="BX97" i="12" a="1"/>
  <c r="BX97" i="12"/>
  <c r="CZ100" i="12" a="1"/>
  <c r="CZ100" i="12"/>
  <c r="BR100" i="12" a="1"/>
  <c r="BR100" i="12"/>
  <c r="DG97" i="12" a="1"/>
  <c r="DG97" i="12"/>
  <c r="DG100" i="12" a="1"/>
  <c r="DG100" i="12"/>
  <c r="DJ100" i="12" a="1"/>
  <c r="DJ100" i="12"/>
  <c r="CO100" i="12" a="1"/>
  <c r="CO100" i="12"/>
  <c r="DL100" i="12" a="1"/>
  <c r="DL100" i="12"/>
  <c r="CK100" i="12" a="1"/>
  <c r="CK100" i="12"/>
  <c r="BX100" i="12" a="1"/>
  <c r="BX100" i="12"/>
  <c r="CW100" i="12" a="1"/>
  <c r="CW100" i="12"/>
  <c r="CK37" i="12" a="1"/>
  <c r="CK37" i="12"/>
  <c r="CJ37" i="12" a="1"/>
  <c r="CJ37" i="12"/>
  <c r="BT97" i="12" a="1"/>
  <c r="BT97" i="12"/>
  <c r="BY46" i="45" a="1"/>
  <c r="BY46" i="45"/>
  <c r="BT46" i="45" a="1"/>
  <c r="BT46" i="45"/>
  <c r="BP46" i="45" a="1"/>
  <c r="BP46" i="45"/>
  <c r="BZ97" i="12" a="1"/>
  <c r="BZ97" i="12"/>
  <c r="BQ97" i="12" a="1"/>
  <c r="BQ97" i="12"/>
  <c r="BW46" i="45" a="1"/>
  <c r="BW46" i="45"/>
  <c r="BS46" i="45" a="1"/>
  <c r="BS46" i="45"/>
  <c r="BU46" i="45" a="1"/>
  <c r="BU46" i="45"/>
  <c r="BO46" i="45" a="1"/>
  <c r="BO46" i="45"/>
  <c r="BN57" i="12" a="1"/>
  <c r="BN57" i="12"/>
  <c r="CE37" i="12" a="1"/>
  <c r="CE37" i="12"/>
  <c r="CD37" i="12" a="1"/>
  <c r="CD37" i="12"/>
  <c r="BP97" i="12" a="1"/>
  <c r="BP97" i="12"/>
  <c r="BX57" i="12" a="1"/>
  <c r="BX57" i="12"/>
  <c r="BR57" i="12" a="1"/>
  <c r="BR57" i="12"/>
  <c r="BM97" i="12" a="1"/>
  <c r="BM97" i="12"/>
  <c r="CF37" i="12" a="1"/>
  <c r="CF37" i="12"/>
  <c r="BO57" i="12" a="1"/>
  <c r="BO57" i="12"/>
  <c r="BV57" i="12" a="1"/>
  <c r="BV57" i="12"/>
  <c r="BP57" i="12" a="1"/>
  <c r="BP57" i="12"/>
  <c r="BS97" i="12" a="1"/>
  <c r="BS97" i="12"/>
  <c r="BO97" i="12" a="1"/>
  <c r="BO97" i="12"/>
  <c r="BZ57" i="12" a="1"/>
  <c r="BZ57" i="12"/>
  <c r="BR97" i="12" a="1"/>
  <c r="BR97" i="12"/>
  <c r="BU57" i="12" a="1"/>
  <c r="BU57" i="12"/>
  <c r="CC37" i="12" a="1"/>
  <c r="CC37" i="12"/>
  <c r="BU97" i="12" a="1"/>
  <c r="BU97" i="12"/>
  <c r="BN97" i="12" a="1"/>
  <c r="BN97" i="12"/>
  <c r="CX98" i="12" a="1"/>
  <c r="CX98" i="12"/>
  <c r="DK97" i="12" a="1"/>
  <c r="DK97" i="12"/>
  <c r="BT99" i="12" a="1"/>
  <c r="BT99" i="12"/>
  <c r="DX99" i="12"/>
  <c r="CL37" i="12" a="1"/>
  <c r="CL37" i="12"/>
  <c r="BY97" i="12" a="1"/>
  <c r="BY97" i="12"/>
  <c r="CA97" i="12" a="1"/>
  <c r="CA97" i="12"/>
  <c r="DD97" i="12" a="1"/>
  <c r="DD97" i="12"/>
  <c r="CI98" i="12" a="1"/>
  <c r="CI98" i="12"/>
  <c r="DC97" i="12" a="1"/>
  <c r="DC97" i="12"/>
  <c r="CK97" i="12" a="1"/>
  <c r="CK97" i="12"/>
  <c r="DE98" i="12" a="1"/>
  <c r="DE98" i="12"/>
  <c r="DP97" i="12" a="1"/>
  <c r="DP97" i="12"/>
  <c r="CX97" i="12" a="1"/>
  <c r="CX97" i="12"/>
  <c r="DE97" i="12" a="1"/>
  <c r="DE97" i="12"/>
  <c r="DA97" i="12" a="1"/>
  <c r="DA97" i="12"/>
  <c r="CF97" i="12" a="1"/>
  <c r="CF97" i="12"/>
  <c r="CV97" i="12" a="1"/>
  <c r="CV97" i="12"/>
  <c r="CM97" i="12" a="1"/>
  <c r="CM97" i="12"/>
  <c r="BM99" i="12" a="1"/>
  <c r="BM99" i="12"/>
  <c r="DQ99" i="12"/>
  <c r="CN97" i="12" a="1"/>
  <c r="CN97" i="12"/>
  <c r="DP98" i="12" a="1"/>
  <c r="DP98" i="12"/>
  <c r="CY97" i="12" a="1"/>
  <c r="CY97" i="12"/>
  <c r="DM97" i="12" a="1"/>
  <c r="DM97" i="12"/>
  <c r="DL97" i="12" a="1"/>
  <c r="DL97" i="12"/>
  <c r="CT97" i="12" a="1"/>
  <c r="CT97" i="12"/>
  <c r="DJ57" i="12" a="1"/>
  <c r="DJ57" i="12"/>
  <c r="DL57" i="12" a="1"/>
  <c r="DL57" i="12"/>
  <c r="DM57" i="12" a="1"/>
  <c r="DM57" i="12"/>
  <c r="DD57" i="12" a="1"/>
  <c r="DD57" i="12"/>
  <c r="DI57" i="12" a="1"/>
  <c r="DI57" i="12"/>
  <c r="CC97" i="12" a="1"/>
  <c r="CC97" i="12"/>
  <c r="BO99" i="12" a="1"/>
  <c r="BO99" i="12"/>
  <c r="DS99" i="12"/>
  <c r="DJ98" i="12" a="1"/>
  <c r="DJ98" i="12"/>
  <c r="CU97" i="12" a="1"/>
  <c r="CU97" i="12"/>
  <c r="CE97" i="12" a="1"/>
  <c r="CE97" i="12"/>
  <c r="CO97" i="12" a="1"/>
  <c r="CO97" i="12"/>
  <c r="DK98" i="12" a="1"/>
  <c r="DK98" i="12"/>
  <c r="CW97" i="12" a="1"/>
  <c r="CW97" i="12"/>
  <c r="DG98" i="12" a="1"/>
  <c r="DG98" i="12"/>
  <c r="DF97" i="12" a="1"/>
  <c r="DF97" i="12"/>
  <c r="CW98" i="12" a="1"/>
  <c r="CW98" i="12"/>
  <c r="CR46" i="45" a="1"/>
  <c r="CR46" i="45"/>
  <c r="CN46" i="45" a="1"/>
  <c r="CN46" i="45"/>
  <c r="DN57" i="12" a="1"/>
  <c r="DN57" i="12"/>
  <c r="CB97" i="12" a="1"/>
  <c r="CB97" i="12"/>
  <c r="CF46" i="45" a="1"/>
  <c r="CF46" i="45"/>
  <c r="CY46" i="45" a="1"/>
  <c r="CY46" i="45"/>
  <c r="CD46" i="45" a="1"/>
  <c r="CD46" i="45"/>
  <c r="CH46" i="45" a="1"/>
  <c r="CH46" i="45"/>
  <c r="CB46" i="45" a="1"/>
  <c r="CB46" i="45"/>
  <c r="CA98" i="12" a="1"/>
  <c r="CA98" i="12"/>
  <c r="DI97" i="12" a="1"/>
  <c r="DI97" i="12"/>
  <c r="DB97" i="12" a="1"/>
  <c r="DB97" i="12"/>
  <c r="CS98" i="12" a="1"/>
  <c r="CS98" i="12"/>
  <c r="CP97" i="12" a="1"/>
  <c r="CP97" i="12"/>
  <c r="DJ97" i="12" a="1"/>
  <c r="DJ97" i="12"/>
  <c r="CL46" i="45" a="1"/>
  <c r="CL46" i="45"/>
  <c r="CE46" i="45" a="1"/>
  <c r="CE46" i="45"/>
  <c r="CJ46" i="45" a="1"/>
  <c r="CJ46" i="45"/>
  <c r="CM37" i="12" a="1"/>
  <c r="CM37" i="12"/>
  <c r="DO97" i="12" a="1"/>
  <c r="DO97" i="12"/>
  <c r="CL97" i="12" a="1"/>
  <c r="CL97" i="12"/>
  <c r="CI46" i="45" a="1"/>
  <c r="CI46" i="45"/>
  <c r="CG46" i="45" a="1"/>
  <c r="CG46" i="45"/>
  <c r="CC46" i="45" a="1"/>
  <c r="CC46" i="45"/>
  <c r="CX46" i="45" a="1"/>
  <c r="CX46" i="45"/>
  <c r="CT46" i="45" a="1"/>
  <c r="CT46" i="45"/>
  <c r="CS46" i="45" a="1"/>
  <c r="CS46" i="45"/>
  <c r="CZ46" i="45" a="1"/>
  <c r="CZ46" i="45"/>
  <c r="CU46" i="45" a="1"/>
  <c r="CU46" i="45"/>
  <c r="CW46" i="45" a="1"/>
  <c r="CW46" i="45"/>
  <c r="CM46" i="45" a="1"/>
  <c r="CM46" i="45"/>
  <c r="DN97" i="12" a="1"/>
  <c r="DN97" i="12"/>
  <c r="BX46" i="45" a="1"/>
  <c r="BX46" i="45"/>
  <c r="CO46" i="45" a="1"/>
  <c r="CO46" i="45"/>
  <c r="CP46" i="45" a="1"/>
  <c r="CP46" i="45"/>
  <c r="CQ46" i="45" a="1"/>
  <c r="CQ46" i="45"/>
  <c r="DC37" i="12" a="1"/>
  <c r="DC37" i="12"/>
  <c r="DQ37" i="12"/>
  <c r="AE115" i="47"/>
  <c r="E115" i="47"/>
  <c r="E115" i="9"/>
  <c r="CM98" i="12" a="1"/>
  <c r="CM98" i="12"/>
  <c r="DN98" i="12" a="1"/>
  <c r="DN98" i="12"/>
  <c r="DL37" i="12" a="1"/>
  <c r="DL37" i="12"/>
  <c r="DD37" i="12" a="1"/>
  <c r="DD37" i="12"/>
  <c r="CK98" i="12" a="1"/>
  <c r="CK98" i="12"/>
  <c r="CG98" i="12" a="1"/>
  <c r="CG98" i="12"/>
  <c r="CC98" i="12" a="1"/>
  <c r="CC98" i="12"/>
  <c r="DB98" i="12" a="1"/>
  <c r="DB98" i="12"/>
  <c r="CN98" i="12" a="1"/>
  <c r="CN98" i="12"/>
  <c r="CT98" i="12" a="1"/>
  <c r="CT98" i="12"/>
  <c r="BU99" i="12" a="1"/>
  <c r="BU99" i="12"/>
  <c r="DY99" i="12"/>
  <c r="BV99" i="12" a="1"/>
  <c r="BV99" i="12"/>
  <c r="DN37" i="12" a="1"/>
  <c r="DN37" i="12"/>
  <c r="DK37" i="12" a="1"/>
  <c r="DK37" i="12"/>
  <c r="BP99" i="12" a="1"/>
  <c r="BP99" i="12"/>
  <c r="DT99" i="12"/>
  <c r="BN99" i="12" a="1"/>
  <c r="BN99" i="12"/>
  <c r="DR99" i="12"/>
  <c r="BQ99" i="12" a="1"/>
  <c r="BQ99" i="12"/>
  <c r="DU99" i="12"/>
  <c r="BX99" i="12" a="1"/>
  <c r="BX99" i="12"/>
  <c r="BY99" i="12" a="1"/>
  <c r="BY99" i="12"/>
  <c r="DM37" i="12" a="1"/>
  <c r="DM37" i="12"/>
  <c r="DE37" i="12" a="1"/>
  <c r="DE37" i="12"/>
  <c r="BZ99" i="12" a="1"/>
  <c r="BZ99" i="12"/>
  <c r="ED99" i="12"/>
  <c r="DJ37" i="12" a="1"/>
  <c r="DJ37" i="12"/>
  <c r="BW99" i="12" a="1"/>
  <c r="BW99" i="12"/>
  <c r="EA99" i="12"/>
  <c r="DH37" i="12" a="1"/>
  <c r="DH37" i="12"/>
  <c r="DF37" i="12" a="1"/>
  <c r="DF37" i="12"/>
  <c r="DI37" i="12" a="1"/>
  <c r="DI37" i="12"/>
  <c r="DG37" i="12" a="1"/>
  <c r="DG37" i="12"/>
  <c r="DO37" i="12" a="1"/>
  <c r="DO37" i="12"/>
  <c r="CZ98" i="12" a="1"/>
  <c r="CZ98" i="12"/>
  <c r="AD371" i="47"/>
  <c r="D371" i="47"/>
  <c r="D371" i="9"/>
  <c r="AD342" i="47"/>
  <c r="D342" i="47"/>
  <c r="D342" i="9"/>
  <c r="AD372" i="47"/>
  <c r="D372" i="47"/>
  <c r="D372" i="9"/>
  <c r="AD357" i="47"/>
  <c r="D357" i="47"/>
  <c r="D357" i="9"/>
  <c r="AD366" i="47"/>
  <c r="D366" i="47"/>
  <c r="D366" i="9"/>
  <c r="AD348" i="47"/>
  <c r="D348" i="47"/>
  <c r="D348" i="9"/>
  <c r="AD373" i="47"/>
  <c r="D373" i="47"/>
  <c r="D373" i="9"/>
  <c r="AD349" i="47"/>
  <c r="D349" i="47"/>
  <c r="D349" i="9"/>
  <c r="AD368" i="47"/>
  <c r="D368" i="47"/>
  <c r="D368" i="9"/>
  <c r="AD367" i="47"/>
  <c r="D367" i="47"/>
  <c r="D367" i="9"/>
  <c r="AD362" i="47"/>
  <c r="D362" i="47"/>
  <c r="D362" i="9"/>
  <c r="AD350" i="47"/>
  <c r="D350" i="47"/>
  <c r="D350" i="9"/>
  <c r="AD374" i="47"/>
  <c r="D374" i="47"/>
  <c r="D374" i="9"/>
  <c r="AD356" i="47"/>
  <c r="D356" i="47"/>
  <c r="D356" i="9"/>
  <c r="AD359" i="47"/>
  <c r="D359" i="47"/>
  <c r="D359" i="9"/>
  <c r="AD365" i="47"/>
  <c r="D365" i="47"/>
  <c r="D365" i="9"/>
  <c r="AD352" i="47"/>
  <c r="D352" i="47"/>
  <c r="D352" i="9"/>
  <c r="AD358" i="47"/>
  <c r="D358" i="47"/>
  <c r="D358" i="9"/>
  <c r="AD360" i="47"/>
  <c r="D360" i="47"/>
  <c r="D360" i="9"/>
  <c r="AD347" i="47"/>
  <c r="D347" i="47"/>
  <c r="D347" i="9"/>
  <c r="AD361" i="47"/>
  <c r="D361" i="47"/>
  <c r="D361" i="9"/>
  <c r="AD375" i="47"/>
  <c r="D375" i="47"/>
  <c r="D375" i="9"/>
  <c r="AD354" i="47"/>
  <c r="D354" i="47"/>
  <c r="D354" i="9"/>
  <c r="AD353" i="47"/>
  <c r="D353" i="47"/>
  <c r="D353" i="9"/>
  <c r="AD346" i="47"/>
  <c r="D346" i="47"/>
  <c r="D346" i="9"/>
  <c r="AD351" i="47"/>
  <c r="D351" i="47"/>
  <c r="D351" i="9"/>
  <c r="AD355" i="47"/>
  <c r="D355" i="47"/>
  <c r="D355" i="9"/>
  <c r="AD370" i="47"/>
  <c r="D370" i="47"/>
  <c r="D370" i="9"/>
  <c r="AD364" i="47"/>
  <c r="D364" i="47"/>
  <c r="D364" i="9"/>
  <c r="AD345" i="47"/>
  <c r="D345" i="47"/>
  <c r="D345" i="9"/>
  <c r="AD369" i="47"/>
  <c r="D369" i="47"/>
  <c r="D369" i="9"/>
  <c r="AD363" i="47"/>
  <c r="D363" i="47"/>
  <c r="D363" i="9"/>
  <c r="BT80" i="12"/>
  <c r="BU80" i="12"/>
  <c r="BU79" i="12"/>
  <c r="BT86" i="12"/>
  <c r="BT77" i="12"/>
  <c r="BU77" i="12"/>
  <c r="BU84" i="12"/>
  <c r="BU85" i="12"/>
  <c r="BT78" i="12"/>
  <c r="BU86" i="12"/>
  <c r="BU83" i="12"/>
  <c r="BU81" i="12"/>
  <c r="BT83" i="12"/>
  <c r="BU82" i="12"/>
  <c r="BU76" i="12"/>
  <c r="BT81" i="12"/>
  <c r="BT76" i="12"/>
  <c r="BT85" i="12"/>
  <c r="BT79" i="12"/>
  <c r="BU78" i="12"/>
  <c r="BT82" i="12"/>
  <c r="BT84" i="12"/>
  <c r="BT87" i="12"/>
  <c r="BU87" i="12"/>
  <c r="DI98" i="12" a="1"/>
  <c r="DI98" i="12"/>
  <c r="CY98" i="12" a="1"/>
  <c r="CY98" i="12"/>
  <c r="CP98" i="12" a="1"/>
  <c r="CP98" i="12"/>
  <c r="CQ98" i="12" a="1"/>
  <c r="CQ98" i="12"/>
  <c r="CH98" i="12" a="1"/>
  <c r="CH98" i="12"/>
  <c r="DL98" i="12" a="1"/>
  <c r="DL98" i="12"/>
  <c r="CD98" i="12" a="1"/>
  <c r="CD98" i="12"/>
  <c r="CF98" i="12" a="1"/>
  <c r="CF98" i="12"/>
  <c r="CV98" i="12" a="1"/>
  <c r="CV98" i="12"/>
  <c r="DD98" i="12" a="1"/>
  <c r="DD98" i="12"/>
  <c r="CU98" i="12" a="1"/>
  <c r="CU98" i="12"/>
  <c r="DC98" i="12" a="1"/>
  <c r="DC98" i="12"/>
  <c r="DH98" i="12" a="1"/>
  <c r="DH98" i="12"/>
  <c r="CB98" i="12" a="1"/>
  <c r="CB98" i="12"/>
  <c r="DF98" i="12" a="1"/>
  <c r="DF98" i="12"/>
  <c r="CE98" i="12" a="1"/>
  <c r="CE98" i="12"/>
  <c r="CR98" i="12" a="1"/>
  <c r="CR98" i="12"/>
  <c r="DO98" i="12" a="1"/>
  <c r="DO98" i="12"/>
  <c r="CL98" i="12" a="1"/>
  <c r="CL98" i="12"/>
  <c r="DA98" i="12" a="1"/>
  <c r="DA98" i="12"/>
  <c r="DZ58" i="45"/>
  <c r="EA53" i="45"/>
  <c r="EA63" i="45"/>
  <c r="DL40" i="45" a="1"/>
  <c r="DL40" i="45"/>
  <c r="DM40" i="45" a="1"/>
  <c r="DM40" i="45"/>
  <c r="DM61" i="45" a="1"/>
  <c r="DM61" i="45"/>
  <c r="DL61" i="45" a="1"/>
  <c r="DL61" i="45"/>
  <c r="BX43" i="45" a="1"/>
  <c r="BX43" i="45"/>
  <c r="BY43" i="45" a="1"/>
  <c r="BY43" i="45"/>
  <c r="CY61" i="45" a="1"/>
  <c r="CY61" i="45"/>
  <c r="CX61" i="45" a="1"/>
  <c r="CX61" i="45"/>
  <c r="BY45" i="45" a="1"/>
  <c r="BY45" i="45"/>
  <c r="BX45" i="45" a="1"/>
  <c r="BX45" i="45"/>
  <c r="DM60" i="45" a="1"/>
  <c r="DM60" i="45"/>
  <c r="DL60" i="45" a="1"/>
  <c r="DL60" i="45"/>
  <c r="DL64" i="45" a="1"/>
  <c r="DL64" i="45"/>
  <c r="DM64" i="45" a="1"/>
  <c r="DM64" i="45"/>
  <c r="DL36" i="45" a="1"/>
  <c r="DL36" i="45"/>
  <c r="DM36" i="45" a="1"/>
  <c r="DM36" i="45"/>
  <c r="CX62" i="45" a="1"/>
  <c r="CX62" i="45"/>
  <c r="CY62" i="45" a="1"/>
  <c r="CY62" i="45"/>
  <c r="CY43" i="45" a="1"/>
  <c r="CY43" i="45"/>
  <c r="CX43" i="45" a="1"/>
  <c r="CX43" i="45"/>
  <c r="BY52" i="45" a="1"/>
  <c r="BY52" i="45"/>
  <c r="BX52" i="45" a="1"/>
  <c r="BX52" i="45"/>
  <c r="BY57" i="45" a="1"/>
  <c r="BY57" i="45"/>
  <c r="BX57" i="45" a="1"/>
  <c r="BX57" i="45"/>
  <c r="CX54" i="45" a="1"/>
  <c r="CX54" i="45"/>
  <c r="CY54" i="45" a="1"/>
  <c r="CY54" i="45"/>
  <c r="BY44" i="45" a="1"/>
  <c r="BY44" i="45"/>
  <c r="BX44" i="45" a="1"/>
  <c r="BX44" i="45"/>
  <c r="BY48" i="45" a="1"/>
  <c r="BY48" i="45"/>
  <c r="BX48" i="45" a="1"/>
  <c r="BX48" i="45"/>
  <c r="BY35" i="45" a="1"/>
  <c r="BY35" i="45"/>
  <c r="BX35" i="45" a="1"/>
  <c r="BX35" i="45"/>
  <c r="DM48" i="45" a="1"/>
  <c r="DM48" i="45"/>
  <c r="DL48" i="45" a="1"/>
  <c r="DL48" i="45"/>
  <c r="CX52" i="45" a="1"/>
  <c r="CX52" i="45"/>
  <c r="CY52" i="45" a="1"/>
  <c r="CY52" i="45"/>
  <c r="CY37" i="45" a="1"/>
  <c r="CY37" i="45"/>
  <c r="CX37" i="45" a="1"/>
  <c r="CX37" i="45"/>
  <c r="CY50" i="45" a="1"/>
  <c r="CY50" i="45"/>
  <c r="CX50" i="45" a="1"/>
  <c r="CX50" i="45"/>
  <c r="BX61" i="45" a="1"/>
  <c r="BX61" i="45"/>
  <c r="BY61" i="45" a="1"/>
  <c r="BY61" i="45"/>
  <c r="DL45" i="45" a="1"/>
  <c r="DL45" i="45"/>
  <c r="DM45" i="45" a="1"/>
  <c r="DM45" i="45"/>
  <c r="DM34" i="45" a="1"/>
  <c r="DM34" i="45"/>
  <c r="DL34" i="45" a="1"/>
  <c r="DL34" i="45"/>
  <c r="CX47" i="45" a="1"/>
  <c r="CX47" i="45"/>
  <c r="CY47" i="45" a="1"/>
  <c r="CY47" i="45"/>
  <c r="BY64" i="45" a="1"/>
  <c r="BY64" i="45"/>
  <c r="BX64" i="45" a="1"/>
  <c r="BX64" i="45"/>
  <c r="CY36" i="45" a="1"/>
  <c r="CY36" i="45"/>
  <c r="CX36" i="45" a="1"/>
  <c r="CX36" i="45"/>
  <c r="CX39" i="45" a="1"/>
  <c r="CX39" i="45"/>
  <c r="CY39" i="45" a="1"/>
  <c r="CY39" i="45"/>
  <c r="CX44" i="45" a="1"/>
  <c r="CX44" i="45"/>
  <c r="CY44" i="45" a="1"/>
  <c r="CY44" i="45"/>
  <c r="CY35" i="45" a="1"/>
  <c r="CY35" i="45"/>
  <c r="CX35" i="45" a="1"/>
  <c r="CX35" i="45"/>
  <c r="CX56" i="45" a="1"/>
  <c r="CX56" i="45"/>
  <c r="CY56" i="45" a="1"/>
  <c r="CY56" i="45"/>
  <c r="DL35" i="45" a="1"/>
  <c r="DL35" i="45"/>
  <c r="DM35" i="45" a="1"/>
  <c r="DM35" i="45"/>
  <c r="DM57" i="45" a="1"/>
  <c r="DM57" i="45"/>
  <c r="DL57" i="45" a="1"/>
  <c r="DL57" i="45"/>
  <c r="BX40" i="45" a="1"/>
  <c r="BX40" i="45"/>
  <c r="BY40" i="45" a="1"/>
  <c r="BY40" i="45"/>
  <c r="BY34" i="45" a="1"/>
  <c r="BY34" i="45"/>
  <c r="BX34" i="45" a="1"/>
  <c r="BX34" i="45"/>
  <c r="CY59" i="45" a="1"/>
  <c r="CY59" i="45"/>
  <c r="CX59" i="45" a="1"/>
  <c r="CX59" i="45"/>
  <c r="BY54" i="45" a="1"/>
  <c r="BY54" i="45"/>
  <c r="BX54" i="45" a="1"/>
  <c r="BX54" i="45"/>
  <c r="CX41" i="45" a="1"/>
  <c r="CX41" i="45"/>
  <c r="CY41" i="45" a="1"/>
  <c r="CY41" i="45"/>
  <c r="DM38" i="45" a="1"/>
  <c r="DM38" i="45"/>
  <c r="DL38" i="45" a="1"/>
  <c r="DL38" i="45"/>
  <c r="CY49" i="45" a="1"/>
  <c r="CY49" i="45"/>
  <c r="CX49" i="45" a="1"/>
  <c r="CX49" i="45"/>
  <c r="DL42" i="45" a="1"/>
  <c r="DL42" i="45"/>
  <c r="DM42" i="45" a="1"/>
  <c r="DM42" i="45"/>
  <c r="BY62" i="45" a="1"/>
  <c r="BY62" i="45"/>
  <c r="BX62" i="45" a="1"/>
  <c r="BX62" i="45"/>
  <c r="CY45" i="45" a="1"/>
  <c r="CY45" i="45"/>
  <c r="CX45" i="45" a="1"/>
  <c r="CX45" i="45"/>
  <c r="BY47" i="45" a="1"/>
  <c r="BY47" i="45"/>
  <c r="BX47" i="45" a="1"/>
  <c r="BX47" i="45"/>
  <c r="CY60" i="45" a="1"/>
  <c r="CY60" i="45"/>
  <c r="CX60" i="45" a="1"/>
  <c r="CX60" i="45"/>
  <c r="BY36" i="45" a="1"/>
  <c r="BY36" i="45"/>
  <c r="BX36" i="45" a="1"/>
  <c r="BX36" i="45"/>
  <c r="DM51" i="45" a="1"/>
  <c r="DM51" i="45"/>
  <c r="DL51" i="45" a="1"/>
  <c r="DL51" i="45"/>
  <c r="BY51" i="45" a="1"/>
  <c r="BY51" i="45"/>
  <c r="BX51" i="45" a="1"/>
  <c r="BX51" i="45"/>
  <c r="BX39" i="45" a="1"/>
  <c r="BX39" i="45"/>
  <c r="BY39" i="45" a="1"/>
  <c r="BY39" i="45"/>
  <c r="DM50" i="45" a="1"/>
  <c r="DM50" i="45"/>
  <c r="DL50" i="45" a="1"/>
  <c r="DL50" i="45"/>
  <c r="DL43" i="45" a="1"/>
  <c r="DL43" i="45"/>
  <c r="DM43" i="45" a="1"/>
  <c r="DM43" i="45"/>
  <c r="DL54" i="45" a="1"/>
  <c r="DL54" i="45"/>
  <c r="DM54" i="45" a="1"/>
  <c r="DM54" i="45"/>
  <c r="CX51" i="45" a="1"/>
  <c r="CX51" i="45"/>
  <c r="CY51" i="45" a="1"/>
  <c r="CY51" i="45"/>
  <c r="EA58" i="45"/>
  <c r="DM39" i="45" a="1"/>
  <c r="DM39" i="45"/>
  <c r="DL39" i="45" a="1"/>
  <c r="DL39" i="45"/>
  <c r="DM33" i="45" a="1"/>
  <c r="DM33" i="45"/>
  <c r="DL33" i="45" a="1"/>
  <c r="DL33" i="45"/>
  <c r="BY55" i="45" a="1"/>
  <c r="BY55" i="45"/>
  <c r="BX55" i="45" a="1"/>
  <c r="BX55" i="45"/>
  <c r="CY33" i="45" a="1"/>
  <c r="CY33" i="45"/>
  <c r="CX33" i="45" a="1"/>
  <c r="CX33" i="45"/>
  <c r="DL55" i="45" a="1"/>
  <c r="DL55" i="45"/>
  <c r="DM55" i="45" a="1"/>
  <c r="DM55" i="45"/>
  <c r="BY59" i="45" a="1"/>
  <c r="BY59" i="45"/>
  <c r="BX59" i="45" a="1"/>
  <c r="BX59" i="45"/>
  <c r="BX41" i="45" a="1"/>
  <c r="BX41" i="45"/>
  <c r="BY41" i="45" a="1"/>
  <c r="BY41" i="45"/>
  <c r="DM49" i="45" a="1"/>
  <c r="DM49" i="45"/>
  <c r="DL49" i="45" a="1"/>
  <c r="DL49" i="45"/>
  <c r="DL44" i="45" a="1"/>
  <c r="DL44" i="45"/>
  <c r="DM44" i="45" a="1"/>
  <c r="DM44" i="45"/>
  <c r="BY42" i="45" a="1"/>
  <c r="BY42" i="45"/>
  <c r="BX42" i="45" a="1"/>
  <c r="BX42" i="45"/>
  <c r="DL47" i="45" a="1"/>
  <c r="DL47" i="45"/>
  <c r="DM47" i="45" a="1"/>
  <c r="DM47" i="45"/>
  <c r="BY60" i="45" a="1"/>
  <c r="BY60" i="45"/>
  <c r="BX60" i="45" a="1"/>
  <c r="BX60" i="45"/>
  <c r="CX64" i="45" a="1"/>
  <c r="CX64" i="45"/>
  <c r="CY64" i="45" a="1"/>
  <c r="CY64" i="45"/>
  <c r="BX50" i="45" a="1"/>
  <c r="BX50" i="45"/>
  <c r="BY50" i="45" a="1"/>
  <c r="BY50" i="45"/>
  <c r="DZ53" i="45"/>
  <c r="BI103" i="12"/>
  <c r="DM41" i="45" a="1"/>
  <c r="DM41" i="45"/>
  <c r="DL41" i="45" a="1"/>
  <c r="DL41" i="45"/>
  <c r="BY38" i="45" a="1"/>
  <c r="BY38" i="45"/>
  <c r="BX38" i="45" a="1"/>
  <c r="BX38" i="45"/>
  <c r="BX49" i="45" a="1"/>
  <c r="BX49" i="45"/>
  <c r="BY49" i="45" a="1"/>
  <c r="BY49" i="45"/>
  <c r="CY34" i="45" a="1"/>
  <c r="CY34" i="45"/>
  <c r="CX34" i="45" a="1"/>
  <c r="CX34" i="45"/>
  <c r="BX56" i="45" a="1"/>
  <c r="BX56" i="45"/>
  <c r="BY56" i="45" a="1"/>
  <c r="BY56" i="45"/>
  <c r="DL52" i="45" a="1"/>
  <c r="DL52" i="45"/>
  <c r="DM52" i="45" a="1"/>
  <c r="DM52" i="45"/>
  <c r="DM37" i="45" a="1"/>
  <c r="DM37" i="45"/>
  <c r="DL37" i="45" a="1"/>
  <c r="DL37" i="45"/>
  <c r="DM62" i="45" a="1"/>
  <c r="DM62" i="45"/>
  <c r="DL62" i="45" a="1"/>
  <c r="DL62" i="45"/>
  <c r="CX57" i="45" a="1"/>
  <c r="CX57" i="45"/>
  <c r="CY57" i="45" a="1"/>
  <c r="CY57" i="45"/>
  <c r="CY40" i="45" a="1"/>
  <c r="CY40" i="45"/>
  <c r="CX40" i="45" a="1"/>
  <c r="CX40" i="45"/>
  <c r="BX33" i="45" a="1"/>
  <c r="BX33" i="45"/>
  <c r="BY33" i="45" a="1"/>
  <c r="BY33" i="45"/>
  <c r="CY55" i="45" a="1"/>
  <c r="CY55" i="45"/>
  <c r="CX55" i="45" a="1"/>
  <c r="CX55" i="45"/>
  <c r="DL59" i="45" a="1"/>
  <c r="DL59" i="45"/>
  <c r="DM59" i="45" a="1"/>
  <c r="DM59" i="45"/>
  <c r="CX38" i="45" a="1"/>
  <c r="CX38" i="45"/>
  <c r="CY38" i="45" a="1"/>
  <c r="CY38" i="45"/>
  <c r="BY37" i="45" a="1"/>
  <c r="BY37" i="45"/>
  <c r="BX37" i="45" a="1"/>
  <c r="BX37" i="45"/>
  <c r="DZ63" i="45"/>
  <c r="BJ103" i="12"/>
  <c r="EC58" i="12"/>
  <c r="EB63" i="12"/>
  <c r="EC63" i="12"/>
  <c r="EC52" i="12"/>
  <c r="EB52" i="12"/>
  <c r="EB58" i="12"/>
  <c r="DN40" i="12" a="1"/>
  <c r="DN40" i="12"/>
  <c r="DO40" i="12" a="1"/>
  <c r="DO40" i="12"/>
  <c r="CZ55" i="12" a="1"/>
  <c r="CZ55" i="12"/>
  <c r="DA55" i="12" a="1"/>
  <c r="DA55" i="12"/>
  <c r="CL39" i="12" a="1"/>
  <c r="CL39" i="12"/>
  <c r="CM39" i="12" a="1"/>
  <c r="CM39" i="12"/>
  <c r="CM41" i="12" a="1"/>
  <c r="CM41" i="12"/>
  <c r="CL41" i="12" a="1"/>
  <c r="CL41" i="12"/>
  <c r="CL38" i="12" a="1"/>
  <c r="CL38" i="12"/>
  <c r="CM38" i="12" a="1"/>
  <c r="CM38" i="12"/>
  <c r="BY43" i="12" a="1"/>
  <c r="BY43" i="12"/>
  <c r="BX43" i="12" a="1"/>
  <c r="BX43" i="12"/>
  <c r="CZ42" i="12" a="1"/>
  <c r="CZ42" i="12"/>
  <c r="DA42" i="12" a="1"/>
  <c r="DA42" i="12"/>
  <c r="DO35" i="12" a="1"/>
  <c r="DO35" i="12"/>
  <c r="DN35" i="12" a="1"/>
  <c r="DN35" i="12"/>
  <c r="CZ44" i="12" a="1"/>
  <c r="CZ44" i="12"/>
  <c r="DA44" i="12" a="1"/>
  <c r="DA44" i="12"/>
  <c r="CM36" i="12" a="1"/>
  <c r="CM36" i="12"/>
  <c r="CL36" i="12" a="1"/>
  <c r="CL36" i="12"/>
  <c r="BY47" i="12" a="1"/>
  <c r="BY47" i="12"/>
  <c r="BX47" i="12" a="1"/>
  <c r="BX47" i="12"/>
  <c r="BY39" i="12" a="1"/>
  <c r="BY39" i="12"/>
  <c r="BX39" i="12" a="1"/>
  <c r="BX39" i="12"/>
  <c r="DN41" i="12" a="1"/>
  <c r="DN41" i="12"/>
  <c r="DO41" i="12" a="1"/>
  <c r="DO41" i="12"/>
  <c r="DO38" i="12" a="1"/>
  <c r="DO38" i="12"/>
  <c r="DN38" i="12" a="1"/>
  <c r="DN38" i="12"/>
  <c r="DA43" i="12" a="1"/>
  <c r="DA43" i="12"/>
  <c r="CZ43" i="12" a="1"/>
  <c r="CZ43" i="12"/>
  <c r="DO42" i="12" a="1"/>
  <c r="DO42" i="12"/>
  <c r="DN42" i="12" a="1"/>
  <c r="DN42" i="12"/>
  <c r="DA35" i="12" a="1"/>
  <c r="DA35" i="12"/>
  <c r="CZ35" i="12" a="1"/>
  <c r="CZ35" i="12"/>
  <c r="DN36" i="12" a="1"/>
  <c r="DN36" i="12"/>
  <c r="DO36" i="12" a="1"/>
  <c r="DO36" i="12"/>
  <c r="CZ47" i="12" a="1"/>
  <c r="CZ47" i="12"/>
  <c r="DA47" i="12" a="1"/>
  <c r="DA47" i="12"/>
  <c r="CL44" i="12" a="1"/>
  <c r="CL44" i="12"/>
  <c r="CM44" i="12" a="1"/>
  <c r="CM44" i="12"/>
  <c r="CM61" i="12" a="1"/>
  <c r="CM61" i="12"/>
  <c r="CL61" i="12" a="1"/>
  <c r="CL61" i="12"/>
  <c r="DN33" i="12" a="1"/>
  <c r="DN33" i="12"/>
  <c r="DO33" i="12" a="1"/>
  <c r="DO33" i="12"/>
  <c r="BX45" i="12" a="1"/>
  <c r="BX45" i="12"/>
  <c r="BY45" i="12" a="1"/>
  <c r="BY45" i="12"/>
  <c r="BX40" i="12" a="1"/>
  <c r="BX40" i="12"/>
  <c r="BY40" i="12" a="1"/>
  <c r="BY40" i="12"/>
  <c r="CL54" i="12" a="1"/>
  <c r="CL54" i="12"/>
  <c r="CM54" i="12" a="1"/>
  <c r="CM54" i="12"/>
  <c r="DN55" i="12" a="1"/>
  <c r="DN55" i="12"/>
  <c r="DO55" i="12" a="1"/>
  <c r="DO55" i="12"/>
  <c r="CZ59" i="12" a="1"/>
  <c r="CZ59" i="12"/>
  <c r="DA59" i="12" a="1"/>
  <c r="DA59" i="12"/>
  <c r="BY62" i="12" a="1"/>
  <c r="BY62" i="12"/>
  <c r="BX62" i="12" a="1"/>
  <c r="BX62" i="12"/>
  <c r="DA56" i="12" a="1"/>
  <c r="DA56" i="12"/>
  <c r="CZ56" i="12" a="1"/>
  <c r="CZ56" i="12"/>
  <c r="DA60" i="12" a="1"/>
  <c r="DA60" i="12"/>
  <c r="CZ60" i="12" a="1"/>
  <c r="CZ60" i="12"/>
  <c r="DO64" i="12" a="1"/>
  <c r="DO64" i="12"/>
  <c r="DN64" i="12" a="1"/>
  <c r="DN64" i="12"/>
  <c r="CL48" i="12" a="1"/>
  <c r="CL48" i="12"/>
  <c r="CM48" i="12" a="1"/>
  <c r="CM48" i="12"/>
  <c r="DN50" i="12" a="1"/>
  <c r="DN50" i="12"/>
  <c r="DO50" i="12" a="1"/>
  <c r="DO50" i="12"/>
  <c r="CZ39" i="12" a="1"/>
  <c r="CZ39" i="12"/>
  <c r="DA39" i="12" a="1"/>
  <c r="DA39" i="12"/>
  <c r="DA41" i="12" a="1"/>
  <c r="DA41" i="12"/>
  <c r="CZ41" i="12" a="1"/>
  <c r="CZ41" i="12"/>
  <c r="BY38" i="12" a="1"/>
  <c r="BY38" i="12"/>
  <c r="BX38" i="12" a="1"/>
  <c r="BX38" i="12"/>
  <c r="CL43" i="12" a="1"/>
  <c r="CL43" i="12"/>
  <c r="CM43" i="12" a="1"/>
  <c r="CM43" i="12"/>
  <c r="BY42" i="12" a="1"/>
  <c r="BY42" i="12"/>
  <c r="BX42" i="12" a="1"/>
  <c r="BX42" i="12"/>
  <c r="BY35" i="12" a="1"/>
  <c r="BY35" i="12"/>
  <c r="BX35" i="12" a="1"/>
  <c r="BX35" i="12"/>
  <c r="DA36" i="12" a="1"/>
  <c r="DA36" i="12"/>
  <c r="CZ36" i="12" a="1"/>
  <c r="CZ36" i="12"/>
  <c r="CL47" i="12" a="1"/>
  <c r="CL47" i="12"/>
  <c r="CM47" i="12" a="1"/>
  <c r="CM47" i="12"/>
  <c r="DN61" i="12" a="1"/>
  <c r="DN61" i="12"/>
  <c r="DO61" i="12" a="1"/>
  <c r="DO61" i="12"/>
  <c r="CL33" i="12" a="1"/>
  <c r="CL33" i="12"/>
  <c r="CM33" i="12" a="1"/>
  <c r="CM33" i="12"/>
  <c r="CL34" i="12" a="1"/>
  <c r="CL34" i="12"/>
  <c r="CM34" i="12" a="1"/>
  <c r="CM34" i="12"/>
  <c r="DO49" i="12" a="1"/>
  <c r="DO49" i="12"/>
  <c r="DN49" i="12" a="1"/>
  <c r="DN49" i="12"/>
  <c r="AU41" i="34" a="1"/>
  <c r="AU41" i="34"/>
  <c r="AQ41" i="34" a="1"/>
  <c r="AQ41" i="34"/>
  <c r="AS41" i="34" a="1"/>
  <c r="AS41" i="34"/>
  <c r="AV41" i="34" a="1"/>
  <c r="AV41" i="34"/>
  <c r="AX41" i="34" a="1"/>
  <c r="AX41" i="34"/>
  <c r="AZ41" i="34" a="1"/>
  <c r="AZ41" i="34"/>
  <c r="AW41" i="34" a="1"/>
  <c r="AW41" i="34"/>
  <c r="AP41" i="34" a="1"/>
  <c r="AP41" i="34"/>
  <c r="AO41" i="34" a="1"/>
  <c r="AO41" i="34"/>
  <c r="AR41" i="34" a="1"/>
  <c r="AR41" i="34"/>
  <c r="BA41" i="34" a="1"/>
  <c r="BA41" i="34"/>
  <c r="AN41" i="34" a="1"/>
  <c r="AN41" i="34"/>
  <c r="AY41" i="34" a="1"/>
  <c r="AY41" i="34"/>
  <c r="AT41" i="34" a="1"/>
  <c r="AT41" i="34"/>
  <c r="DO45" i="12" a="1"/>
  <c r="DO45" i="12"/>
  <c r="DN45" i="12" a="1"/>
  <c r="DN45" i="12"/>
  <c r="CZ54" i="12" a="1"/>
  <c r="CZ54" i="12"/>
  <c r="DA54" i="12" a="1"/>
  <c r="DA54" i="12"/>
  <c r="CL59" i="12" a="1"/>
  <c r="CL59" i="12"/>
  <c r="CM59" i="12" a="1"/>
  <c r="CM59" i="12"/>
  <c r="CZ62" i="12" a="1"/>
  <c r="CZ62" i="12"/>
  <c r="DA62" i="12" a="1"/>
  <c r="DA62" i="12"/>
  <c r="BY56" i="12" a="1"/>
  <c r="BY56" i="12"/>
  <c r="BX56" i="12" a="1"/>
  <c r="BX56" i="12"/>
  <c r="DO60" i="12" a="1"/>
  <c r="DO60" i="12"/>
  <c r="DN60" i="12" a="1"/>
  <c r="DN60" i="12"/>
  <c r="CZ64" i="12" a="1"/>
  <c r="CZ64" i="12"/>
  <c r="DA64" i="12" a="1"/>
  <c r="DA64" i="12"/>
  <c r="DA48" i="12" a="1"/>
  <c r="DA48" i="12"/>
  <c r="CZ48" i="12" a="1"/>
  <c r="CZ48" i="12"/>
  <c r="BY61" i="12" a="1"/>
  <c r="BY61" i="12"/>
  <c r="BX61" i="12" a="1"/>
  <c r="BX61" i="12"/>
  <c r="BX33" i="12" a="1"/>
  <c r="BX33" i="12"/>
  <c r="BY33" i="12" a="1"/>
  <c r="BY33" i="12"/>
  <c r="DO34" i="12" a="1"/>
  <c r="DO34" i="12"/>
  <c r="DN34" i="12" a="1"/>
  <c r="DN34" i="12"/>
  <c r="BX44" i="12" a="1"/>
  <c r="BX44" i="12"/>
  <c r="BY44" i="12" a="1"/>
  <c r="BY44" i="12"/>
  <c r="CL49" i="12" a="1"/>
  <c r="CL49" i="12"/>
  <c r="CM49" i="12" a="1"/>
  <c r="CM49" i="12"/>
  <c r="CL46" i="12" a="1"/>
  <c r="CL46" i="12"/>
  <c r="CM46" i="12" a="1"/>
  <c r="CM46" i="12"/>
  <c r="BY50" i="12" a="1"/>
  <c r="BY50" i="12"/>
  <c r="BX50" i="12" a="1"/>
  <c r="BX50" i="12"/>
  <c r="DO39" i="12" a="1"/>
  <c r="DO39" i="12"/>
  <c r="DN39" i="12" a="1"/>
  <c r="DN39" i="12"/>
  <c r="DA61" i="12" a="1"/>
  <c r="DA61" i="12"/>
  <c r="CZ61" i="12" a="1"/>
  <c r="CZ61" i="12"/>
  <c r="DA33" i="12" a="1"/>
  <c r="DA33" i="12"/>
  <c r="CZ33" i="12" a="1"/>
  <c r="CZ33" i="12"/>
  <c r="BY34" i="12" a="1"/>
  <c r="BY34" i="12"/>
  <c r="BX34" i="12" a="1"/>
  <c r="BX34" i="12"/>
  <c r="CZ51" i="12" a="1"/>
  <c r="CZ51" i="12"/>
  <c r="DA51" i="12" a="1"/>
  <c r="DA51" i="12"/>
  <c r="BX49" i="12" a="1"/>
  <c r="BX49" i="12"/>
  <c r="BY49" i="12" a="1"/>
  <c r="BY49" i="12"/>
  <c r="AW42" i="34" a="1"/>
  <c r="AW42" i="34"/>
  <c r="AZ42" i="34" a="1"/>
  <c r="AZ42" i="34"/>
  <c r="AU42" i="34" a="1"/>
  <c r="AU42" i="34"/>
  <c r="AS42" i="34" a="1"/>
  <c r="AS42" i="34"/>
  <c r="AQ42" i="34" a="1"/>
  <c r="AQ42" i="34"/>
  <c r="AX42" i="34" a="1"/>
  <c r="AX42" i="34"/>
  <c r="AO42" i="34" a="1"/>
  <c r="AO42" i="34"/>
  <c r="BA42" i="34" a="1"/>
  <c r="BA42" i="34"/>
  <c r="AP42" i="34" a="1"/>
  <c r="AP42" i="34"/>
  <c r="AY42" i="34" a="1"/>
  <c r="AY42" i="34"/>
  <c r="AR42" i="34" a="1"/>
  <c r="AR42" i="34"/>
  <c r="AN42" i="34" a="1"/>
  <c r="AN42" i="34"/>
  <c r="AV42" i="34" a="1"/>
  <c r="AV42" i="34"/>
  <c r="AT42" i="34" a="1"/>
  <c r="AT42" i="34"/>
  <c r="AU43" i="34" a="1"/>
  <c r="AU43" i="34"/>
  <c r="AN43" i="34" a="1"/>
  <c r="AN43" i="34"/>
  <c r="AS43" i="34" a="1"/>
  <c r="AS43" i="34"/>
  <c r="AX43" i="34" a="1"/>
  <c r="AX43" i="34"/>
  <c r="AQ43" i="34" a="1"/>
  <c r="AQ43" i="34"/>
  <c r="AT43" i="34" a="1"/>
  <c r="AT43" i="34"/>
  <c r="AO43" i="34" a="1"/>
  <c r="AO43" i="34"/>
  <c r="AY43" i="34" a="1"/>
  <c r="AY43" i="34"/>
  <c r="AW43" i="34" a="1"/>
  <c r="AW43" i="34"/>
  <c r="AR43" i="34" a="1"/>
  <c r="AR43" i="34"/>
  <c r="AV43" i="34" a="1"/>
  <c r="AV43" i="34"/>
  <c r="AP43" i="34" a="1"/>
  <c r="AP43" i="34"/>
  <c r="BA43" i="34" a="1"/>
  <c r="BA43" i="34"/>
  <c r="AZ43" i="34" a="1"/>
  <c r="AZ43" i="34"/>
  <c r="AS44" i="34" a="1"/>
  <c r="AS44" i="34"/>
  <c r="AQ44" i="34" a="1"/>
  <c r="AQ44" i="34"/>
  <c r="AT44" i="34" a="1"/>
  <c r="AT44" i="34"/>
  <c r="AO44" i="34" a="1"/>
  <c r="AO44" i="34"/>
  <c r="AP44" i="34" a="1"/>
  <c r="AP44" i="34"/>
  <c r="AZ44" i="34" a="1"/>
  <c r="AZ44" i="34"/>
  <c r="AU44" i="34" a="1"/>
  <c r="AU44" i="34"/>
  <c r="AX44" i="34" a="1"/>
  <c r="AX44" i="34"/>
  <c r="AV44" i="34" a="1"/>
  <c r="AV44" i="34"/>
  <c r="AW44" i="34" a="1"/>
  <c r="AW44" i="34"/>
  <c r="BA44" i="34" a="1"/>
  <c r="BA44" i="34"/>
  <c r="AN44" i="34" a="1"/>
  <c r="AN44" i="34"/>
  <c r="AR44" i="34" a="1"/>
  <c r="AR44" i="34"/>
  <c r="AY44" i="34" a="1"/>
  <c r="AY44" i="34"/>
  <c r="AS50" i="34" a="1"/>
  <c r="AS50" i="34"/>
  <c r="AO50" i="34" a="1"/>
  <c r="AO50" i="34"/>
  <c r="AZ50" i="34" a="1"/>
  <c r="AZ50" i="34"/>
  <c r="BA50" i="34" a="1"/>
  <c r="BA50" i="34"/>
  <c r="AV50" i="34" a="1"/>
  <c r="AV50" i="34"/>
  <c r="AT50" i="34" a="1"/>
  <c r="AT50" i="34"/>
  <c r="AU50" i="34" a="1"/>
  <c r="AU50" i="34"/>
  <c r="AN50" i="34" a="1"/>
  <c r="AN50" i="34"/>
  <c r="AY50" i="34" a="1"/>
  <c r="AY50" i="34"/>
  <c r="AP50" i="34" a="1"/>
  <c r="AP50" i="34"/>
  <c r="AR50" i="34" a="1"/>
  <c r="AR50" i="34"/>
  <c r="AX50" i="34" a="1"/>
  <c r="AX50" i="34"/>
  <c r="AW50" i="34" a="1"/>
  <c r="AW50" i="34"/>
  <c r="AQ50" i="34" a="1"/>
  <c r="AQ50" i="34"/>
  <c r="AV47" i="34" a="1"/>
  <c r="AV47" i="34"/>
  <c r="AX47" i="34" a="1"/>
  <c r="AX47" i="34"/>
  <c r="BA47" i="34" a="1"/>
  <c r="BA47" i="34"/>
  <c r="AP47" i="34" a="1"/>
  <c r="AP47" i="34"/>
  <c r="AW47" i="34" a="1"/>
  <c r="AW47" i="34"/>
  <c r="AS47" i="34" a="1"/>
  <c r="AS47" i="34"/>
  <c r="AY47" i="34" a="1"/>
  <c r="AY47" i="34"/>
  <c r="AZ47" i="34" a="1"/>
  <c r="AZ47" i="34"/>
  <c r="AN47" i="34" a="1"/>
  <c r="AN47" i="34"/>
  <c r="AU47" i="34" a="1"/>
  <c r="AU47" i="34"/>
  <c r="AR47" i="34" a="1"/>
  <c r="AR47" i="34"/>
  <c r="AQ47" i="34" a="1"/>
  <c r="AQ47" i="34"/>
  <c r="AO47" i="34" a="1"/>
  <c r="AO47" i="34"/>
  <c r="AT47" i="34" a="1"/>
  <c r="AT47" i="34"/>
  <c r="CM50" i="12" a="1"/>
  <c r="CM50" i="12"/>
  <c r="CL50" i="12" a="1"/>
  <c r="CL50" i="12"/>
  <c r="AT48" i="34" a="1"/>
  <c r="AT48" i="34"/>
  <c r="AX48" i="34" a="1"/>
  <c r="AX48" i="34"/>
  <c r="AY48" i="34" a="1"/>
  <c r="AY48" i="34"/>
  <c r="AO48" i="34" a="1"/>
  <c r="AO48" i="34"/>
  <c r="AQ48" i="34" a="1"/>
  <c r="AQ48" i="34"/>
  <c r="AZ48" i="34" a="1"/>
  <c r="AZ48" i="34"/>
  <c r="AN48" i="34" a="1"/>
  <c r="AN48" i="34"/>
  <c r="AV48" i="34" a="1"/>
  <c r="AV48" i="34"/>
  <c r="AS48" i="34" a="1"/>
  <c r="AS48" i="34"/>
  <c r="AP48" i="34" a="1"/>
  <c r="AP48" i="34"/>
  <c r="BA48" i="34" a="1"/>
  <c r="BA48" i="34"/>
  <c r="AU48" i="34" a="1"/>
  <c r="AU48" i="34"/>
  <c r="AR48" i="34" a="1"/>
  <c r="AR48" i="34"/>
  <c r="AW48" i="34" a="1"/>
  <c r="AW48" i="34"/>
  <c r="CL45" i="12" a="1"/>
  <c r="CL45" i="12"/>
  <c r="CM45" i="12" a="1"/>
  <c r="CM45" i="12"/>
  <c r="CL40" i="12" a="1"/>
  <c r="CL40" i="12"/>
  <c r="CM40" i="12" a="1"/>
  <c r="CM40" i="12"/>
  <c r="DN54" i="12" a="1"/>
  <c r="DN54" i="12"/>
  <c r="DO54" i="12" a="1"/>
  <c r="DO54" i="12"/>
  <c r="BX55" i="12" a="1"/>
  <c r="BX55" i="12"/>
  <c r="BY55" i="12" a="1"/>
  <c r="BY55" i="12"/>
  <c r="BY59" i="12" a="1"/>
  <c r="BY59" i="12"/>
  <c r="BX59" i="12" a="1"/>
  <c r="BX59" i="12"/>
  <c r="CL62" i="12" a="1"/>
  <c r="CL62" i="12"/>
  <c r="CM62" i="12" a="1"/>
  <c r="CM62" i="12"/>
  <c r="CL56" i="12" a="1"/>
  <c r="CL56" i="12"/>
  <c r="CM56" i="12" a="1"/>
  <c r="CM56" i="12"/>
  <c r="CM60" i="12" a="1"/>
  <c r="CM60" i="12"/>
  <c r="CL60" i="12" a="1"/>
  <c r="CL60" i="12"/>
  <c r="BY64" i="12" a="1"/>
  <c r="BY64" i="12"/>
  <c r="BX64" i="12" a="1"/>
  <c r="BX64" i="12"/>
  <c r="DO48" i="12" a="1"/>
  <c r="DO48" i="12"/>
  <c r="DN48" i="12" a="1"/>
  <c r="DN48" i="12"/>
  <c r="BY41" i="12" a="1"/>
  <c r="BY41" i="12"/>
  <c r="BX41" i="12" a="1"/>
  <c r="BX41" i="12"/>
  <c r="DA38" i="12" a="1"/>
  <c r="DA38" i="12"/>
  <c r="CZ38" i="12" a="1"/>
  <c r="CZ38" i="12"/>
  <c r="DO43" i="12" a="1"/>
  <c r="DO43" i="12"/>
  <c r="DN43" i="12" a="1"/>
  <c r="DN43" i="12"/>
  <c r="CM42" i="12" a="1"/>
  <c r="CM42" i="12"/>
  <c r="CL42" i="12" a="1"/>
  <c r="CL42" i="12"/>
  <c r="CL35" i="12" a="1"/>
  <c r="CL35" i="12"/>
  <c r="CM35" i="12" a="1"/>
  <c r="CM35" i="12"/>
  <c r="DN51" i="12" a="1"/>
  <c r="DN51" i="12"/>
  <c r="DO51" i="12" a="1"/>
  <c r="DO51" i="12"/>
  <c r="BY36" i="12" a="1"/>
  <c r="BY36" i="12"/>
  <c r="BX36" i="12" a="1"/>
  <c r="BX36" i="12"/>
  <c r="DN47" i="12" a="1"/>
  <c r="DN47" i="12"/>
  <c r="DO47" i="12" a="1"/>
  <c r="DO47" i="12"/>
  <c r="BY51" i="12" a="1"/>
  <c r="BY51" i="12"/>
  <c r="BX51" i="12" a="1"/>
  <c r="BX51" i="12"/>
  <c r="CZ45" i="12" a="1"/>
  <c r="CZ45" i="12"/>
  <c r="DA45" i="12" a="1"/>
  <c r="DA45" i="12"/>
  <c r="DA40" i="12" a="1"/>
  <c r="DA40" i="12"/>
  <c r="CZ40" i="12" a="1"/>
  <c r="CZ40" i="12"/>
  <c r="BX54" i="12" a="1"/>
  <c r="BX54" i="12"/>
  <c r="BY54" i="12" a="1"/>
  <c r="BY54" i="12"/>
  <c r="CM55" i="12" a="1"/>
  <c r="CM55" i="12"/>
  <c r="CL55" i="12" a="1"/>
  <c r="CL55" i="12"/>
  <c r="DN59" i="12" a="1"/>
  <c r="DN59" i="12"/>
  <c r="DO59" i="12" a="1"/>
  <c r="DO59" i="12"/>
  <c r="DO62" i="12" a="1"/>
  <c r="DO62" i="12"/>
  <c r="DN62" i="12" a="1"/>
  <c r="DN62" i="12"/>
  <c r="DO56" i="12" a="1"/>
  <c r="DO56" i="12"/>
  <c r="DN56" i="12" a="1"/>
  <c r="DN56" i="12"/>
  <c r="BY60" i="12" a="1"/>
  <c r="BY60" i="12"/>
  <c r="BX60" i="12" a="1"/>
  <c r="BX60" i="12"/>
  <c r="CL64" i="12" a="1"/>
  <c r="CL64" i="12"/>
  <c r="CM64" i="12" a="1"/>
  <c r="CM64" i="12"/>
  <c r="BX48" i="12" a="1"/>
  <c r="BX48" i="12"/>
  <c r="BY48" i="12" a="1"/>
  <c r="BY48" i="12"/>
  <c r="DA50" i="12" a="1"/>
  <c r="DA50" i="12"/>
  <c r="CZ50" i="12" a="1"/>
  <c r="CZ50" i="12"/>
  <c r="DA34" i="12" a="1"/>
  <c r="DA34" i="12"/>
  <c r="CZ34" i="12" a="1"/>
  <c r="CZ34" i="12"/>
  <c r="DA49" i="12" a="1"/>
  <c r="DA49" i="12"/>
  <c r="CZ49" i="12" a="1"/>
  <c r="CZ49" i="12"/>
  <c r="BX46" i="12" a="1"/>
  <c r="BX46" i="12"/>
  <c r="BY46" i="12" a="1"/>
  <c r="BY46" i="12"/>
  <c r="DO46" i="12" a="1"/>
  <c r="DO46" i="12"/>
  <c r="DN46" i="12" a="1"/>
  <c r="DN46" i="12"/>
  <c r="AT45" i="34" a="1"/>
  <c r="AT45" i="34"/>
  <c r="AO45" i="34" a="1"/>
  <c r="AO45" i="34"/>
  <c r="AS45" i="34" a="1"/>
  <c r="AS45" i="34"/>
  <c r="AX45" i="34" a="1"/>
  <c r="AX45" i="34"/>
  <c r="AP45" i="34" a="1"/>
  <c r="AP45" i="34"/>
  <c r="AW45" i="34" a="1"/>
  <c r="AW45" i="34"/>
  <c r="AZ45" i="34" a="1"/>
  <c r="AZ45" i="34"/>
  <c r="AQ45" i="34" a="1"/>
  <c r="AQ45" i="34"/>
  <c r="BA45" i="34" a="1"/>
  <c r="BA45" i="34"/>
  <c r="AN45" i="34" a="1"/>
  <c r="AN45" i="34"/>
  <c r="AR45" i="34" a="1"/>
  <c r="AR45" i="34"/>
  <c r="AV45" i="34" a="1"/>
  <c r="AV45" i="34"/>
  <c r="AU45" i="34" a="1"/>
  <c r="AU45" i="34"/>
  <c r="AY45" i="34" a="1"/>
  <c r="AY45" i="34"/>
  <c r="AO51" i="34" a="1"/>
  <c r="AO51" i="34"/>
  <c r="AN51" i="34" a="1"/>
  <c r="AN51" i="34"/>
  <c r="AZ51" i="34" a="1"/>
  <c r="AZ51" i="34"/>
  <c r="AS51" i="34" a="1"/>
  <c r="AS51" i="34"/>
  <c r="AQ51" i="34" a="1"/>
  <c r="AQ51" i="34"/>
  <c r="AV51" i="34" a="1"/>
  <c r="AV51" i="34"/>
  <c r="AR51" i="34" a="1"/>
  <c r="AR51" i="34"/>
  <c r="AX51" i="34" a="1"/>
  <c r="AX51" i="34"/>
  <c r="AU51" i="34" a="1"/>
  <c r="AU51" i="34"/>
  <c r="BA51" i="34" a="1"/>
  <c r="BA51" i="34"/>
  <c r="AW51" i="34" a="1"/>
  <c r="AW51" i="34"/>
  <c r="AY51" i="34" a="1"/>
  <c r="AY51" i="34"/>
  <c r="AP51" i="34" a="1"/>
  <c r="AP51" i="34"/>
  <c r="AT51" i="34" a="1"/>
  <c r="AT51" i="34"/>
  <c r="AY49" i="34" a="1"/>
  <c r="AY49" i="34"/>
  <c r="AO49" i="34" a="1"/>
  <c r="AO49" i="34"/>
  <c r="AZ49" i="34" a="1"/>
  <c r="AZ49" i="34"/>
  <c r="AS49" i="34" a="1"/>
  <c r="AS49" i="34"/>
  <c r="AP49" i="34" a="1"/>
  <c r="AP49" i="34"/>
  <c r="AN49" i="34" a="1"/>
  <c r="AN49" i="34"/>
  <c r="AQ49" i="34" a="1"/>
  <c r="AQ49" i="34"/>
  <c r="AX49" i="34" a="1"/>
  <c r="AX49" i="34"/>
  <c r="AV49" i="34" a="1"/>
  <c r="AV49" i="34"/>
  <c r="AT49" i="34" a="1"/>
  <c r="AT49" i="34"/>
  <c r="BA49" i="34" a="1"/>
  <c r="BA49" i="34"/>
  <c r="AR49" i="34" a="1"/>
  <c r="AR49" i="34"/>
  <c r="AU49" i="34" a="1"/>
  <c r="AU49" i="34"/>
  <c r="AW49" i="34" a="1"/>
  <c r="AW49" i="34"/>
  <c r="DU58" i="45"/>
  <c r="DX58" i="45"/>
  <c r="DX63" i="45"/>
  <c r="DR63" i="45"/>
  <c r="DV63" i="45"/>
  <c r="DX53" i="45"/>
  <c r="DP53" i="45"/>
  <c r="DQ53" i="45"/>
  <c r="DW58" i="45"/>
  <c r="DP63" i="45"/>
  <c r="DQ58" i="45"/>
  <c r="DR58" i="45"/>
  <c r="DP58" i="45"/>
  <c r="DU53" i="45"/>
  <c r="CM57" i="45" a="1"/>
  <c r="CM57" i="45"/>
  <c r="CT57" i="45" a="1"/>
  <c r="CT57" i="45"/>
  <c r="CR57" i="45" a="1"/>
  <c r="CR57" i="45"/>
  <c r="CV57" i="45" a="1"/>
  <c r="CV57" i="45"/>
  <c r="CP57" i="45" a="1"/>
  <c r="CP57" i="45"/>
  <c r="CO57" i="45" a="1"/>
  <c r="CO57" i="45"/>
  <c r="CQ57" i="45" a="1"/>
  <c r="CQ57" i="45"/>
  <c r="CZ57" i="45" a="1"/>
  <c r="CZ57" i="45"/>
  <c r="CN57" i="45" a="1"/>
  <c r="CN57" i="45"/>
  <c r="CU57" i="45" a="1"/>
  <c r="CU57" i="45"/>
  <c r="CS57" i="45" a="1"/>
  <c r="CS57" i="45"/>
  <c r="CW57" i="45" a="1"/>
  <c r="CW57" i="45"/>
  <c r="CQ37" i="45" a="1"/>
  <c r="CQ37" i="45"/>
  <c r="CO37" i="45" a="1"/>
  <c r="CO37" i="45"/>
  <c r="CV37" i="45" a="1"/>
  <c r="CV37" i="45"/>
  <c r="CZ37" i="45" a="1"/>
  <c r="CZ37" i="45"/>
  <c r="CR37" i="45" a="1"/>
  <c r="CR37" i="45"/>
  <c r="CP37" i="45" a="1"/>
  <c r="CP37" i="45"/>
  <c r="CN37" i="45" a="1"/>
  <c r="CN37" i="45"/>
  <c r="CT37" i="45" a="1"/>
  <c r="CT37" i="45"/>
  <c r="CU37" i="45" a="1"/>
  <c r="CU37" i="45"/>
  <c r="CM37" i="45" a="1"/>
  <c r="CM37" i="45"/>
  <c r="CW37" i="45" a="1"/>
  <c r="CW37" i="45"/>
  <c r="CS37" i="45" a="1"/>
  <c r="CS37" i="45"/>
  <c r="CR54" i="45" a="1"/>
  <c r="CR54" i="45"/>
  <c r="CO54" i="45" a="1"/>
  <c r="CO54" i="45"/>
  <c r="CT54" i="45" a="1"/>
  <c r="CT54" i="45"/>
  <c r="CP54" i="45" a="1"/>
  <c r="CP54" i="45"/>
  <c r="CU54" i="45" a="1"/>
  <c r="CU54" i="45"/>
  <c r="CQ54" i="45" a="1"/>
  <c r="CQ54" i="45"/>
  <c r="CW54" i="45" a="1"/>
  <c r="CW54" i="45"/>
  <c r="CN54" i="45" a="1"/>
  <c r="CN54" i="45"/>
  <c r="CZ54" i="45" a="1"/>
  <c r="CZ54" i="45"/>
  <c r="CM54" i="45" a="1"/>
  <c r="CM54" i="45"/>
  <c r="CS54" i="45" a="1"/>
  <c r="CS54" i="45"/>
  <c r="CV54" i="45" a="1"/>
  <c r="CV54" i="45"/>
  <c r="DS58" i="45"/>
  <c r="DS53" i="45"/>
  <c r="DY53" i="45"/>
  <c r="DW53" i="45"/>
  <c r="DQ63" i="45"/>
  <c r="CW62" i="45" a="1"/>
  <c r="CW62" i="45"/>
  <c r="CZ62" i="45" a="1"/>
  <c r="CZ62" i="45"/>
  <c r="CN62" i="45" a="1"/>
  <c r="CN62" i="45"/>
  <c r="CP62" i="45" a="1"/>
  <c r="CP62" i="45"/>
  <c r="CV62" i="45" a="1"/>
  <c r="CV62" i="45"/>
  <c r="CT62" i="45" a="1"/>
  <c r="CT62" i="45"/>
  <c r="CS62" i="45" a="1"/>
  <c r="CS62" i="45"/>
  <c r="CQ62" i="45" a="1"/>
  <c r="CQ62" i="45"/>
  <c r="CM62" i="45" a="1"/>
  <c r="CM62" i="45"/>
  <c r="CO62" i="45" a="1"/>
  <c r="CO62" i="45"/>
  <c r="CR62" i="45" a="1"/>
  <c r="CR62" i="45"/>
  <c r="CU62" i="45" a="1"/>
  <c r="CU62" i="45"/>
  <c r="CP43" i="45" a="1"/>
  <c r="CP43" i="45"/>
  <c r="CT43" i="45" a="1"/>
  <c r="CT43" i="45"/>
  <c r="CN43" i="45" a="1"/>
  <c r="CN43" i="45"/>
  <c r="CO43" i="45" a="1"/>
  <c r="CO43" i="45"/>
  <c r="CW43" i="45" a="1"/>
  <c r="CW43" i="45"/>
  <c r="CQ43" i="45" a="1"/>
  <c r="CQ43" i="45"/>
  <c r="CM43" i="45" a="1"/>
  <c r="CM43" i="45"/>
  <c r="CU43" i="45" a="1"/>
  <c r="CU43" i="45"/>
  <c r="CR43" i="45" a="1"/>
  <c r="CR43" i="45"/>
  <c r="CS43" i="45" a="1"/>
  <c r="CS43" i="45"/>
  <c r="CZ43" i="45" a="1"/>
  <c r="CZ43" i="45"/>
  <c r="CV43" i="45" a="1"/>
  <c r="CV43" i="45"/>
  <c r="CF48" i="45" a="1"/>
  <c r="CF48" i="45"/>
  <c r="CE48" i="45" a="1"/>
  <c r="CE48" i="45"/>
  <c r="CI48" i="45" a="1"/>
  <c r="CI48" i="45"/>
  <c r="CK48" i="45" a="1"/>
  <c r="CK48" i="45"/>
  <c r="CJ48" i="45" a="1"/>
  <c r="CJ48" i="45"/>
  <c r="CL48" i="45" a="1"/>
  <c r="CL48" i="45"/>
  <c r="CD48" i="45" a="1"/>
  <c r="CD48" i="45"/>
  <c r="CC48" i="45" a="1"/>
  <c r="CC48" i="45"/>
  <c r="CG48" i="45" a="1"/>
  <c r="CG48" i="45"/>
  <c r="CB48" i="45" a="1"/>
  <c r="CB48" i="45"/>
  <c r="CH48" i="45" a="1"/>
  <c r="CH48" i="45"/>
  <c r="DA43" i="45" a="1"/>
  <c r="DA43" i="45"/>
  <c r="DK43" i="45" a="1"/>
  <c r="DK43" i="45"/>
  <c r="DB43" i="45" a="1"/>
  <c r="DB43" i="45"/>
  <c r="DG43" i="45" a="1"/>
  <c r="DG43" i="45"/>
  <c r="DC43" i="45" a="1"/>
  <c r="DC43" i="45"/>
  <c r="DI43" i="45" a="1"/>
  <c r="DI43" i="45"/>
  <c r="DH43" i="45" a="1"/>
  <c r="DH43" i="45"/>
  <c r="DN43" i="45" a="1"/>
  <c r="DN43" i="45"/>
  <c r="DF43" i="45" a="1"/>
  <c r="DF43" i="45"/>
  <c r="DJ43" i="45" a="1"/>
  <c r="DJ43" i="45"/>
  <c r="DE43" i="45" a="1"/>
  <c r="DE43" i="45"/>
  <c r="DD43" i="45" a="1"/>
  <c r="DD43" i="45"/>
  <c r="DV53" i="45"/>
  <c r="CE40" i="45" a="1"/>
  <c r="CE40" i="45"/>
  <c r="CB40" i="45" a="1"/>
  <c r="CB40" i="45"/>
  <c r="CI40" i="45" a="1"/>
  <c r="CI40" i="45"/>
  <c r="CC40" i="45" a="1"/>
  <c r="CC40" i="45"/>
  <c r="CF40" i="45" a="1"/>
  <c r="CF40" i="45"/>
  <c r="CL40" i="45" a="1"/>
  <c r="CL40" i="45"/>
  <c r="CG40" i="45" a="1"/>
  <c r="CG40" i="45"/>
  <c r="CK40" i="45" a="1"/>
  <c r="CK40" i="45"/>
  <c r="CH40" i="45" a="1"/>
  <c r="CH40" i="45"/>
  <c r="CD40" i="45" a="1"/>
  <c r="CD40" i="45"/>
  <c r="CJ40" i="45" a="1"/>
  <c r="CJ40" i="45"/>
  <c r="CB44" i="45" a="1"/>
  <c r="CB44" i="45"/>
  <c r="CG44" i="45" a="1"/>
  <c r="CG44" i="45"/>
  <c r="CC44" i="45" a="1"/>
  <c r="CC44" i="45"/>
  <c r="CE44" i="45" a="1"/>
  <c r="CE44" i="45"/>
  <c r="CH44" i="45" a="1"/>
  <c r="CH44" i="45"/>
  <c r="CD44" i="45" a="1"/>
  <c r="CD44" i="45"/>
  <c r="CF44" i="45" a="1"/>
  <c r="CF44" i="45"/>
  <c r="CL44" i="45" a="1"/>
  <c r="CL44" i="45"/>
  <c r="CK44" i="45" a="1"/>
  <c r="CK44" i="45"/>
  <c r="CJ44" i="45" a="1"/>
  <c r="CJ44" i="45"/>
  <c r="CI44" i="45" a="1"/>
  <c r="CI44" i="45"/>
  <c r="CW33" i="45" a="1"/>
  <c r="CW33" i="45"/>
  <c r="CO33" i="45" a="1"/>
  <c r="CO33" i="45"/>
  <c r="CM33" i="45" a="1"/>
  <c r="CM33" i="45"/>
  <c r="CT33" i="45" a="1"/>
  <c r="CT33" i="45"/>
  <c r="CR33" i="45" a="1"/>
  <c r="CR33" i="45"/>
  <c r="CP33" i="45" a="1"/>
  <c r="CP33" i="45"/>
  <c r="CZ33" i="45" a="1"/>
  <c r="CZ33" i="45"/>
  <c r="CQ33" i="45" a="1"/>
  <c r="CQ33" i="45"/>
  <c r="CV33" i="45" a="1"/>
  <c r="CV33" i="45"/>
  <c r="CS33" i="45" a="1"/>
  <c r="CS33" i="45"/>
  <c r="CN33" i="45" a="1"/>
  <c r="CN33" i="45"/>
  <c r="CU33" i="45" a="1"/>
  <c r="CU33" i="45"/>
  <c r="DD55" i="45" a="1"/>
  <c r="DD55" i="45"/>
  <c r="DB55" i="45" a="1"/>
  <c r="DB55" i="45"/>
  <c r="DF55" i="45" a="1"/>
  <c r="DF55" i="45"/>
  <c r="DC55" i="45" a="1"/>
  <c r="DC55" i="45"/>
  <c r="DG55" i="45" a="1"/>
  <c r="DG55" i="45"/>
  <c r="DJ55" i="45" a="1"/>
  <c r="DJ55" i="45"/>
  <c r="DN55" i="45" a="1"/>
  <c r="DN55" i="45"/>
  <c r="DH55" i="45" a="1"/>
  <c r="DH55" i="45"/>
  <c r="DI55" i="45" a="1"/>
  <c r="DI55" i="45"/>
  <c r="DE55" i="45" a="1"/>
  <c r="DE55" i="45"/>
  <c r="DK55" i="45" a="1"/>
  <c r="DK55" i="45"/>
  <c r="BU59" i="45" a="1"/>
  <c r="BU59" i="45"/>
  <c r="BZ59" i="45" a="1"/>
  <c r="BZ59" i="45"/>
  <c r="BP59" i="45" a="1"/>
  <c r="BP59" i="45"/>
  <c r="BN59" i="45" a="1"/>
  <c r="BN59" i="45"/>
  <c r="BO59" i="45" a="1"/>
  <c r="BO59" i="45"/>
  <c r="BV59" i="45" a="1"/>
  <c r="BV59" i="45"/>
  <c r="BS59" i="45" a="1"/>
  <c r="BS59" i="45"/>
  <c r="BW59" i="45" a="1"/>
  <c r="BW59" i="45"/>
  <c r="BQ59" i="45" a="1"/>
  <c r="BQ59" i="45"/>
  <c r="BR59" i="45" a="1"/>
  <c r="BR59" i="45"/>
  <c r="BT59" i="45" a="1"/>
  <c r="BT59" i="45"/>
  <c r="BM52" i="45" a="1"/>
  <c r="BM52" i="45"/>
  <c r="BW52" i="45" a="1"/>
  <c r="BW52" i="45"/>
  <c r="BV52" i="45" a="1"/>
  <c r="BV52" i="45"/>
  <c r="BN52" i="45" a="1"/>
  <c r="BN52" i="45"/>
  <c r="BU52" i="45" a="1"/>
  <c r="BU52" i="45"/>
  <c r="BP52" i="45" a="1"/>
  <c r="BP52" i="45"/>
  <c r="BO52" i="45" a="1"/>
  <c r="BO52" i="45"/>
  <c r="BT52" i="45" a="1"/>
  <c r="BT52" i="45"/>
  <c r="BZ52" i="45" a="1"/>
  <c r="BZ52" i="45"/>
  <c r="BS52" i="45" a="1"/>
  <c r="BS52" i="45"/>
  <c r="BR52" i="45" a="1"/>
  <c r="BR52" i="45"/>
  <c r="BQ52" i="45" a="1"/>
  <c r="BQ52" i="45"/>
  <c r="DE45" i="45" a="1"/>
  <c r="DE45" i="45"/>
  <c r="DG45" i="45" a="1"/>
  <c r="DG45" i="45"/>
  <c r="DK45" i="45" a="1"/>
  <c r="DK45" i="45"/>
  <c r="DB45" i="45" a="1"/>
  <c r="DB45" i="45"/>
  <c r="DC45" i="45" a="1"/>
  <c r="DC45" i="45"/>
  <c r="DN45" i="45" a="1"/>
  <c r="DN45" i="45"/>
  <c r="DD45" i="45" a="1"/>
  <c r="DD45" i="45"/>
  <c r="DF45" i="45" a="1"/>
  <c r="DF45" i="45"/>
  <c r="DI45" i="45" a="1"/>
  <c r="DI45" i="45"/>
  <c r="DH45" i="45" a="1"/>
  <c r="DH45" i="45"/>
  <c r="DJ45" i="45" a="1"/>
  <c r="DJ45" i="45"/>
  <c r="DE34" i="45" a="1"/>
  <c r="DE34" i="45"/>
  <c r="DF34" i="45" a="1"/>
  <c r="DF34" i="45"/>
  <c r="DG34" i="45" a="1"/>
  <c r="DG34" i="45"/>
  <c r="DC34" i="45" a="1"/>
  <c r="DC34" i="45"/>
  <c r="DK34" i="45" a="1"/>
  <c r="DK34" i="45"/>
  <c r="DI34" i="45" a="1"/>
  <c r="DI34" i="45"/>
  <c r="DB34" i="45" a="1"/>
  <c r="DB34" i="45"/>
  <c r="DD34" i="45" a="1"/>
  <c r="DD34" i="45"/>
  <c r="DN34" i="45" a="1"/>
  <c r="DN34" i="45"/>
  <c r="DJ34" i="45" a="1"/>
  <c r="DJ34" i="45"/>
  <c r="DH34" i="45" a="1"/>
  <c r="DH34" i="45"/>
  <c r="CR47" i="45" a="1"/>
  <c r="CR47" i="45"/>
  <c r="CN47" i="45" a="1"/>
  <c r="CN47" i="45"/>
  <c r="CU47" i="45" a="1"/>
  <c r="CU47" i="45"/>
  <c r="CO47" i="45" a="1"/>
  <c r="CO47" i="45"/>
  <c r="CT47" i="45" a="1"/>
  <c r="CT47" i="45"/>
  <c r="CP47" i="45" a="1"/>
  <c r="CP47" i="45"/>
  <c r="CM47" i="45" a="1"/>
  <c r="CM47" i="45"/>
  <c r="CW47" i="45" a="1"/>
  <c r="CW47" i="45"/>
  <c r="CQ47" i="45" a="1"/>
  <c r="CQ47" i="45"/>
  <c r="CZ47" i="45" a="1"/>
  <c r="CZ47" i="45"/>
  <c r="CS47" i="45" a="1"/>
  <c r="CS47" i="45"/>
  <c r="CV47" i="45" a="1"/>
  <c r="CV47" i="45"/>
  <c r="CF60" i="45" a="1"/>
  <c r="CF60" i="45"/>
  <c r="CJ60" i="45" a="1"/>
  <c r="CJ60" i="45"/>
  <c r="CH60" i="45" a="1"/>
  <c r="CH60" i="45"/>
  <c r="CB60" i="45" a="1"/>
  <c r="CB60" i="45"/>
  <c r="CC60" i="45" a="1"/>
  <c r="CC60" i="45"/>
  <c r="CD60" i="45" a="1"/>
  <c r="CD60" i="45"/>
  <c r="CG60" i="45" a="1"/>
  <c r="CG60" i="45"/>
  <c r="CK60" i="45" a="1"/>
  <c r="CK60" i="45"/>
  <c r="CI60" i="45" a="1"/>
  <c r="CI60" i="45"/>
  <c r="CL60" i="45" a="1"/>
  <c r="CL60" i="45"/>
  <c r="CE60" i="45" a="1"/>
  <c r="CE60" i="45"/>
  <c r="BQ64" i="45" a="1"/>
  <c r="BQ64" i="45"/>
  <c r="BS64" i="45" a="1"/>
  <c r="BS64" i="45"/>
  <c r="BO64" i="45" a="1"/>
  <c r="BO64" i="45"/>
  <c r="BV64" i="45" a="1"/>
  <c r="BV64" i="45"/>
  <c r="BP64" i="45" a="1"/>
  <c r="BP64" i="45"/>
  <c r="BU64" i="45" a="1"/>
  <c r="BU64" i="45"/>
  <c r="BZ64" i="45" a="1"/>
  <c r="BZ64" i="45"/>
  <c r="BW64" i="45" a="1"/>
  <c r="BW64" i="45"/>
  <c r="BT64" i="45" a="1"/>
  <c r="BT64" i="45"/>
  <c r="BN64" i="45" a="1"/>
  <c r="BN64" i="45"/>
  <c r="BR64" i="45" a="1"/>
  <c r="BR64" i="45"/>
  <c r="CP36" i="45" a="1"/>
  <c r="CP36" i="45"/>
  <c r="CZ36" i="45" a="1"/>
  <c r="CZ36" i="45"/>
  <c r="CV36" i="45" a="1"/>
  <c r="CV36" i="45"/>
  <c r="CW36" i="45" a="1"/>
  <c r="CW36" i="45"/>
  <c r="CT36" i="45" a="1"/>
  <c r="CT36" i="45"/>
  <c r="CU36" i="45" a="1"/>
  <c r="CU36" i="45"/>
  <c r="CQ36" i="45" a="1"/>
  <c r="CQ36" i="45"/>
  <c r="CS36" i="45" a="1"/>
  <c r="CS36" i="45"/>
  <c r="CO36" i="45" a="1"/>
  <c r="CO36" i="45"/>
  <c r="CR36" i="45" a="1"/>
  <c r="CR36" i="45"/>
  <c r="CN36" i="45" a="1"/>
  <c r="CN36" i="45"/>
  <c r="CM36" i="45" a="1"/>
  <c r="CM36" i="45"/>
  <c r="CN39" i="45" a="1"/>
  <c r="CN39" i="45"/>
  <c r="CU39" i="45" a="1"/>
  <c r="CU39" i="45"/>
  <c r="CV39" i="45" a="1"/>
  <c r="CV39" i="45"/>
  <c r="CR39" i="45" a="1"/>
  <c r="CR39" i="45"/>
  <c r="CZ39" i="45" a="1"/>
  <c r="CZ39" i="45"/>
  <c r="CT39" i="45" a="1"/>
  <c r="CT39" i="45"/>
  <c r="CM39" i="45" a="1"/>
  <c r="CM39" i="45"/>
  <c r="CO39" i="45" a="1"/>
  <c r="CO39" i="45"/>
  <c r="CQ39" i="45" a="1"/>
  <c r="CQ39" i="45"/>
  <c r="CS39" i="45" a="1"/>
  <c r="CS39" i="45"/>
  <c r="CW39" i="45" a="1"/>
  <c r="CW39" i="45"/>
  <c r="CP39" i="45" a="1"/>
  <c r="CP39" i="45"/>
  <c r="DG54" i="45" a="1"/>
  <c r="DG54" i="45"/>
  <c r="DE54" i="45" a="1"/>
  <c r="DE54" i="45"/>
  <c r="DH54" i="45" a="1"/>
  <c r="DH54" i="45"/>
  <c r="DB54" i="45" a="1"/>
  <c r="DB54" i="45"/>
  <c r="DK54" i="45" a="1"/>
  <c r="DK54" i="45"/>
  <c r="DI54" i="45" a="1"/>
  <c r="DI54" i="45"/>
  <c r="DN54" i="45" a="1"/>
  <c r="DN54" i="45"/>
  <c r="DJ54" i="45" a="1"/>
  <c r="DJ54" i="45"/>
  <c r="DC54" i="45" a="1"/>
  <c r="DC54" i="45"/>
  <c r="DD54" i="45" a="1"/>
  <c r="DD54" i="45"/>
  <c r="DF54" i="45" a="1"/>
  <c r="DF54" i="45"/>
  <c r="CA52" i="45" a="1"/>
  <c r="CA52" i="45"/>
  <c r="CI52" i="45" a="1"/>
  <c r="CI52" i="45"/>
  <c r="CF52" i="45" a="1"/>
  <c r="CF52" i="45"/>
  <c r="CG52" i="45" a="1"/>
  <c r="CG52" i="45"/>
  <c r="CK52" i="45" a="1"/>
  <c r="CK52" i="45"/>
  <c r="CE52" i="45" a="1"/>
  <c r="CE52" i="45"/>
  <c r="CH52" i="45" a="1"/>
  <c r="CH52" i="45"/>
  <c r="CD52" i="45" a="1"/>
  <c r="CD52" i="45"/>
  <c r="CB52" i="45" a="1"/>
  <c r="CB52" i="45"/>
  <c r="CJ52" i="45" a="1"/>
  <c r="CJ52" i="45"/>
  <c r="CL52" i="45" a="1"/>
  <c r="CL52" i="45"/>
  <c r="CC52" i="45" a="1"/>
  <c r="CC52" i="45"/>
  <c r="BM37" i="45" a="1"/>
  <c r="BM37" i="45"/>
  <c r="BV37" i="45" a="1"/>
  <c r="BV37" i="45"/>
  <c r="BQ37" i="45" a="1"/>
  <c r="BQ37" i="45"/>
  <c r="BO37" i="45" a="1"/>
  <c r="BO37" i="45"/>
  <c r="BU37" i="45" a="1"/>
  <c r="BU37" i="45"/>
  <c r="BP37" i="45" a="1"/>
  <c r="BP37" i="45"/>
  <c r="BW37" i="45" a="1"/>
  <c r="BW37" i="45"/>
  <c r="BS37" i="45" a="1"/>
  <c r="BS37" i="45"/>
  <c r="BN37" i="45" a="1"/>
  <c r="BN37" i="45"/>
  <c r="BT37" i="45" a="1"/>
  <c r="BT37" i="45"/>
  <c r="BR37" i="45" a="1"/>
  <c r="BR37" i="45"/>
  <c r="BZ37" i="45" a="1"/>
  <c r="BZ37" i="45"/>
  <c r="DS63" i="45"/>
  <c r="DY58" i="45"/>
  <c r="DI40" i="45" a="1"/>
  <c r="DI40" i="45"/>
  <c r="DC40" i="45" a="1"/>
  <c r="DC40" i="45"/>
  <c r="DK40" i="45" a="1"/>
  <c r="DK40" i="45"/>
  <c r="DD40" i="45" a="1"/>
  <c r="DD40" i="45"/>
  <c r="DH40" i="45" a="1"/>
  <c r="DH40" i="45"/>
  <c r="DJ40" i="45" a="1"/>
  <c r="DJ40" i="45"/>
  <c r="DF40" i="45" a="1"/>
  <c r="DF40" i="45"/>
  <c r="DB40" i="45" a="1"/>
  <c r="DB40" i="45"/>
  <c r="DG40" i="45" a="1"/>
  <c r="DG40" i="45"/>
  <c r="DE40" i="45" a="1"/>
  <c r="DE40" i="45"/>
  <c r="DN40" i="45" a="1"/>
  <c r="DN40" i="45"/>
  <c r="DJ39" i="45" a="1"/>
  <c r="DJ39" i="45"/>
  <c r="DF39" i="45" a="1"/>
  <c r="DF39" i="45"/>
  <c r="DB39" i="45" a="1"/>
  <c r="DB39" i="45"/>
  <c r="DH39" i="45" a="1"/>
  <c r="DH39" i="45"/>
  <c r="DD39" i="45" a="1"/>
  <c r="DD39" i="45"/>
  <c r="DI39" i="45" a="1"/>
  <c r="DI39" i="45"/>
  <c r="DN39" i="45" a="1"/>
  <c r="DN39" i="45"/>
  <c r="DC39" i="45" a="1"/>
  <c r="DC39" i="45"/>
  <c r="DG39" i="45" a="1"/>
  <c r="DG39" i="45"/>
  <c r="DK39" i="45" a="1"/>
  <c r="DK39" i="45"/>
  <c r="DE39" i="45" a="1"/>
  <c r="DE39" i="45"/>
  <c r="DI33" i="45" a="1"/>
  <c r="DI33" i="45"/>
  <c r="DF33" i="45" a="1"/>
  <c r="DF33" i="45"/>
  <c r="DE33" i="45" a="1"/>
  <c r="DE33" i="45"/>
  <c r="DH33" i="45" a="1"/>
  <c r="DH33" i="45"/>
  <c r="DC33" i="45" a="1"/>
  <c r="DC33" i="45"/>
  <c r="DN33" i="45" a="1"/>
  <c r="DN33" i="45"/>
  <c r="DK33" i="45" a="1"/>
  <c r="DK33" i="45"/>
  <c r="DD33" i="45" a="1"/>
  <c r="DD33" i="45"/>
  <c r="DJ33" i="45" a="1"/>
  <c r="DJ33" i="45"/>
  <c r="DG33" i="45" a="1"/>
  <c r="DG33" i="45"/>
  <c r="DB33" i="45" a="1"/>
  <c r="DB33" i="45"/>
  <c r="BT55" i="45" a="1"/>
  <c r="BT55" i="45"/>
  <c r="BS55" i="45" a="1"/>
  <c r="BS55" i="45"/>
  <c r="BO55" i="45" a="1"/>
  <c r="BO55" i="45"/>
  <c r="BP55" i="45" a="1"/>
  <c r="BP55" i="45"/>
  <c r="BN55" i="45" a="1"/>
  <c r="BN55" i="45"/>
  <c r="BV55" i="45" a="1"/>
  <c r="BV55" i="45"/>
  <c r="BQ55" i="45" a="1"/>
  <c r="BQ55" i="45"/>
  <c r="BW55" i="45" a="1"/>
  <c r="BW55" i="45"/>
  <c r="BR55" i="45" a="1"/>
  <c r="BR55" i="45"/>
  <c r="BU55" i="45" a="1"/>
  <c r="BU55" i="45"/>
  <c r="BZ55" i="45" a="1"/>
  <c r="BZ55" i="45"/>
  <c r="CE59" i="45" a="1"/>
  <c r="CE59" i="45"/>
  <c r="CK59" i="45" a="1"/>
  <c r="CK59" i="45"/>
  <c r="CB59" i="45" a="1"/>
  <c r="CB59" i="45"/>
  <c r="CF59" i="45" a="1"/>
  <c r="CF59" i="45"/>
  <c r="CG59" i="45" a="1"/>
  <c r="CG59" i="45"/>
  <c r="CJ59" i="45" a="1"/>
  <c r="CJ59" i="45"/>
  <c r="CI59" i="45" a="1"/>
  <c r="CI59" i="45"/>
  <c r="CL59" i="45" a="1"/>
  <c r="CL59" i="45"/>
  <c r="CH59" i="45" a="1"/>
  <c r="CH59" i="45"/>
  <c r="CC59" i="45" a="1"/>
  <c r="CC59" i="45"/>
  <c r="CD59" i="45" a="1"/>
  <c r="CD59" i="45"/>
  <c r="DK61" i="45" a="1"/>
  <c r="DK61" i="45"/>
  <c r="DJ61" i="45" a="1"/>
  <c r="DJ61" i="45"/>
  <c r="DI61" i="45" a="1"/>
  <c r="DI61" i="45"/>
  <c r="DF61" i="45" a="1"/>
  <c r="DF61" i="45"/>
  <c r="DH61" i="45" a="1"/>
  <c r="DH61" i="45"/>
  <c r="DD61" i="45" a="1"/>
  <c r="DD61" i="45"/>
  <c r="DE61" i="45" a="1"/>
  <c r="DE61" i="45"/>
  <c r="DC61" i="45" a="1"/>
  <c r="DC61" i="45"/>
  <c r="DG61" i="45" a="1"/>
  <c r="DG61" i="45"/>
  <c r="DN61" i="45" a="1"/>
  <c r="DN61" i="45"/>
  <c r="DB61" i="45" a="1"/>
  <c r="DB61" i="45"/>
  <c r="BU43" i="45" a="1"/>
  <c r="BU43" i="45"/>
  <c r="BZ43" i="45" a="1"/>
  <c r="BZ43" i="45"/>
  <c r="BQ43" i="45" a="1"/>
  <c r="BQ43" i="45"/>
  <c r="BO43" i="45" a="1"/>
  <c r="BO43" i="45"/>
  <c r="BN43" i="45" a="1"/>
  <c r="BN43" i="45"/>
  <c r="BS43" i="45" a="1"/>
  <c r="BS43" i="45"/>
  <c r="BV43" i="45" a="1"/>
  <c r="BV43" i="45"/>
  <c r="BT43" i="45" a="1"/>
  <c r="BT43" i="45"/>
  <c r="BR43" i="45" a="1"/>
  <c r="BR43" i="45"/>
  <c r="BP43" i="45" a="1"/>
  <c r="BP43" i="45"/>
  <c r="BW43" i="45" a="1"/>
  <c r="BW43" i="45"/>
  <c r="DC41" i="45" a="1"/>
  <c r="DC41" i="45"/>
  <c r="DI41" i="45" a="1"/>
  <c r="DI41" i="45"/>
  <c r="DB41" i="45" a="1"/>
  <c r="DB41" i="45"/>
  <c r="DF41" i="45" a="1"/>
  <c r="DF41" i="45"/>
  <c r="DE41" i="45" a="1"/>
  <c r="DE41" i="45"/>
  <c r="DD41" i="45" a="1"/>
  <c r="DD41" i="45"/>
  <c r="DG41" i="45" a="1"/>
  <c r="DG41" i="45"/>
  <c r="DK41" i="45" a="1"/>
  <c r="DK41" i="45"/>
  <c r="DH41" i="45" a="1"/>
  <c r="DH41" i="45"/>
  <c r="DJ41" i="45" a="1"/>
  <c r="DJ41" i="45"/>
  <c r="DN41" i="45" a="1"/>
  <c r="DN41" i="45"/>
  <c r="BN38" i="45" a="1"/>
  <c r="BN38" i="45"/>
  <c r="BS38" i="45" a="1"/>
  <c r="BS38" i="45"/>
  <c r="BW38" i="45" a="1"/>
  <c r="BW38" i="45"/>
  <c r="BQ38" i="45" a="1"/>
  <c r="BQ38" i="45"/>
  <c r="BP38" i="45" a="1"/>
  <c r="BP38" i="45"/>
  <c r="BZ38" i="45" a="1"/>
  <c r="BZ38" i="45"/>
  <c r="BO38" i="45" a="1"/>
  <c r="BO38" i="45"/>
  <c r="BV38" i="45" a="1"/>
  <c r="BV38" i="45"/>
  <c r="BT38" i="45" a="1"/>
  <c r="BT38" i="45"/>
  <c r="BU38" i="45" a="1"/>
  <c r="BU38" i="45"/>
  <c r="BR38" i="45" a="1"/>
  <c r="BR38" i="45"/>
  <c r="BZ49" i="45" a="1"/>
  <c r="BZ49" i="45"/>
  <c r="BS49" i="45" a="1"/>
  <c r="BS49" i="45"/>
  <c r="BN49" i="45" a="1"/>
  <c r="BN49" i="45"/>
  <c r="BV49" i="45" a="1"/>
  <c r="BV49" i="45"/>
  <c r="BT49" i="45" a="1"/>
  <c r="BT49" i="45"/>
  <c r="BW49" i="45" a="1"/>
  <c r="BW49" i="45"/>
  <c r="BQ49" i="45" a="1"/>
  <c r="BQ49" i="45"/>
  <c r="BR49" i="45" a="1"/>
  <c r="BR49" i="45"/>
  <c r="BP49" i="45" a="1"/>
  <c r="BP49" i="45"/>
  <c r="BU49" i="45" a="1"/>
  <c r="BU49" i="45"/>
  <c r="BO49" i="45" a="1"/>
  <c r="BO49" i="45"/>
  <c r="CV61" i="45" a="1"/>
  <c r="CV61" i="45"/>
  <c r="CM61" i="45" a="1"/>
  <c r="CM61" i="45"/>
  <c r="CZ61" i="45" a="1"/>
  <c r="CZ61" i="45"/>
  <c r="CS61" i="45" a="1"/>
  <c r="CS61" i="45"/>
  <c r="CN61" i="45" a="1"/>
  <c r="CN61" i="45"/>
  <c r="CO61" i="45" a="1"/>
  <c r="CO61" i="45"/>
  <c r="CT61" i="45" a="1"/>
  <c r="CT61" i="45"/>
  <c r="CR61" i="45" a="1"/>
  <c r="CR61" i="45"/>
  <c r="CW61" i="45" a="1"/>
  <c r="CW61" i="45"/>
  <c r="CP61" i="45" a="1"/>
  <c r="CP61" i="45"/>
  <c r="CQ61" i="45" a="1"/>
  <c r="CQ61" i="45"/>
  <c r="CU61" i="45" a="1"/>
  <c r="CU61" i="45"/>
  <c r="BS45" i="45" a="1"/>
  <c r="BS45" i="45"/>
  <c r="BQ45" i="45" a="1"/>
  <c r="BQ45" i="45"/>
  <c r="BZ45" i="45" a="1"/>
  <c r="BZ45" i="45"/>
  <c r="BU45" i="45" a="1"/>
  <c r="BU45" i="45"/>
  <c r="BW45" i="45" a="1"/>
  <c r="BW45" i="45"/>
  <c r="BO45" i="45" a="1"/>
  <c r="BO45" i="45"/>
  <c r="BV45" i="45" a="1"/>
  <c r="BV45" i="45"/>
  <c r="BT45" i="45" a="1"/>
  <c r="BT45" i="45"/>
  <c r="BR45" i="45" a="1"/>
  <c r="BR45" i="45"/>
  <c r="BP45" i="45" a="1"/>
  <c r="BP45" i="45"/>
  <c r="BN45" i="45" a="1"/>
  <c r="BN45" i="45"/>
  <c r="CQ34" i="45" a="1"/>
  <c r="CQ34" i="45"/>
  <c r="CZ34" i="45" a="1"/>
  <c r="CZ34" i="45"/>
  <c r="CU34" i="45" a="1"/>
  <c r="CU34" i="45"/>
  <c r="CW34" i="45" a="1"/>
  <c r="CW34" i="45"/>
  <c r="CO34" i="45" a="1"/>
  <c r="CO34" i="45"/>
  <c r="CV34" i="45" a="1"/>
  <c r="CV34" i="45"/>
  <c r="CM34" i="45" a="1"/>
  <c r="CM34" i="45"/>
  <c r="CS34" i="45" a="1"/>
  <c r="CS34" i="45"/>
  <c r="CN34" i="45" a="1"/>
  <c r="CN34" i="45"/>
  <c r="CP34" i="45" a="1"/>
  <c r="CP34" i="45"/>
  <c r="CT34" i="45" a="1"/>
  <c r="CT34" i="45"/>
  <c r="CR34" i="45" a="1"/>
  <c r="CR34" i="45"/>
  <c r="CK47" i="45" a="1"/>
  <c r="CK47" i="45"/>
  <c r="CJ47" i="45" a="1"/>
  <c r="CJ47" i="45"/>
  <c r="CE47" i="45" a="1"/>
  <c r="CE47" i="45"/>
  <c r="CI47" i="45" a="1"/>
  <c r="CI47" i="45"/>
  <c r="CB47" i="45" a="1"/>
  <c r="CB47" i="45"/>
  <c r="CL47" i="45" a="1"/>
  <c r="CL47" i="45"/>
  <c r="CF47" i="45" a="1"/>
  <c r="CF47" i="45"/>
  <c r="CH47" i="45" a="1"/>
  <c r="CH47" i="45"/>
  <c r="CC47" i="45" a="1"/>
  <c r="CC47" i="45"/>
  <c r="CG47" i="45" a="1"/>
  <c r="CG47" i="45"/>
  <c r="CD47" i="45" a="1"/>
  <c r="CD47" i="45"/>
  <c r="DG60" i="45" a="1"/>
  <c r="DG60" i="45"/>
  <c r="DJ60" i="45" a="1"/>
  <c r="DJ60" i="45"/>
  <c r="DK60" i="45" a="1"/>
  <c r="DK60" i="45"/>
  <c r="DC60" i="45" a="1"/>
  <c r="DC60" i="45"/>
  <c r="DI60" i="45" a="1"/>
  <c r="DI60" i="45"/>
  <c r="DB60" i="45" a="1"/>
  <c r="DB60" i="45"/>
  <c r="DF60" i="45" a="1"/>
  <c r="DF60" i="45"/>
  <c r="DH60" i="45" a="1"/>
  <c r="DH60" i="45"/>
  <c r="DD60" i="45" a="1"/>
  <c r="DD60" i="45"/>
  <c r="DE60" i="45" a="1"/>
  <c r="DE60" i="45"/>
  <c r="DN60" i="45" a="1"/>
  <c r="DN60" i="45"/>
  <c r="DK64" i="45" a="1"/>
  <c r="DK64" i="45"/>
  <c r="DC64" i="45" a="1"/>
  <c r="DC64" i="45"/>
  <c r="DI64" i="45" a="1"/>
  <c r="DI64" i="45"/>
  <c r="DN64" i="45" a="1"/>
  <c r="DN64" i="45"/>
  <c r="DD64" i="45" a="1"/>
  <c r="DD64" i="45"/>
  <c r="DB64" i="45" a="1"/>
  <c r="DB64" i="45"/>
  <c r="DE64" i="45" a="1"/>
  <c r="DE64" i="45"/>
  <c r="DJ64" i="45" a="1"/>
  <c r="DJ64" i="45"/>
  <c r="DG64" i="45" a="1"/>
  <c r="DG64" i="45"/>
  <c r="DH64" i="45" a="1"/>
  <c r="DH64" i="45"/>
  <c r="DF64" i="45" a="1"/>
  <c r="DF64" i="45"/>
  <c r="DG36" i="45" a="1"/>
  <c r="DG36" i="45"/>
  <c r="DK36" i="45" a="1"/>
  <c r="DK36" i="45"/>
  <c r="DI36" i="45" a="1"/>
  <c r="DI36" i="45"/>
  <c r="DB36" i="45" a="1"/>
  <c r="DB36" i="45"/>
  <c r="DJ36" i="45" a="1"/>
  <c r="DJ36" i="45"/>
  <c r="DN36" i="45" a="1"/>
  <c r="DN36" i="45"/>
  <c r="DC36" i="45" a="1"/>
  <c r="DC36" i="45"/>
  <c r="DE36" i="45" a="1"/>
  <c r="DE36" i="45"/>
  <c r="DF36" i="45" a="1"/>
  <c r="DF36" i="45"/>
  <c r="DD36" i="45" a="1"/>
  <c r="DD36" i="45"/>
  <c r="DH36" i="45" a="1"/>
  <c r="DH36" i="45"/>
  <c r="DK48" i="45" a="1"/>
  <c r="DK48" i="45"/>
  <c r="DB48" i="45" a="1"/>
  <c r="DB48" i="45"/>
  <c r="DE48" i="45" a="1"/>
  <c r="DE48" i="45"/>
  <c r="DD48" i="45" a="1"/>
  <c r="DD48" i="45"/>
  <c r="DN48" i="45" a="1"/>
  <c r="DN48" i="45"/>
  <c r="DI48" i="45" a="1"/>
  <c r="DI48" i="45"/>
  <c r="DJ48" i="45" a="1"/>
  <c r="DJ48" i="45"/>
  <c r="DH48" i="45" a="1"/>
  <c r="DH48" i="45"/>
  <c r="DG48" i="45" a="1"/>
  <c r="DG48" i="45"/>
  <c r="DC48" i="45" a="1"/>
  <c r="DC48" i="45"/>
  <c r="DF48" i="45" a="1"/>
  <c r="DF48" i="45"/>
  <c r="CO52" i="45" a="1"/>
  <c r="CO52" i="45"/>
  <c r="CR52" i="45" a="1"/>
  <c r="CR52" i="45"/>
  <c r="CN52" i="45" a="1"/>
  <c r="CN52" i="45"/>
  <c r="CP52" i="45" a="1"/>
  <c r="CP52" i="45"/>
  <c r="CQ52" i="45" a="1"/>
  <c r="CQ52" i="45"/>
  <c r="CW52" i="45" a="1"/>
  <c r="CW52" i="45"/>
  <c r="CZ52" i="45" a="1"/>
  <c r="CZ52" i="45"/>
  <c r="CT52" i="45" a="1"/>
  <c r="CT52" i="45"/>
  <c r="CS52" i="45" a="1"/>
  <c r="CS52" i="45"/>
  <c r="CV52" i="45" a="1"/>
  <c r="CV52" i="45"/>
  <c r="CM52" i="45" a="1"/>
  <c r="CM52" i="45"/>
  <c r="CU52" i="45" a="1"/>
  <c r="CU52" i="45"/>
  <c r="BN57" i="45" a="1"/>
  <c r="BN57" i="45"/>
  <c r="BW57" i="45" a="1"/>
  <c r="BW57" i="45"/>
  <c r="BO57" i="45" a="1"/>
  <c r="BO57" i="45"/>
  <c r="BR57" i="45" a="1"/>
  <c r="BR57" i="45"/>
  <c r="BP57" i="45" a="1"/>
  <c r="BP57" i="45"/>
  <c r="BQ57" i="45" a="1"/>
  <c r="BQ57" i="45"/>
  <c r="BV57" i="45" a="1"/>
  <c r="BV57" i="45"/>
  <c r="BS57" i="45" a="1"/>
  <c r="BS57" i="45"/>
  <c r="BU57" i="45" a="1"/>
  <c r="BU57" i="45"/>
  <c r="BT57" i="45" a="1"/>
  <c r="BT57" i="45"/>
  <c r="BZ57" i="45" a="1"/>
  <c r="BZ57" i="45"/>
  <c r="DI62" i="45" a="1"/>
  <c r="DI62" i="45"/>
  <c r="DF62" i="45" a="1"/>
  <c r="DF62" i="45"/>
  <c r="DC62" i="45" a="1"/>
  <c r="DC62" i="45"/>
  <c r="DB62" i="45" a="1"/>
  <c r="DB62" i="45"/>
  <c r="DJ62" i="45" a="1"/>
  <c r="DJ62" i="45"/>
  <c r="DG62" i="45" a="1"/>
  <c r="DG62" i="45"/>
  <c r="DD62" i="45" a="1"/>
  <c r="DD62" i="45"/>
  <c r="DH62" i="45" a="1"/>
  <c r="DH62" i="45"/>
  <c r="DK62" i="45" a="1"/>
  <c r="DK62" i="45"/>
  <c r="DN62" i="45" a="1"/>
  <c r="DN62" i="45"/>
  <c r="DE62" i="45" a="1"/>
  <c r="DE62" i="45"/>
  <c r="BR41" i="45" a="1"/>
  <c r="BR41" i="45"/>
  <c r="BN41" i="45" a="1"/>
  <c r="BN41" i="45"/>
  <c r="BT41" i="45" a="1"/>
  <c r="BT41" i="45"/>
  <c r="BS41" i="45" a="1"/>
  <c r="BS41" i="45"/>
  <c r="BV41" i="45" a="1"/>
  <c r="BV41" i="45"/>
  <c r="BZ41" i="45" a="1"/>
  <c r="BZ41" i="45"/>
  <c r="BU41" i="45" a="1"/>
  <c r="BU41" i="45"/>
  <c r="BP41" i="45" a="1"/>
  <c r="BP41" i="45"/>
  <c r="BW41" i="45" a="1"/>
  <c r="BW41" i="45"/>
  <c r="BQ41" i="45" a="1"/>
  <c r="BQ41" i="45"/>
  <c r="BO41" i="45" a="1"/>
  <c r="BO41" i="45"/>
  <c r="CF38" i="45" a="1"/>
  <c r="CF38" i="45"/>
  <c r="CJ38" i="45" a="1"/>
  <c r="CJ38" i="45"/>
  <c r="CD38" i="45" a="1"/>
  <c r="CD38" i="45"/>
  <c r="CL38" i="45" a="1"/>
  <c r="CL38" i="45"/>
  <c r="CG38" i="45" a="1"/>
  <c r="CG38" i="45"/>
  <c r="CC38" i="45" a="1"/>
  <c r="CC38" i="45"/>
  <c r="CH38" i="45" a="1"/>
  <c r="CH38" i="45"/>
  <c r="CK38" i="45" a="1"/>
  <c r="CK38" i="45"/>
  <c r="CB38" i="45" a="1"/>
  <c r="CB38" i="45"/>
  <c r="CE38" i="45" a="1"/>
  <c r="CE38" i="45"/>
  <c r="CI38" i="45" a="1"/>
  <c r="CI38" i="45"/>
  <c r="DD49" i="45" a="1"/>
  <c r="DD49" i="45"/>
  <c r="DJ49" i="45" a="1"/>
  <c r="DJ49" i="45"/>
  <c r="DI49" i="45" a="1"/>
  <c r="DI49" i="45"/>
  <c r="DG49" i="45" a="1"/>
  <c r="DG49" i="45"/>
  <c r="DF49" i="45" a="1"/>
  <c r="DF49" i="45"/>
  <c r="DE49" i="45" a="1"/>
  <c r="DE49" i="45"/>
  <c r="DN49" i="45" a="1"/>
  <c r="DN49" i="45"/>
  <c r="DK49" i="45" a="1"/>
  <c r="DK49" i="45"/>
  <c r="DB49" i="45" a="1"/>
  <c r="DB49" i="45"/>
  <c r="DH49" i="45" a="1"/>
  <c r="DH49" i="45"/>
  <c r="DC49" i="45" a="1"/>
  <c r="DC49" i="45"/>
  <c r="DN44" i="45" a="1"/>
  <c r="DN44" i="45"/>
  <c r="DD44" i="45" a="1"/>
  <c r="DD44" i="45"/>
  <c r="DG44" i="45" a="1"/>
  <c r="DG44" i="45"/>
  <c r="DK44" i="45" a="1"/>
  <c r="DK44" i="45"/>
  <c r="DI44" i="45" a="1"/>
  <c r="DI44" i="45"/>
  <c r="DF44" i="45" a="1"/>
  <c r="DF44" i="45"/>
  <c r="DJ44" i="45" a="1"/>
  <c r="DJ44" i="45"/>
  <c r="DC44" i="45" a="1"/>
  <c r="DC44" i="45"/>
  <c r="DE44" i="45" a="1"/>
  <c r="DE44" i="45"/>
  <c r="DH44" i="45" a="1"/>
  <c r="DH44" i="45"/>
  <c r="DB44" i="45" a="1"/>
  <c r="DB44" i="45"/>
  <c r="CH45" i="45" a="1"/>
  <c r="CH45" i="45"/>
  <c r="CI45" i="45" a="1"/>
  <c r="CI45" i="45"/>
  <c r="CE45" i="45" a="1"/>
  <c r="CE45" i="45"/>
  <c r="CC45" i="45" a="1"/>
  <c r="CC45" i="45"/>
  <c r="CD45" i="45" a="1"/>
  <c r="CD45" i="45"/>
  <c r="CF45" i="45" a="1"/>
  <c r="CF45" i="45"/>
  <c r="CL45" i="45" a="1"/>
  <c r="CL45" i="45"/>
  <c r="CG45" i="45" a="1"/>
  <c r="CG45" i="45"/>
  <c r="CJ45" i="45" a="1"/>
  <c r="CJ45" i="45"/>
  <c r="CK45" i="45" a="1"/>
  <c r="CK45" i="45"/>
  <c r="CB45" i="45" a="1"/>
  <c r="CB45" i="45"/>
  <c r="BS42" i="45" a="1"/>
  <c r="BS42" i="45"/>
  <c r="BW42" i="45" a="1"/>
  <c r="BW42" i="45"/>
  <c r="BO42" i="45" a="1"/>
  <c r="BO42" i="45"/>
  <c r="BZ42" i="45" a="1"/>
  <c r="BZ42" i="45"/>
  <c r="BN42" i="45" a="1"/>
  <c r="BN42" i="45"/>
  <c r="BP42" i="45" a="1"/>
  <c r="BP42" i="45"/>
  <c r="BV42" i="45" a="1"/>
  <c r="BV42" i="45"/>
  <c r="BT42" i="45" a="1"/>
  <c r="BT42" i="45"/>
  <c r="BQ42" i="45" a="1"/>
  <c r="BQ42" i="45"/>
  <c r="BR42" i="45" a="1"/>
  <c r="BR42" i="45"/>
  <c r="BU42" i="45" a="1"/>
  <c r="BU42" i="45"/>
  <c r="DJ47" i="45" a="1"/>
  <c r="DJ47" i="45"/>
  <c r="DC47" i="45" a="1"/>
  <c r="DC47" i="45"/>
  <c r="DB47" i="45" a="1"/>
  <c r="DB47" i="45"/>
  <c r="DN47" i="45" a="1"/>
  <c r="DN47" i="45"/>
  <c r="DI47" i="45" a="1"/>
  <c r="DI47" i="45"/>
  <c r="DG47" i="45" a="1"/>
  <c r="DG47" i="45"/>
  <c r="DK47" i="45" a="1"/>
  <c r="DK47" i="45"/>
  <c r="DF47" i="45" a="1"/>
  <c r="DF47" i="45"/>
  <c r="DH47" i="45" a="1"/>
  <c r="DH47" i="45"/>
  <c r="DE47" i="45" a="1"/>
  <c r="DE47" i="45"/>
  <c r="DD47" i="45" a="1"/>
  <c r="DD47" i="45"/>
  <c r="BV60" i="45" a="1"/>
  <c r="BV60" i="45"/>
  <c r="BQ60" i="45" a="1"/>
  <c r="BQ60" i="45"/>
  <c r="BS60" i="45" a="1"/>
  <c r="BS60" i="45"/>
  <c r="BZ60" i="45" a="1"/>
  <c r="BZ60" i="45"/>
  <c r="BP60" i="45" a="1"/>
  <c r="BP60" i="45"/>
  <c r="BW60" i="45" a="1"/>
  <c r="BW60" i="45"/>
  <c r="BO60" i="45" a="1"/>
  <c r="BO60" i="45"/>
  <c r="BN60" i="45" a="1"/>
  <c r="BN60" i="45"/>
  <c r="BR60" i="45" a="1"/>
  <c r="BR60" i="45"/>
  <c r="BU60" i="45" a="1"/>
  <c r="BU60" i="45"/>
  <c r="BT60" i="45" a="1"/>
  <c r="BT60" i="45"/>
  <c r="CO64" i="45" a="1"/>
  <c r="CO64" i="45"/>
  <c r="CP64" i="45" a="1"/>
  <c r="CP64" i="45"/>
  <c r="CN64" i="45" a="1"/>
  <c r="CN64" i="45"/>
  <c r="CU64" i="45" a="1"/>
  <c r="CU64" i="45"/>
  <c r="CZ64" i="45" a="1"/>
  <c r="CZ64" i="45"/>
  <c r="CW64" i="45" a="1"/>
  <c r="CW64" i="45"/>
  <c r="CS64" i="45" a="1"/>
  <c r="CS64" i="45"/>
  <c r="CQ64" i="45" a="1"/>
  <c r="CQ64" i="45"/>
  <c r="CM64" i="45" a="1"/>
  <c r="CM64" i="45"/>
  <c r="CR64" i="45" a="1"/>
  <c r="CR64" i="45"/>
  <c r="CV64" i="45" a="1"/>
  <c r="CV64" i="45"/>
  <c r="CT64" i="45" a="1"/>
  <c r="CT64" i="45"/>
  <c r="CJ36" i="45" a="1"/>
  <c r="CJ36" i="45"/>
  <c r="CE36" i="45" a="1"/>
  <c r="CE36" i="45"/>
  <c r="CL36" i="45" a="1"/>
  <c r="CL36" i="45"/>
  <c r="CK36" i="45" a="1"/>
  <c r="CK36" i="45"/>
  <c r="CD36" i="45" a="1"/>
  <c r="CD36" i="45"/>
  <c r="CF36" i="45" a="1"/>
  <c r="CF36" i="45"/>
  <c r="CI36" i="45" a="1"/>
  <c r="CI36" i="45"/>
  <c r="CC36" i="45" a="1"/>
  <c r="CC36" i="45"/>
  <c r="CH36" i="45" a="1"/>
  <c r="CH36" i="45"/>
  <c r="CB36" i="45" a="1"/>
  <c r="CB36" i="45"/>
  <c r="CG36" i="45" a="1"/>
  <c r="CG36" i="45"/>
  <c r="BT44" i="45" a="1"/>
  <c r="BT44" i="45"/>
  <c r="BO44" i="45" a="1"/>
  <c r="BO44" i="45"/>
  <c r="BV44" i="45" a="1"/>
  <c r="BV44" i="45"/>
  <c r="BP44" i="45" a="1"/>
  <c r="BP44" i="45"/>
  <c r="BS44" i="45" a="1"/>
  <c r="BS44" i="45"/>
  <c r="BW44" i="45" a="1"/>
  <c r="BW44" i="45"/>
  <c r="BU44" i="45" a="1"/>
  <c r="BU44" i="45"/>
  <c r="BR44" i="45" a="1"/>
  <c r="BR44" i="45"/>
  <c r="BZ44" i="45" a="1"/>
  <c r="BZ44" i="45"/>
  <c r="BQ44" i="45" a="1"/>
  <c r="BQ44" i="45"/>
  <c r="BN44" i="45" a="1"/>
  <c r="BN44" i="45"/>
  <c r="BV48" i="45" a="1"/>
  <c r="BV48" i="45"/>
  <c r="BO48" i="45" a="1"/>
  <c r="BO48" i="45"/>
  <c r="BR48" i="45" a="1"/>
  <c r="BR48" i="45"/>
  <c r="BW48" i="45" a="1"/>
  <c r="BW48" i="45"/>
  <c r="BP48" i="45" a="1"/>
  <c r="BP48" i="45"/>
  <c r="BN48" i="45" a="1"/>
  <c r="BN48" i="45"/>
  <c r="BT48" i="45" a="1"/>
  <c r="BT48" i="45"/>
  <c r="BZ48" i="45" a="1"/>
  <c r="BZ48" i="45"/>
  <c r="BQ48" i="45" a="1"/>
  <c r="BQ48" i="45"/>
  <c r="BU48" i="45" a="1"/>
  <c r="BU48" i="45"/>
  <c r="BS48" i="45" a="1"/>
  <c r="BS48" i="45"/>
  <c r="BP35" i="45" a="1"/>
  <c r="BP35" i="45"/>
  <c r="BS35" i="45" a="1"/>
  <c r="BS35" i="45"/>
  <c r="BO35" i="45" a="1"/>
  <c r="BO35" i="45"/>
  <c r="BU35" i="45" a="1"/>
  <c r="BU35" i="45"/>
  <c r="BZ35" i="45" a="1"/>
  <c r="BZ35" i="45"/>
  <c r="BW35" i="45" a="1"/>
  <c r="BW35" i="45"/>
  <c r="BT35" i="45" a="1"/>
  <c r="BT35" i="45"/>
  <c r="BN35" i="45" a="1"/>
  <c r="BN35" i="45"/>
  <c r="BR35" i="45" a="1"/>
  <c r="BR35" i="45"/>
  <c r="BV35" i="45" a="1"/>
  <c r="BV35" i="45"/>
  <c r="BQ35" i="45" a="1"/>
  <c r="BQ35" i="45"/>
  <c r="CE42" i="45" a="1"/>
  <c r="CE42" i="45"/>
  <c r="CF42" i="45" a="1"/>
  <c r="CF42" i="45"/>
  <c r="CB42" i="45" a="1"/>
  <c r="CB42" i="45"/>
  <c r="CC42" i="45" a="1"/>
  <c r="CC42" i="45"/>
  <c r="CK42" i="45" a="1"/>
  <c r="CK42" i="45"/>
  <c r="CD42" i="45" a="1"/>
  <c r="CD42" i="45"/>
  <c r="CL42" i="45" a="1"/>
  <c r="CL42" i="45"/>
  <c r="CJ42" i="45" a="1"/>
  <c r="CJ42" i="45"/>
  <c r="CH42" i="45" a="1"/>
  <c r="CH42" i="45"/>
  <c r="CG42" i="45" a="1"/>
  <c r="CG42" i="45"/>
  <c r="CI42" i="45" a="1"/>
  <c r="CI42" i="45"/>
  <c r="BP56" i="45" a="1"/>
  <c r="BP56" i="45"/>
  <c r="BT56" i="45" a="1"/>
  <c r="BT56" i="45"/>
  <c r="BU56" i="45" a="1"/>
  <c r="BU56" i="45"/>
  <c r="BS56" i="45" a="1"/>
  <c r="BS56" i="45"/>
  <c r="BZ56" i="45" a="1"/>
  <c r="BZ56" i="45"/>
  <c r="BV56" i="45" a="1"/>
  <c r="BV56" i="45"/>
  <c r="BW56" i="45" a="1"/>
  <c r="BW56" i="45"/>
  <c r="BN56" i="45" a="1"/>
  <c r="BN56" i="45"/>
  <c r="BO56" i="45" a="1"/>
  <c r="BO56" i="45"/>
  <c r="BQ56" i="45" a="1"/>
  <c r="BQ56" i="45"/>
  <c r="BR56" i="45" a="1"/>
  <c r="BR56" i="45"/>
  <c r="CP40" i="45" a="1"/>
  <c r="CP40" i="45"/>
  <c r="CQ40" i="45" a="1"/>
  <c r="CQ40" i="45"/>
  <c r="CN40" i="45" a="1"/>
  <c r="CN40" i="45"/>
  <c r="CO40" i="45" a="1"/>
  <c r="CO40" i="45"/>
  <c r="CW40" i="45" a="1"/>
  <c r="CW40" i="45"/>
  <c r="CS40" i="45" a="1"/>
  <c r="CS40" i="45"/>
  <c r="CT40" i="45" a="1"/>
  <c r="CT40" i="45"/>
  <c r="CV40" i="45" a="1"/>
  <c r="CV40" i="45"/>
  <c r="CM40" i="45" a="1"/>
  <c r="CM40" i="45"/>
  <c r="CU40" i="45" a="1"/>
  <c r="CU40" i="45"/>
  <c r="CR40" i="45" a="1"/>
  <c r="CR40" i="45"/>
  <c r="CZ40" i="45" a="1"/>
  <c r="CZ40" i="45"/>
  <c r="BO33" i="45" a="1"/>
  <c r="BO33" i="45"/>
  <c r="BS33" i="45" a="1"/>
  <c r="BS33" i="45"/>
  <c r="BP33" i="45" a="1"/>
  <c r="BP33" i="45"/>
  <c r="BN33" i="45" a="1"/>
  <c r="BN33" i="45"/>
  <c r="BU33" i="45" a="1"/>
  <c r="BU33" i="45"/>
  <c r="BV33" i="45" a="1"/>
  <c r="BV33" i="45"/>
  <c r="BR33" i="45" a="1"/>
  <c r="BR33" i="45"/>
  <c r="BT33" i="45" a="1"/>
  <c r="BT33" i="45"/>
  <c r="BZ33" i="45" a="1"/>
  <c r="BZ33" i="45"/>
  <c r="BW33" i="45" a="1"/>
  <c r="BW33" i="45"/>
  <c r="BQ33" i="45" a="1"/>
  <c r="BQ33" i="45"/>
  <c r="CU55" i="45" a="1"/>
  <c r="CU55" i="45"/>
  <c r="CT55" i="45" a="1"/>
  <c r="CT55" i="45"/>
  <c r="CV55" i="45" a="1"/>
  <c r="CV55" i="45"/>
  <c r="CQ55" i="45" a="1"/>
  <c r="CQ55" i="45"/>
  <c r="CM55" i="45" a="1"/>
  <c r="CM55" i="45"/>
  <c r="CS55" i="45" a="1"/>
  <c r="CS55" i="45"/>
  <c r="CO55" i="45" a="1"/>
  <c r="CO55" i="45"/>
  <c r="CZ55" i="45" a="1"/>
  <c r="CZ55" i="45"/>
  <c r="CW55" i="45" a="1"/>
  <c r="CW55" i="45"/>
  <c r="CR55" i="45" a="1"/>
  <c r="CR55" i="45"/>
  <c r="CN55" i="45" a="1"/>
  <c r="CN55" i="45"/>
  <c r="CP55" i="45" a="1"/>
  <c r="CP55" i="45"/>
  <c r="DI59" i="45" a="1"/>
  <c r="DI59" i="45"/>
  <c r="DK59" i="45" a="1"/>
  <c r="DK59" i="45"/>
  <c r="DC59" i="45" a="1"/>
  <c r="DC59" i="45"/>
  <c r="DB59" i="45" a="1"/>
  <c r="DB59" i="45"/>
  <c r="DH59" i="45" a="1"/>
  <c r="DH59" i="45"/>
  <c r="DN59" i="45" a="1"/>
  <c r="DN59" i="45"/>
  <c r="DG59" i="45" a="1"/>
  <c r="DG59" i="45"/>
  <c r="DD59" i="45" a="1"/>
  <c r="DD59" i="45"/>
  <c r="DJ59" i="45" a="1"/>
  <c r="DJ59" i="45"/>
  <c r="DF59" i="45" a="1"/>
  <c r="DF59" i="45"/>
  <c r="DE59" i="45" a="1"/>
  <c r="DE59" i="45"/>
  <c r="CN50" i="45" a="1"/>
  <c r="CN50" i="45"/>
  <c r="CT50" i="45" a="1"/>
  <c r="CT50" i="45"/>
  <c r="CM50" i="45" a="1"/>
  <c r="CM50" i="45"/>
  <c r="CW50" i="45" a="1"/>
  <c r="CW50" i="45"/>
  <c r="CZ50" i="45" a="1"/>
  <c r="CZ50" i="45"/>
  <c r="CU50" i="45" a="1"/>
  <c r="CU50" i="45"/>
  <c r="CR50" i="45" a="1"/>
  <c r="CR50" i="45"/>
  <c r="CV50" i="45" a="1"/>
  <c r="CV50" i="45"/>
  <c r="CP50" i="45" a="1"/>
  <c r="CP50" i="45"/>
  <c r="CS50" i="45" a="1"/>
  <c r="CS50" i="45"/>
  <c r="CQ50" i="45" a="1"/>
  <c r="CQ50" i="45"/>
  <c r="CO50" i="45" a="1"/>
  <c r="CO50" i="45"/>
  <c r="BU61" i="45" a="1"/>
  <c r="BU61" i="45"/>
  <c r="BQ61" i="45" a="1"/>
  <c r="BQ61" i="45"/>
  <c r="BZ61" i="45" a="1"/>
  <c r="BZ61" i="45"/>
  <c r="BR61" i="45" a="1"/>
  <c r="BR61" i="45"/>
  <c r="BT61" i="45" a="1"/>
  <c r="BT61" i="45"/>
  <c r="BN61" i="45" a="1"/>
  <c r="BN61" i="45"/>
  <c r="BO61" i="45" a="1"/>
  <c r="BO61" i="45"/>
  <c r="BP61" i="45" a="1"/>
  <c r="BP61" i="45"/>
  <c r="BV61" i="45" a="1"/>
  <c r="BV61" i="45"/>
  <c r="BW61" i="45" a="1"/>
  <c r="BW61" i="45"/>
  <c r="BS61" i="45" a="1"/>
  <c r="BS61" i="45"/>
  <c r="CK41" i="45" a="1"/>
  <c r="CK41" i="45"/>
  <c r="CF41" i="45" a="1"/>
  <c r="CF41" i="45"/>
  <c r="CG41" i="45" a="1"/>
  <c r="CG41" i="45"/>
  <c r="CB41" i="45" a="1"/>
  <c r="CB41" i="45"/>
  <c r="CJ41" i="45" a="1"/>
  <c r="CJ41" i="45"/>
  <c r="CE41" i="45" a="1"/>
  <c r="CE41" i="45"/>
  <c r="CC41" i="45" a="1"/>
  <c r="CC41" i="45"/>
  <c r="CH41" i="45" a="1"/>
  <c r="CH41" i="45"/>
  <c r="CD41" i="45" a="1"/>
  <c r="CD41" i="45"/>
  <c r="CL41" i="45" a="1"/>
  <c r="CL41" i="45"/>
  <c r="CI41" i="45" a="1"/>
  <c r="CI41" i="45"/>
  <c r="CN38" i="45" a="1"/>
  <c r="CN38" i="45"/>
  <c r="CQ38" i="45" a="1"/>
  <c r="CQ38" i="45"/>
  <c r="CU38" i="45" a="1"/>
  <c r="CU38" i="45"/>
  <c r="CO38" i="45" a="1"/>
  <c r="CO38" i="45"/>
  <c r="CR38" i="45" a="1"/>
  <c r="CR38" i="45"/>
  <c r="CZ38" i="45" a="1"/>
  <c r="CZ38" i="45"/>
  <c r="CV38" i="45" a="1"/>
  <c r="CV38" i="45"/>
  <c r="CM38" i="45" a="1"/>
  <c r="CM38" i="45"/>
  <c r="CT38" i="45" a="1"/>
  <c r="CT38" i="45"/>
  <c r="CP38" i="45" a="1"/>
  <c r="CP38" i="45"/>
  <c r="CS38" i="45" a="1"/>
  <c r="CS38" i="45"/>
  <c r="CW38" i="45" a="1"/>
  <c r="CW38" i="45"/>
  <c r="CC49" i="45" a="1"/>
  <c r="CC49" i="45"/>
  <c r="CH49" i="45" a="1"/>
  <c r="CH49" i="45"/>
  <c r="CI49" i="45" a="1"/>
  <c r="CI49" i="45"/>
  <c r="CD49" i="45" a="1"/>
  <c r="CD49" i="45"/>
  <c r="CL49" i="45" a="1"/>
  <c r="CL49" i="45"/>
  <c r="CJ49" i="45" a="1"/>
  <c r="CJ49" i="45"/>
  <c r="CE49" i="45" a="1"/>
  <c r="CE49" i="45"/>
  <c r="CF49" i="45" a="1"/>
  <c r="CF49" i="45"/>
  <c r="CB49" i="45" a="1"/>
  <c r="CB49" i="45"/>
  <c r="CK49" i="45" a="1"/>
  <c r="CK49" i="45"/>
  <c r="CG49" i="45" a="1"/>
  <c r="CG49" i="45"/>
  <c r="CK51" i="45" a="1"/>
  <c r="CK51" i="45"/>
  <c r="CB51" i="45" a="1"/>
  <c r="CB51" i="45"/>
  <c r="CG51" i="45" a="1"/>
  <c r="CG51" i="45"/>
  <c r="CF51" i="45" a="1"/>
  <c r="CF51" i="45"/>
  <c r="CH51" i="45" a="1"/>
  <c r="CH51" i="45"/>
  <c r="CD51" i="45" a="1"/>
  <c r="CD51" i="45"/>
  <c r="CC51" i="45" a="1"/>
  <c r="CC51" i="45"/>
  <c r="CI51" i="45" a="1"/>
  <c r="CI51" i="45"/>
  <c r="CL51" i="45" a="1"/>
  <c r="CL51" i="45"/>
  <c r="CJ51" i="45" a="1"/>
  <c r="CJ51" i="45"/>
  <c r="CE51" i="45" a="1"/>
  <c r="CE51" i="45"/>
  <c r="CZ44" i="45" a="1"/>
  <c r="CZ44" i="45"/>
  <c r="CS44" i="45" a="1"/>
  <c r="CS44" i="45"/>
  <c r="CV44" i="45" a="1"/>
  <c r="CV44" i="45"/>
  <c r="CP44" i="45" a="1"/>
  <c r="CP44" i="45"/>
  <c r="CM44" i="45" a="1"/>
  <c r="CM44" i="45"/>
  <c r="CU44" i="45" a="1"/>
  <c r="CU44" i="45"/>
  <c r="CR44" i="45" a="1"/>
  <c r="CR44" i="45"/>
  <c r="CQ44" i="45" a="1"/>
  <c r="CQ44" i="45"/>
  <c r="CN44" i="45" a="1"/>
  <c r="CN44" i="45"/>
  <c r="CT44" i="45" a="1"/>
  <c r="CT44" i="45"/>
  <c r="CW44" i="45" a="1"/>
  <c r="CW44" i="45"/>
  <c r="CO44" i="45" a="1"/>
  <c r="CO44" i="45"/>
  <c r="CO35" i="45" a="1"/>
  <c r="CO35" i="45"/>
  <c r="CR35" i="45" a="1"/>
  <c r="CR35" i="45"/>
  <c r="CT35" i="45" a="1"/>
  <c r="CT35" i="45"/>
  <c r="CN35" i="45" a="1"/>
  <c r="CN35" i="45"/>
  <c r="CQ35" i="45" a="1"/>
  <c r="CQ35" i="45"/>
  <c r="CP35" i="45" a="1"/>
  <c r="CP35" i="45"/>
  <c r="CV35" i="45" a="1"/>
  <c r="CV35" i="45"/>
  <c r="CS35" i="45" a="1"/>
  <c r="CS35" i="45"/>
  <c r="CM35" i="45" a="1"/>
  <c r="CM35" i="45"/>
  <c r="CW35" i="45" a="1"/>
  <c r="CW35" i="45"/>
  <c r="CU35" i="45" a="1"/>
  <c r="CU35" i="45"/>
  <c r="CZ35" i="45" a="1"/>
  <c r="CZ35" i="45"/>
  <c r="CS56" i="45" a="1"/>
  <c r="CS56" i="45"/>
  <c r="CV56" i="45" a="1"/>
  <c r="CV56" i="45"/>
  <c r="CN56" i="45" a="1"/>
  <c r="CN56" i="45"/>
  <c r="CU56" i="45" a="1"/>
  <c r="CU56" i="45"/>
  <c r="CP56" i="45" a="1"/>
  <c r="CP56" i="45"/>
  <c r="CO56" i="45" a="1"/>
  <c r="CO56" i="45"/>
  <c r="CQ56" i="45" a="1"/>
  <c r="CQ56" i="45"/>
  <c r="CZ56" i="45" a="1"/>
  <c r="CZ56" i="45"/>
  <c r="CR56" i="45" a="1"/>
  <c r="CR56" i="45"/>
  <c r="CM56" i="45" a="1"/>
  <c r="CM56" i="45"/>
  <c r="CW56" i="45" a="1"/>
  <c r="CW56" i="45"/>
  <c r="CT56" i="45" a="1"/>
  <c r="CT56" i="45"/>
  <c r="BR50" i="45" a="1"/>
  <c r="BR50" i="45"/>
  <c r="BU50" i="45" a="1"/>
  <c r="BU50" i="45"/>
  <c r="BQ50" i="45" a="1"/>
  <c r="BQ50" i="45"/>
  <c r="BP50" i="45" a="1"/>
  <c r="BP50" i="45"/>
  <c r="BT50" i="45" a="1"/>
  <c r="BT50" i="45"/>
  <c r="BN50" i="45" a="1"/>
  <c r="BN50" i="45"/>
  <c r="BS50" i="45" a="1"/>
  <c r="BS50" i="45"/>
  <c r="BW50" i="45" a="1"/>
  <c r="BW50" i="45"/>
  <c r="BO50" i="45" a="1"/>
  <c r="BO50" i="45"/>
  <c r="BZ50" i="45" a="1"/>
  <c r="BZ50" i="45"/>
  <c r="BV50" i="45" a="1"/>
  <c r="BV50" i="45"/>
  <c r="CM51" i="45" a="1"/>
  <c r="CM51" i="45"/>
  <c r="CO51" i="45" a="1"/>
  <c r="CO51" i="45"/>
  <c r="CR51" i="45" a="1"/>
  <c r="CR51" i="45"/>
  <c r="CW51" i="45" a="1"/>
  <c r="CW51" i="45"/>
  <c r="CQ51" i="45" a="1"/>
  <c r="CQ51" i="45"/>
  <c r="CN51" i="45" a="1"/>
  <c r="CN51" i="45"/>
  <c r="CZ51" i="45" a="1"/>
  <c r="CZ51" i="45"/>
  <c r="CP51" i="45" a="1"/>
  <c r="CP51" i="45"/>
  <c r="CV51" i="45" a="1"/>
  <c r="CV51" i="45"/>
  <c r="CU51" i="45" a="1"/>
  <c r="CU51" i="45"/>
  <c r="CS51" i="45" a="1"/>
  <c r="CS51" i="45"/>
  <c r="CT51" i="45" a="1"/>
  <c r="CT51" i="45"/>
  <c r="CA39" i="45" a="1"/>
  <c r="CA39" i="45"/>
  <c r="CJ39" i="45" a="1"/>
  <c r="CJ39" i="45"/>
  <c r="CB39" i="45" a="1"/>
  <c r="CB39" i="45"/>
  <c r="CK39" i="45" a="1"/>
  <c r="CK39" i="45"/>
  <c r="CE39" i="45" a="1"/>
  <c r="CE39" i="45"/>
  <c r="CI39" i="45" a="1"/>
  <c r="CI39" i="45"/>
  <c r="CF39" i="45" a="1"/>
  <c r="CF39" i="45"/>
  <c r="CD39" i="45" a="1"/>
  <c r="CD39" i="45"/>
  <c r="CG39" i="45" a="1"/>
  <c r="CG39" i="45"/>
  <c r="CH39" i="45" a="1"/>
  <c r="CH39" i="45"/>
  <c r="CL39" i="45" a="1"/>
  <c r="CL39" i="45"/>
  <c r="CC39" i="45" a="1"/>
  <c r="CC39" i="45"/>
  <c r="CC62" i="45" a="1"/>
  <c r="CC62" i="45"/>
  <c r="CI62" i="45" a="1"/>
  <c r="CI62" i="45"/>
  <c r="CB62" i="45" a="1"/>
  <c r="CB62" i="45"/>
  <c r="CH62" i="45" a="1"/>
  <c r="CH62" i="45"/>
  <c r="CE62" i="45" a="1"/>
  <c r="CE62" i="45"/>
  <c r="CL62" i="45" a="1"/>
  <c r="CL62" i="45"/>
  <c r="CG62" i="45" a="1"/>
  <c r="CG62" i="45"/>
  <c r="CJ62" i="45" a="1"/>
  <c r="CJ62" i="45"/>
  <c r="CK62" i="45" a="1"/>
  <c r="CK62" i="45"/>
  <c r="CD62" i="45" a="1"/>
  <c r="CD62" i="45"/>
  <c r="CF62" i="45" a="1"/>
  <c r="CF62" i="45"/>
  <c r="DV58" i="45"/>
  <c r="DU63" i="45"/>
  <c r="BZ40" i="45" a="1"/>
  <c r="BZ40" i="45"/>
  <c r="BU40" i="45" a="1"/>
  <c r="BU40" i="45"/>
  <c r="BP40" i="45" a="1"/>
  <c r="BP40" i="45"/>
  <c r="BS40" i="45" a="1"/>
  <c r="BS40" i="45"/>
  <c r="BQ40" i="45" a="1"/>
  <c r="BQ40" i="45"/>
  <c r="BW40" i="45" a="1"/>
  <c r="BW40" i="45"/>
  <c r="BT40" i="45" a="1"/>
  <c r="BT40" i="45"/>
  <c r="BN40" i="45" a="1"/>
  <c r="BN40" i="45"/>
  <c r="BV40" i="45" a="1"/>
  <c r="BV40" i="45"/>
  <c r="BO40" i="45" a="1"/>
  <c r="BO40" i="45"/>
  <c r="BR40" i="45" a="1"/>
  <c r="BR40" i="45"/>
  <c r="BU34" i="45" a="1"/>
  <c r="BU34" i="45"/>
  <c r="BW34" i="45" a="1"/>
  <c r="BW34" i="45"/>
  <c r="BT34" i="45" a="1"/>
  <c r="BT34" i="45"/>
  <c r="BS34" i="45" a="1"/>
  <c r="BS34" i="45"/>
  <c r="BZ34" i="45" a="1"/>
  <c r="BZ34" i="45"/>
  <c r="BN34" i="45" a="1"/>
  <c r="BN34" i="45"/>
  <c r="BV34" i="45" a="1"/>
  <c r="BV34" i="45"/>
  <c r="BR34" i="45" a="1"/>
  <c r="BR34" i="45"/>
  <c r="BO34" i="45" a="1"/>
  <c r="BO34" i="45"/>
  <c r="BP34" i="45" a="1"/>
  <c r="BP34" i="45"/>
  <c r="BQ34" i="45" a="1"/>
  <c r="BQ34" i="45"/>
  <c r="CL33" i="45" a="1"/>
  <c r="CL33" i="45"/>
  <c r="CE33" i="45" a="1"/>
  <c r="CE33" i="45"/>
  <c r="CI33" i="45" a="1"/>
  <c r="CI33" i="45"/>
  <c r="CG33" i="45" a="1"/>
  <c r="CG33" i="45"/>
  <c r="CF33" i="45" a="1"/>
  <c r="CF33" i="45"/>
  <c r="CJ33" i="45" a="1"/>
  <c r="CJ33" i="45"/>
  <c r="CD33" i="45" a="1"/>
  <c r="CD33" i="45"/>
  <c r="CK33" i="45" a="1"/>
  <c r="CK33" i="45"/>
  <c r="CB33" i="45" a="1"/>
  <c r="CB33" i="45"/>
  <c r="CH33" i="45" a="1"/>
  <c r="CH33" i="45"/>
  <c r="CC33" i="45" a="1"/>
  <c r="CC33" i="45"/>
  <c r="CF55" i="45" a="1"/>
  <c r="CF55" i="45"/>
  <c r="CE55" i="45" a="1"/>
  <c r="CE55" i="45"/>
  <c r="CL55" i="45" a="1"/>
  <c r="CL55" i="45"/>
  <c r="CC55" i="45" a="1"/>
  <c r="CC55" i="45"/>
  <c r="CJ55" i="45" a="1"/>
  <c r="CJ55" i="45"/>
  <c r="CD55" i="45" a="1"/>
  <c r="CD55" i="45"/>
  <c r="CG55" i="45" a="1"/>
  <c r="CG55" i="45"/>
  <c r="CK55" i="45" a="1"/>
  <c r="CK55" i="45"/>
  <c r="CI55" i="45" a="1"/>
  <c r="CI55" i="45"/>
  <c r="CH55" i="45" a="1"/>
  <c r="CH55" i="45"/>
  <c r="CB55" i="45" a="1"/>
  <c r="CB55" i="45"/>
  <c r="CS59" i="45" a="1"/>
  <c r="CS59" i="45"/>
  <c r="CP59" i="45" a="1"/>
  <c r="CP59" i="45"/>
  <c r="CN59" i="45" a="1"/>
  <c r="CN59" i="45"/>
  <c r="CU59" i="45" a="1"/>
  <c r="CU59" i="45"/>
  <c r="CR59" i="45" a="1"/>
  <c r="CR59" i="45"/>
  <c r="CQ59" i="45" a="1"/>
  <c r="CQ59" i="45"/>
  <c r="CZ59" i="45" a="1"/>
  <c r="CZ59" i="45"/>
  <c r="CO59" i="45" a="1"/>
  <c r="CO59" i="45"/>
  <c r="CV59" i="45" a="1"/>
  <c r="CV59" i="45"/>
  <c r="CM59" i="45" a="1"/>
  <c r="CM59" i="45"/>
  <c r="CT59" i="45" a="1"/>
  <c r="CT59" i="45"/>
  <c r="CW59" i="45" a="1"/>
  <c r="CW59" i="45"/>
  <c r="BQ54" i="45" a="1"/>
  <c r="BQ54" i="45"/>
  <c r="BV54" i="45" a="1"/>
  <c r="BV54" i="45"/>
  <c r="BR54" i="45" a="1"/>
  <c r="BR54" i="45"/>
  <c r="BN54" i="45" a="1"/>
  <c r="BN54" i="45"/>
  <c r="BZ54" i="45" a="1"/>
  <c r="BZ54" i="45"/>
  <c r="BO54" i="45" a="1"/>
  <c r="BO54" i="45"/>
  <c r="BT54" i="45" a="1"/>
  <c r="BT54" i="45"/>
  <c r="BP54" i="45" a="1"/>
  <c r="BP54" i="45"/>
  <c r="BS54" i="45" a="1"/>
  <c r="BS54" i="45"/>
  <c r="BW54" i="45" a="1"/>
  <c r="BW54" i="45"/>
  <c r="BU54" i="45" a="1"/>
  <c r="BU54" i="45"/>
  <c r="CJ56" i="45" a="1"/>
  <c r="CJ56" i="45"/>
  <c r="CF56" i="45" a="1"/>
  <c r="CF56" i="45"/>
  <c r="CK56" i="45" a="1"/>
  <c r="CK56" i="45"/>
  <c r="CG56" i="45" a="1"/>
  <c r="CG56" i="45"/>
  <c r="CB56" i="45" a="1"/>
  <c r="CB56" i="45"/>
  <c r="CE56" i="45" a="1"/>
  <c r="CE56" i="45"/>
  <c r="CI56" i="45" a="1"/>
  <c r="CI56" i="45"/>
  <c r="CH56" i="45" a="1"/>
  <c r="CH56" i="45"/>
  <c r="CL56" i="45" a="1"/>
  <c r="CL56" i="45"/>
  <c r="CD56" i="45" a="1"/>
  <c r="CD56" i="45"/>
  <c r="CC56" i="45" a="1"/>
  <c r="CC56" i="45"/>
  <c r="CM41" i="45" a="1"/>
  <c r="CM41" i="45"/>
  <c r="CW41" i="45" a="1"/>
  <c r="CW41" i="45"/>
  <c r="CS41" i="45" a="1"/>
  <c r="CS41" i="45"/>
  <c r="CO41" i="45" a="1"/>
  <c r="CO41" i="45"/>
  <c r="CZ41" i="45" a="1"/>
  <c r="CZ41" i="45"/>
  <c r="CV41" i="45" a="1"/>
  <c r="CV41" i="45"/>
  <c r="CQ41" i="45" a="1"/>
  <c r="CQ41" i="45"/>
  <c r="CT41" i="45" a="1"/>
  <c r="CT41" i="45"/>
  <c r="CN41" i="45" a="1"/>
  <c r="CN41" i="45"/>
  <c r="CP41" i="45" a="1"/>
  <c r="CP41" i="45"/>
  <c r="CR41" i="45" a="1"/>
  <c r="CR41" i="45"/>
  <c r="CU41" i="45" a="1"/>
  <c r="CU41" i="45"/>
  <c r="DG38" i="45" a="1"/>
  <c r="DG38" i="45"/>
  <c r="DF38" i="45" a="1"/>
  <c r="DF38" i="45"/>
  <c r="DC38" i="45" a="1"/>
  <c r="DC38" i="45"/>
  <c r="DH38" i="45" a="1"/>
  <c r="DH38" i="45"/>
  <c r="DE38" i="45" a="1"/>
  <c r="DE38" i="45"/>
  <c r="DK38" i="45" a="1"/>
  <c r="DK38" i="45"/>
  <c r="DB38" i="45" a="1"/>
  <c r="DB38" i="45"/>
  <c r="DD38" i="45" a="1"/>
  <c r="DD38" i="45"/>
  <c r="DI38" i="45" a="1"/>
  <c r="DI38" i="45"/>
  <c r="DJ38" i="45" a="1"/>
  <c r="DJ38" i="45"/>
  <c r="DN38" i="45" a="1"/>
  <c r="DN38" i="45"/>
  <c r="CM49" i="45" a="1"/>
  <c r="CM49" i="45"/>
  <c r="CZ49" i="45" a="1"/>
  <c r="CZ49" i="45"/>
  <c r="CU49" i="45" a="1"/>
  <c r="CU49" i="45"/>
  <c r="CO49" i="45" a="1"/>
  <c r="CO49" i="45"/>
  <c r="CQ49" i="45" a="1"/>
  <c r="CQ49" i="45"/>
  <c r="CS49" i="45" a="1"/>
  <c r="CS49" i="45"/>
  <c r="CR49" i="45" a="1"/>
  <c r="CR49" i="45"/>
  <c r="CN49" i="45" a="1"/>
  <c r="CN49" i="45"/>
  <c r="CP49" i="45" a="1"/>
  <c r="CP49" i="45"/>
  <c r="CV49" i="45" a="1"/>
  <c r="CV49" i="45"/>
  <c r="CT49" i="45" a="1"/>
  <c r="CT49" i="45"/>
  <c r="CW49" i="45" a="1"/>
  <c r="CW49" i="45"/>
  <c r="DK42" i="45" a="1"/>
  <c r="DK42" i="45"/>
  <c r="DF42" i="45" a="1"/>
  <c r="DF42" i="45"/>
  <c r="DN42" i="45" a="1"/>
  <c r="DN42" i="45"/>
  <c r="DI42" i="45" a="1"/>
  <c r="DI42" i="45"/>
  <c r="DJ42" i="45" a="1"/>
  <c r="DJ42" i="45"/>
  <c r="DD42" i="45" a="1"/>
  <c r="DD42" i="45"/>
  <c r="DB42" i="45" a="1"/>
  <c r="DB42" i="45"/>
  <c r="DG42" i="45" a="1"/>
  <c r="DG42" i="45"/>
  <c r="DH42" i="45" a="1"/>
  <c r="DH42" i="45"/>
  <c r="DE42" i="45" a="1"/>
  <c r="DE42" i="45"/>
  <c r="DC42" i="45" a="1"/>
  <c r="DC42" i="45"/>
  <c r="BT62" i="45" a="1"/>
  <c r="BT62" i="45"/>
  <c r="BQ62" i="45" a="1"/>
  <c r="BQ62" i="45"/>
  <c r="BO62" i="45" a="1"/>
  <c r="BO62" i="45"/>
  <c r="BP62" i="45" a="1"/>
  <c r="BP62" i="45"/>
  <c r="BZ62" i="45" a="1"/>
  <c r="BZ62" i="45"/>
  <c r="BV62" i="45" a="1"/>
  <c r="BV62" i="45"/>
  <c r="BS62" i="45" a="1"/>
  <c r="BS62" i="45"/>
  <c r="BU62" i="45" a="1"/>
  <c r="BU62" i="45"/>
  <c r="BR62" i="45" a="1"/>
  <c r="BR62" i="45"/>
  <c r="BN62" i="45" a="1"/>
  <c r="BN62" i="45"/>
  <c r="BW62" i="45" a="1"/>
  <c r="BW62" i="45"/>
  <c r="CM45" i="45" a="1"/>
  <c r="CM45" i="45"/>
  <c r="CQ45" i="45" a="1"/>
  <c r="CQ45" i="45"/>
  <c r="CZ45" i="45" a="1"/>
  <c r="CZ45" i="45"/>
  <c r="CW45" i="45" a="1"/>
  <c r="CW45" i="45"/>
  <c r="CU45" i="45" a="1"/>
  <c r="CU45" i="45"/>
  <c r="CO45" i="45" a="1"/>
  <c r="CO45" i="45"/>
  <c r="CT45" i="45" a="1"/>
  <c r="CT45" i="45"/>
  <c r="CR45" i="45" a="1"/>
  <c r="CR45" i="45"/>
  <c r="CS45" i="45" a="1"/>
  <c r="CS45" i="45"/>
  <c r="CV45" i="45" a="1"/>
  <c r="CV45" i="45"/>
  <c r="CN45" i="45" a="1"/>
  <c r="CN45" i="45"/>
  <c r="CP45" i="45" a="1"/>
  <c r="CP45" i="45"/>
  <c r="BW47" i="45" a="1"/>
  <c r="BW47" i="45"/>
  <c r="BS47" i="45" a="1"/>
  <c r="BS47" i="45"/>
  <c r="BU47" i="45" a="1"/>
  <c r="BU47" i="45"/>
  <c r="BV47" i="45" a="1"/>
  <c r="BV47" i="45"/>
  <c r="BP47" i="45" a="1"/>
  <c r="BP47" i="45"/>
  <c r="BQ47" i="45" a="1"/>
  <c r="BQ47" i="45"/>
  <c r="BN47" i="45" a="1"/>
  <c r="BN47" i="45"/>
  <c r="BT47" i="45" a="1"/>
  <c r="BT47" i="45"/>
  <c r="BO47" i="45" a="1"/>
  <c r="BO47" i="45"/>
  <c r="BZ47" i="45" a="1"/>
  <c r="BZ47" i="45"/>
  <c r="BR47" i="45" a="1"/>
  <c r="BR47" i="45"/>
  <c r="CU60" i="45" a="1"/>
  <c r="CU60" i="45"/>
  <c r="CQ60" i="45" a="1"/>
  <c r="CQ60" i="45"/>
  <c r="CT60" i="45" a="1"/>
  <c r="CT60" i="45"/>
  <c r="CM60" i="45" a="1"/>
  <c r="CM60" i="45"/>
  <c r="CW60" i="45" a="1"/>
  <c r="CW60" i="45"/>
  <c r="CV60" i="45" a="1"/>
  <c r="CV60" i="45"/>
  <c r="CR60" i="45" a="1"/>
  <c r="CR60" i="45"/>
  <c r="CN60" i="45" a="1"/>
  <c r="CN60" i="45"/>
  <c r="CS60" i="45" a="1"/>
  <c r="CS60" i="45"/>
  <c r="CZ60" i="45" a="1"/>
  <c r="CZ60" i="45"/>
  <c r="CO60" i="45" a="1"/>
  <c r="CO60" i="45"/>
  <c r="CP60" i="45" a="1"/>
  <c r="CP60" i="45"/>
  <c r="CD64" i="45" a="1"/>
  <c r="CD64" i="45"/>
  <c r="CC64" i="45" a="1"/>
  <c r="CC64" i="45"/>
  <c r="CK64" i="45" a="1"/>
  <c r="CK64" i="45"/>
  <c r="CF64" i="45" a="1"/>
  <c r="CF64" i="45"/>
  <c r="CE64" i="45" a="1"/>
  <c r="CE64" i="45"/>
  <c r="CB64" i="45" a="1"/>
  <c r="CB64" i="45"/>
  <c r="CH64" i="45" a="1"/>
  <c r="CH64" i="45"/>
  <c r="CI64" i="45" a="1"/>
  <c r="CI64" i="45"/>
  <c r="CJ64" i="45" a="1"/>
  <c r="CJ64" i="45"/>
  <c r="CG64" i="45" a="1"/>
  <c r="CG64" i="45"/>
  <c r="CL64" i="45" a="1"/>
  <c r="CL64" i="45"/>
  <c r="BS36" i="45" a="1"/>
  <c r="BS36" i="45"/>
  <c r="BO36" i="45" a="1"/>
  <c r="BO36" i="45"/>
  <c r="BW36" i="45" a="1"/>
  <c r="BW36" i="45"/>
  <c r="BP36" i="45" a="1"/>
  <c r="BP36" i="45"/>
  <c r="BV36" i="45" a="1"/>
  <c r="BV36" i="45"/>
  <c r="BN36" i="45" a="1"/>
  <c r="BN36" i="45"/>
  <c r="BQ36" i="45" a="1"/>
  <c r="BQ36" i="45"/>
  <c r="BT36" i="45" a="1"/>
  <c r="BT36" i="45"/>
  <c r="BU36" i="45" a="1"/>
  <c r="BU36" i="45"/>
  <c r="BZ36" i="45" a="1"/>
  <c r="BZ36" i="45"/>
  <c r="BR36" i="45" a="1"/>
  <c r="BR36" i="45"/>
  <c r="I53" i="45"/>
  <c r="I32" i="45"/>
  <c r="CB35" i="45" a="1"/>
  <c r="CB35" i="45"/>
  <c r="CE35" i="45" a="1"/>
  <c r="CE35" i="45"/>
  <c r="CJ35" i="45" a="1"/>
  <c r="CJ35" i="45"/>
  <c r="CK35" i="45" a="1"/>
  <c r="CK35" i="45"/>
  <c r="CC35" i="45" a="1"/>
  <c r="CC35" i="45"/>
  <c r="CG35" i="45" a="1"/>
  <c r="CG35" i="45"/>
  <c r="CH35" i="45" a="1"/>
  <c r="CH35" i="45"/>
  <c r="CF35" i="45" a="1"/>
  <c r="CF35" i="45"/>
  <c r="CI35" i="45" a="1"/>
  <c r="CI35" i="45"/>
  <c r="CL35" i="45" a="1"/>
  <c r="CL35" i="45"/>
  <c r="CD35" i="45" a="1"/>
  <c r="CD35" i="45"/>
  <c r="DJ51" i="45" a="1"/>
  <c r="DJ51" i="45"/>
  <c r="DE51" i="45" a="1"/>
  <c r="DE51" i="45"/>
  <c r="DF51" i="45" a="1"/>
  <c r="DF51" i="45"/>
  <c r="DH51" i="45" a="1"/>
  <c r="DH51" i="45"/>
  <c r="DK51" i="45" a="1"/>
  <c r="DK51" i="45"/>
  <c r="DC51" i="45" a="1"/>
  <c r="DC51" i="45"/>
  <c r="DI51" i="45" a="1"/>
  <c r="DI51" i="45"/>
  <c r="DD51" i="45" a="1"/>
  <c r="DD51" i="45"/>
  <c r="DN51" i="45" a="1"/>
  <c r="DN51" i="45"/>
  <c r="DB51" i="45" a="1"/>
  <c r="DB51" i="45"/>
  <c r="DG51" i="45" a="1"/>
  <c r="DG51" i="45"/>
  <c r="CF54" i="45" a="1"/>
  <c r="CF54" i="45"/>
  <c r="CG54" i="45" a="1"/>
  <c r="CG54" i="45"/>
  <c r="CK54" i="45" a="1"/>
  <c r="CK54" i="45"/>
  <c r="CE54" i="45" a="1"/>
  <c r="CE54" i="45"/>
  <c r="CL54" i="45" a="1"/>
  <c r="CL54" i="45"/>
  <c r="CD54" i="45" a="1"/>
  <c r="CD54" i="45"/>
  <c r="CB54" i="45" a="1"/>
  <c r="CB54" i="45"/>
  <c r="CI54" i="45" a="1"/>
  <c r="CI54" i="45"/>
  <c r="CH54" i="45" a="1"/>
  <c r="CH54" i="45"/>
  <c r="CJ54" i="45" a="1"/>
  <c r="CJ54" i="45"/>
  <c r="CC54" i="45" a="1"/>
  <c r="CC54" i="45"/>
  <c r="BR51" i="45" a="1"/>
  <c r="BR51" i="45"/>
  <c r="BW51" i="45" a="1"/>
  <c r="BW51" i="45"/>
  <c r="BO51" i="45" a="1"/>
  <c r="BO51" i="45"/>
  <c r="BT51" i="45" a="1"/>
  <c r="BT51" i="45"/>
  <c r="BV51" i="45" a="1"/>
  <c r="BV51" i="45"/>
  <c r="BU51" i="45" a="1"/>
  <c r="BU51" i="45"/>
  <c r="BN51" i="45" a="1"/>
  <c r="BN51" i="45"/>
  <c r="BP51" i="45" a="1"/>
  <c r="BP51" i="45"/>
  <c r="BZ51" i="45" a="1"/>
  <c r="BZ51" i="45"/>
  <c r="BQ51" i="45" a="1"/>
  <c r="BQ51" i="45"/>
  <c r="BS51" i="45" a="1"/>
  <c r="BS51" i="45"/>
  <c r="BN39" i="45" a="1"/>
  <c r="BN39" i="45"/>
  <c r="BU39" i="45" a="1"/>
  <c r="BU39" i="45"/>
  <c r="BZ39" i="45" a="1"/>
  <c r="BZ39" i="45"/>
  <c r="BR39" i="45" a="1"/>
  <c r="BR39" i="45"/>
  <c r="BP39" i="45" a="1"/>
  <c r="BP39" i="45"/>
  <c r="BT39" i="45" a="1"/>
  <c r="BT39" i="45"/>
  <c r="BO39" i="45" a="1"/>
  <c r="BO39" i="45"/>
  <c r="BS39" i="45" a="1"/>
  <c r="BS39" i="45"/>
  <c r="BW39" i="45" a="1"/>
  <c r="BW39" i="45"/>
  <c r="BV39" i="45" a="1"/>
  <c r="BV39" i="45"/>
  <c r="BQ39" i="45" a="1"/>
  <c r="BQ39" i="45"/>
  <c r="DG50" i="45" a="1"/>
  <c r="DG50" i="45"/>
  <c r="DC50" i="45" a="1"/>
  <c r="DC50" i="45"/>
  <c r="DI50" i="45" a="1"/>
  <c r="DI50" i="45"/>
  <c r="DD50" i="45" a="1"/>
  <c r="DD50" i="45"/>
  <c r="DF50" i="45" a="1"/>
  <c r="DF50" i="45"/>
  <c r="DN50" i="45" a="1"/>
  <c r="DN50" i="45"/>
  <c r="DH50" i="45" a="1"/>
  <c r="DH50" i="45"/>
  <c r="DE50" i="45" a="1"/>
  <c r="DE50" i="45"/>
  <c r="DJ50" i="45" a="1"/>
  <c r="DJ50" i="45"/>
  <c r="DB50" i="45" a="1"/>
  <c r="DB50" i="45"/>
  <c r="DK50" i="45" a="1"/>
  <c r="DK50" i="45"/>
  <c r="DA52" i="45" a="1"/>
  <c r="DA52" i="45"/>
  <c r="DB52" i="45" a="1"/>
  <c r="DB52" i="45"/>
  <c r="DE52" i="45" a="1"/>
  <c r="DE52" i="45"/>
  <c r="DG52" i="45" a="1"/>
  <c r="DG52" i="45"/>
  <c r="DJ52" i="45" a="1"/>
  <c r="DJ52" i="45"/>
  <c r="DD52" i="45" a="1"/>
  <c r="DD52" i="45"/>
  <c r="DC52" i="45" a="1"/>
  <c r="DC52" i="45"/>
  <c r="DN52" i="45" a="1"/>
  <c r="DN52" i="45"/>
  <c r="DK52" i="45" a="1"/>
  <c r="DK52" i="45"/>
  <c r="DI52" i="45" a="1"/>
  <c r="DI52" i="45"/>
  <c r="DH52" i="45" a="1"/>
  <c r="DH52" i="45"/>
  <c r="DF52" i="45" a="1"/>
  <c r="DF52" i="45"/>
  <c r="CH57" i="45" a="1"/>
  <c r="CH57" i="45"/>
  <c r="CI57" i="45" a="1"/>
  <c r="CI57" i="45"/>
  <c r="CB57" i="45" a="1"/>
  <c r="CB57" i="45"/>
  <c r="CF57" i="45" a="1"/>
  <c r="CF57" i="45"/>
  <c r="CD57" i="45" a="1"/>
  <c r="CD57" i="45"/>
  <c r="CC57" i="45" a="1"/>
  <c r="CC57" i="45"/>
  <c r="CL57" i="45" a="1"/>
  <c r="CL57" i="45"/>
  <c r="CJ57" i="45" a="1"/>
  <c r="CJ57" i="45"/>
  <c r="CG57" i="45" a="1"/>
  <c r="CG57" i="45"/>
  <c r="CK57" i="45" a="1"/>
  <c r="CK57" i="45"/>
  <c r="CE57" i="45" a="1"/>
  <c r="CE57" i="45"/>
  <c r="DA37" i="45" a="1"/>
  <c r="DA37" i="45"/>
  <c r="DB37" i="45" a="1"/>
  <c r="DB37" i="45"/>
  <c r="DN37" i="45" a="1"/>
  <c r="DN37" i="45"/>
  <c r="DI37" i="45" a="1"/>
  <c r="DI37" i="45"/>
  <c r="DK37" i="45" a="1"/>
  <c r="DK37" i="45"/>
  <c r="DF37" i="45" a="1"/>
  <c r="DF37" i="45"/>
  <c r="DJ37" i="45" a="1"/>
  <c r="DJ37" i="45"/>
  <c r="DC37" i="45" a="1"/>
  <c r="DC37" i="45"/>
  <c r="DH37" i="45" a="1"/>
  <c r="DH37" i="45"/>
  <c r="DD37" i="45" a="1"/>
  <c r="DD37" i="45"/>
  <c r="DE37" i="45" a="1"/>
  <c r="DE37" i="45"/>
  <c r="DG37" i="45" a="1"/>
  <c r="DG37" i="45"/>
  <c r="DA35" i="45" a="1"/>
  <c r="DA35" i="45"/>
  <c r="DC35" i="45" a="1"/>
  <c r="DC35" i="45"/>
  <c r="DG35" i="45" a="1"/>
  <c r="DG35" i="45"/>
  <c r="DK35" i="45" a="1"/>
  <c r="DK35" i="45"/>
  <c r="DI35" i="45" a="1"/>
  <c r="DI35" i="45"/>
  <c r="DE35" i="45" a="1"/>
  <c r="DE35" i="45"/>
  <c r="DD35" i="45" a="1"/>
  <c r="DD35" i="45"/>
  <c r="DH35" i="45" a="1"/>
  <c r="DH35" i="45"/>
  <c r="DB35" i="45" a="1"/>
  <c r="DB35" i="45"/>
  <c r="DJ35" i="45" a="1"/>
  <c r="DJ35" i="45"/>
  <c r="DN35" i="45" a="1"/>
  <c r="DN35" i="45"/>
  <c r="DF35" i="45" a="1"/>
  <c r="DF35" i="45"/>
  <c r="DJ57" i="45" a="1"/>
  <c r="DJ57" i="45"/>
  <c r="DD57" i="45" a="1"/>
  <c r="DD57" i="45"/>
  <c r="DH57" i="45" a="1"/>
  <c r="DH57" i="45"/>
  <c r="DG57" i="45" a="1"/>
  <c r="DG57" i="45"/>
  <c r="DC57" i="45" a="1"/>
  <c r="DC57" i="45"/>
  <c r="DI57" i="45" a="1"/>
  <c r="DI57" i="45"/>
  <c r="DK57" i="45" a="1"/>
  <c r="DK57" i="45"/>
  <c r="DE57" i="45" a="1"/>
  <c r="DE57" i="45"/>
  <c r="DN57" i="45" a="1"/>
  <c r="DN57" i="45"/>
  <c r="DF57" i="45" a="1"/>
  <c r="DF57" i="45"/>
  <c r="DB57" i="45" a="1"/>
  <c r="DB57" i="45"/>
  <c r="DW63" i="45"/>
  <c r="DY63" i="45"/>
  <c r="DR53" i="45"/>
  <c r="DW101" i="12"/>
  <c r="DZ101" i="12"/>
  <c r="BK76" i="12"/>
  <c r="BO76" i="12"/>
  <c r="BS76" i="12"/>
  <c r="BL77" i="12"/>
  <c r="BP77" i="12"/>
  <c r="BV77" i="12"/>
  <c r="BM78" i="12"/>
  <c r="BQ78" i="12"/>
  <c r="BJ79" i="12"/>
  <c r="BN79" i="12"/>
  <c r="J79" i="12"/>
  <c r="BR79" i="12"/>
  <c r="BK80" i="12"/>
  <c r="BO80" i="12"/>
  <c r="BS80" i="12"/>
  <c r="BL81" i="12"/>
  <c r="BP81" i="12"/>
  <c r="BV81" i="12"/>
  <c r="BM82" i="12"/>
  <c r="BQ82" i="12"/>
  <c r="BJ83" i="12"/>
  <c r="BN83" i="12"/>
  <c r="J83" i="12"/>
  <c r="BR83" i="12"/>
  <c r="BK84" i="12"/>
  <c r="BO84" i="12"/>
  <c r="BS84" i="12"/>
  <c r="BL85" i="12"/>
  <c r="BP85" i="12"/>
  <c r="BV85" i="12"/>
  <c r="BM86" i="12"/>
  <c r="BQ86" i="12"/>
  <c r="BJ87" i="12"/>
  <c r="BN87" i="12"/>
  <c r="J87" i="12"/>
  <c r="BR87" i="12"/>
  <c r="BM76" i="12"/>
  <c r="BJ77" i="12"/>
  <c r="BR77" i="12"/>
  <c r="BL76" i="12"/>
  <c r="BP76" i="12"/>
  <c r="BV76" i="12"/>
  <c r="BM77" i="12"/>
  <c r="BQ77" i="12"/>
  <c r="BJ78" i="12"/>
  <c r="BN78" i="12"/>
  <c r="J78" i="12"/>
  <c r="BR78" i="12"/>
  <c r="BK79" i="12"/>
  <c r="BO79" i="12"/>
  <c r="BS79" i="12"/>
  <c r="BL80" i="12"/>
  <c r="BP80" i="12"/>
  <c r="BV80" i="12"/>
  <c r="BM81" i="12"/>
  <c r="BQ81" i="12"/>
  <c r="BJ82" i="12"/>
  <c r="BN82" i="12"/>
  <c r="J82" i="12"/>
  <c r="BR82" i="12"/>
  <c r="BK83" i="12"/>
  <c r="BO83" i="12"/>
  <c r="BS83" i="12"/>
  <c r="BL84" i="12"/>
  <c r="BP84" i="12"/>
  <c r="BV84" i="12"/>
  <c r="BM85" i="12"/>
  <c r="BQ85" i="12"/>
  <c r="BJ86" i="12"/>
  <c r="BN86" i="12"/>
  <c r="J86" i="12"/>
  <c r="BR86" i="12"/>
  <c r="BK87" i="12"/>
  <c r="BO87" i="12"/>
  <c r="BS87" i="12"/>
  <c r="BQ76" i="12"/>
  <c r="BN77" i="12"/>
  <c r="J77" i="12"/>
  <c r="BJ76" i="12"/>
  <c r="BO77" i="12"/>
  <c r="BO78" i="12"/>
  <c r="BL79" i="12"/>
  <c r="BV79" i="12"/>
  <c r="BQ80" i="12"/>
  <c r="BN81" i="12"/>
  <c r="J81" i="12"/>
  <c r="BK82" i="12"/>
  <c r="BS82" i="12"/>
  <c r="BP83" i="12"/>
  <c r="BM84" i="12"/>
  <c r="BJ85" i="12"/>
  <c r="BR85" i="12"/>
  <c r="BO86" i="12"/>
  <c r="BL87" i="12"/>
  <c r="BV87" i="12"/>
  <c r="BS85" i="12"/>
  <c r="BM87" i="12"/>
  <c r="BK78" i="12"/>
  <c r="BP79" i="12"/>
  <c r="BJ81" i="12"/>
  <c r="BO82" i="12"/>
  <c r="BV83" i="12"/>
  <c r="BN85" i="12"/>
  <c r="J85" i="12"/>
  <c r="BS86" i="12"/>
  <c r="BL78" i="12"/>
  <c r="BQ79" i="12"/>
  <c r="BK81" i="12"/>
  <c r="BP82" i="12"/>
  <c r="BJ84" i="12"/>
  <c r="BR84" i="12"/>
  <c r="BL86" i="12"/>
  <c r="BQ87" i="12"/>
  <c r="BN76" i="12"/>
  <c r="J76" i="12"/>
  <c r="BS77" i="12"/>
  <c r="BP78" i="12"/>
  <c r="BM79" i="12"/>
  <c r="BJ80" i="12"/>
  <c r="BR80" i="12"/>
  <c r="BO81" i="12"/>
  <c r="BL82" i="12"/>
  <c r="BV82" i="12"/>
  <c r="BQ83" i="12"/>
  <c r="BN84" i="12"/>
  <c r="J84" i="12"/>
  <c r="BK85" i="12"/>
  <c r="BP86" i="12"/>
  <c r="BR76" i="12"/>
  <c r="BS78" i="12"/>
  <c r="BM80" i="12"/>
  <c r="BR81" i="12"/>
  <c r="BL83" i="12"/>
  <c r="BQ84" i="12"/>
  <c r="BK86" i="12"/>
  <c r="BP87" i="12"/>
  <c r="BK77" i="12"/>
  <c r="BV78" i="12"/>
  <c r="BN80" i="12"/>
  <c r="J80" i="12"/>
  <c r="BS81" i="12"/>
  <c r="BM83" i="12"/>
  <c r="BO85" i="12"/>
  <c r="BV86" i="12"/>
  <c r="D180" i="47"/>
  <c r="D180" i="9"/>
  <c r="EA102" i="12"/>
  <c r="DT101" i="12"/>
  <c r="ED102" i="12"/>
  <c r="DU101" i="12"/>
  <c r="DY102" i="12"/>
  <c r="DU102" i="12"/>
  <c r="DW99" i="12"/>
  <c r="DS101" i="12"/>
  <c r="DV102" i="12"/>
  <c r="DW102" i="12"/>
  <c r="DX101" i="12"/>
  <c r="ED101" i="12"/>
  <c r="DV101" i="12"/>
  <c r="DY101" i="12"/>
  <c r="DR102" i="12"/>
  <c r="DT102" i="12"/>
  <c r="DS102" i="12"/>
  <c r="EA101" i="12"/>
  <c r="DR101" i="12"/>
  <c r="DZ102" i="12"/>
  <c r="DX102" i="12"/>
  <c r="AY103" i="12"/>
  <c r="BG103" i="12"/>
  <c r="BC103" i="12"/>
  <c r="CE5" i="12"/>
  <c r="BK103" i="12"/>
  <c r="BF103" i="12"/>
  <c r="BB103" i="12"/>
  <c r="AZ103" i="12"/>
  <c r="BD103" i="12"/>
  <c r="BA103" i="12"/>
  <c r="BH103" i="12"/>
  <c r="BE103" i="12"/>
  <c r="AX103" i="12"/>
  <c r="CE4" i="12"/>
  <c r="DY58" i="12"/>
  <c r="DS52" i="12"/>
  <c r="DY52" i="12"/>
  <c r="DX52" i="12"/>
  <c r="DY63" i="12"/>
  <c r="DX58" i="12"/>
  <c r="DX63" i="12"/>
  <c r="DW63" i="12"/>
  <c r="DR52" i="12"/>
  <c r="EA52" i="12"/>
  <c r="EA58" i="12"/>
  <c r="DU52" i="12"/>
  <c r="DT58" i="12"/>
  <c r="DR58" i="12"/>
  <c r="DT52" i="12"/>
  <c r="DT63" i="12"/>
  <c r="DS63" i="12"/>
  <c r="DZ58" i="12"/>
  <c r="DZ52" i="12"/>
  <c r="DR63" i="12"/>
  <c r="DW58" i="12"/>
  <c r="DZ63" i="12"/>
  <c r="DU63" i="12"/>
  <c r="DS58" i="12"/>
  <c r="DW52" i="12"/>
  <c r="DU58" i="12"/>
  <c r="EA63" i="12"/>
  <c r="BP45" i="12" a="1"/>
  <c r="BP45" i="12"/>
  <c r="BV45" i="12" a="1"/>
  <c r="BV45" i="12"/>
  <c r="BU45" i="12" a="1"/>
  <c r="BU45" i="12"/>
  <c r="BT45" i="12" a="1"/>
  <c r="BT45" i="12"/>
  <c r="BQ45" i="12" a="1"/>
  <c r="BQ45" i="12"/>
  <c r="BS45" i="12" a="1"/>
  <c r="BS45" i="12"/>
  <c r="BW45" i="12" a="1"/>
  <c r="BW45" i="12"/>
  <c r="BO45" i="12" a="1"/>
  <c r="BO45" i="12"/>
  <c r="BN45" i="12" a="1"/>
  <c r="BN45" i="12"/>
  <c r="CN39" i="12" a="1"/>
  <c r="CN39" i="12"/>
  <c r="CG39" i="12" a="1"/>
  <c r="CG39" i="12"/>
  <c r="CH39" i="12" a="1"/>
  <c r="CH39" i="12"/>
  <c r="CB39" i="12" a="1"/>
  <c r="CB39" i="12"/>
  <c r="CI39" i="12" a="1"/>
  <c r="CI39" i="12"/>
  <c r="CK39" i="12" a="1"/>
  <c r="CK39" i="12"/>
  <c r="CJ39" i="12" a="1"/>
  <c r="CJ39" i="12"/>
  <c r="CE39" i="12" a="1"/>
  <c r="CE39" i="12"/>
  <c r="CC39" i="12" a="1"/>
  <c r="CC39" i="12"/>
  <c r="CD39" i="12" a="1"/>
  <c r="CD39" i="12"/>
  <c r="BU41" i="12" a="1"/>
  <c r="BU41" i="12"/>
  <c r="BW41" i="12" a="1"/>
  <c r="BW41" i="12"/>
  <c r="BT41" i="12" a="1"/>
  <c r="BT41" i="12"/>
  <c r="BS41" i="12" a="1"/>
  <c r="BS41" i="12"/>
  <c r="BP41" i="12" a="1"/>
  <c r="BP41" i="12"/>
  <c r="BN41" i="12" a="1"/>
  <c r="BN41" i="12"/>
  <c r="BQ41" i="12" a="1"/>
  <c r="BQ41" i="12"/>
  <c r="BV41" i="12" a="1"/>
  <c r="BV41" i="12"/>
  <c r="BO41" i="12" a="1"/>
  <c r="BO41" i="12"/>
  <c r="CO38" i="12" a="1"/>
  <c r="CO38" i="12"/>
  <c r="CS38" i="12" a="1"/>
  <c r="CS38" i="12"/>
  <c r="CY38" i="12" a="1"/>
  <c r="CY38" i="12"/>
  <c r="CP38" i="12" a="1"/>
  <c r="CP38" i="12"/>
  <c r="CW38" i="12" a="1"/>
  <c r="CW38" i="12"/>
  <c r="CR38" i="12" a="1"/>
  <c r="CR38" i="12"/>
  <c r="CU38" i="12" a="1"/>
  <c r="CU38" i="12"/>
  <c r="CQ38" i="12" a="1"/>
  <c r="CQ38" i="12"/>
  <c r="CX38" i="12" a="1"/>
  <c r="CX38" i="12"/>
  <c r="CV38" i="12" a="1"/>
  <c r="CV38" i="12"/>
  <c r="DF43" i="12" a="1"/>
  <c r="DF43" i="12"/>
  <c r="DE43" i="12" a="1"/>
  <c r="DE43" i="12"/>
  <c r="DM43" i="12" a="1"/>
  <c r="DM43" i="12"/>
  <c r="DG43" i="12" a="1"/>
  <c r="DG43" i="12"/>
  <c r="DI43" i="12" a="1"/>
  <c r="DI43" i="12"/>
  <c r="DD43" i="12" a="1"/>
  <c r="DD43" i="12"/>
  <c r="DK43" i="12" a="1"/>
  <c r="DK43" i="12"/>
  <c r="DJ43" i="12" a="1"/>
  <c r="DJ43" i="12"/>
  <c r="DL43" i="12" a="1"/>
  <c r="DL43" i="12"/>
  <c r="CN42" i="12" a="1"/>
  <c r="CN42" i="12"/>
  <c r="CE42" i="12" a="1"/>
  <c r="CE42" i="12"/>
  <c r="CJ42" i="12" a="1"/>
  <c r="CJ42" i="12"/>
  <c r="CB42" i="12" a="1"/>
  <c r="CB42" i="12"/>
  <c r="CD42" i="12" a="1"/>
  <c r="CD42" i="12"/>
  <c r="CG42" i="12" a="1"/>
  <c r="CG42" i="12"/>
  <c r="CH42" i="12" a="1"/>
  <c r="CH42" i="12"/>
  <c r="CI42" i="12" a="1"/>
  <c r="CI42" i="12"/>
  <c r="CC42" i="12" a="1"/>
  <c r="CC42" i="12"/>
  <c r="CK42" i="12" a="1"/>
  <c r="CK42" i="12"/>
  <c r="BW47" i="12" a="1"/>
  <c r="BW47" i="12"/>
  <c r="BN47" i="12" a="1"/>
  <c r="BN47" i="12"/>
  <c r="BQ47" i="12" a="1"/>
  <c r="BQ47" i="12"/>
  <c r="BV47" i="12" a="1"/>
  <c r="BV47" i="12"/>
  <c r="BP47" i="12" a="1"/>
  <c r="BP47" i="12"/>
  <c r="BU47" i="12" a="1"/>
  <c r="BU47" i="12"/>
  <c r="BS47" i="12" a="1"/>
  <c r="BS47" i="12"/>
  <c r="BT47" i="12" a="1"/>
  <c r="BT47" i="12"/>
  <c r="BO47" i="12" a="1"/>
  <c r="BO47" i="12"/>
  <c r="CN61" i="12" a="1"/>
  <c r="CN61" i="12"/>
  <c r="CC61" i="12" a="1"/>
  <c r="CC61" i="12"/>
  <c r="CD61" i="12" a="1"/>
  <c r="CD61" i="12"/>
  <c r="CB61" i="12" a="1"/>
  <c r="CB61" i="12"/>
  <c r="CJ61" i="12" a="1"/>
  <c r="CJ61" i="12"/>
  <c r="CK61" i="12" a="1"/>
  <c r="CK61" i="12"/>
  <c r="CG61" i="12" a="1"/>
  <c r="CG61" i="12"/>
  <c r="CI61" i="12" a="1"/>
  <c r="CI61" i="12"/>
  <c r="CE61" i="12" a="1"/>
  <c r="CE61" i="12"/>
  <c r="CH61" i="12" a="1"/>
  <c r="CH61" i="12"/>
  <c r="DL33" i="12" a="1"/>
  <c r="DL33" i="12"/>
  <c r="DM33" i="12" a="1"/>
  <c r="DM33" i="12"/>
  <c r="DK33" i="12" a="1"/>
  <c r="DK33" i="12"/>
  <c r="DG33" i="12" a="1"/>
  <c r="DG33" i="12"/>
  <c r="DI33" i="12" a="1"/>
  <c r="DI33" i="12"/>
  <c r="DJ33" i="12" a="1"/>
  <c r="DJ33" i="12"/>
  <c r="DE33" i="12" a="1"/>
  <c r="DE33" i="12"/>
  <c r="DF33" i="12" a="1"/>
  <c r="DF33" i="12"/>
  <c r="DD33" i="12" a="1"/>
  <c r="DD33" i="12"/>
  <c r="BZ46" i="12" a="1"/>
  <c r="BZ46" i="12"/>
  <c r="BV46" i="12" a="1"/>
  <c r="BV46" i="12"/>
  <c r="BO46" i="12" a="1"/>
  <c r="BO46" i="12"/>
  <c r="BQ46" i="12" a="1"/>
  <c r="BQ46" i="12"/>
  <c r="BW46" i="12" a="1"/>
  <c r="BW46" i="12"/>
  <c r="BS46" i="12" a="1"/>
  <c r="BS46" i="12"/>
  <c r="BN46" i="12" a="1"/>
  <c r="BN46" i="12"/>
  <c r="BT46" i="12" a="1"/>
  <c r="BT46" i="12"/>
  <c r="BP46" i="12" a="1"/>
  <c r="BP46" i="12"/>
  <c r="BU46" i="12" a="1"/>
  <c r="BU46" i="12"/>
  <c r="DD45" i="12" a="1"/>
  <c r="DD45" i="12"/>
  <c r="DI45" i="12" a="1"/>
  <c r="DI45" i="12"/>
  <c r="DL45" i="12" a="1"/>
  <c r="DL45" i="12"/>
  <c r="DE45" i="12" a="1"/>
  <c r="DE45" i="12"/>
  <c r="DF45" i="12" a="1"/>
  <c r="DF45" i="12"/>
  <c r="DK45" i="12" a="1"/>
  <c r="DK45" i="12"/>
  <c r="DJ45" i="12" a="1"/>
  <c r="DJ45" i="12"/>
  <c r="DM45" i="12" a="1"/>
  <c r="DM45" i="12"/>
  <c r="DG45" i="12" a="1"/>
  <c r="DG45" i="12"/>
  <c r="CO54" i="12" a="1"/>
  <c r="CO54" i="12"/>
  <c r="CS54" i="12" a="1"/>
  <c r="CS54" i="12"/>
  <c r="CV54" i="12" a="1"/>
  <c r="CV54" i="12"/>
  <c r="CP54" i="12" a="1"/>
  <c r="CP54" i="12"/>
  <c r="CU54" i="12" a="1"/>
  <c r="CU54" i="12"/>
  <c r="CW54" i="12" a="1"/>
  <c r="CW54" i="12"/>
  <c r="CQ54" i="12" a="1"/>
  <c r="CQ54" i="12"/>
  <c r="CR54" i="12" a="1"/>
  <c r="CR54" i="12"/>
  <c r="CY54" i="12" a="1"/>
  <c r="CY54" i="12"/>
  <c r="CX54" i="12" a="1"/>
  <c r="CX54" i="12"/>
  <c r="CO55" i="12" a="1"/>
  <c r="CO55" i="12"/>
  <c r="CX55" i="12" a="1"/>
  <c r="CX55" i="12"/>
  <c r="CY55" i="12" a="1"/>
  <c r="CY55" i="12"/>
  <c r="CV55" i="12" a="1"/>
  <c r="CV55" i="12"/>
  <c r="CS55" i="12" a="1"/>
  <c r="CS55" i="12"/>
  <c r="CR55" i="12" a="1"/>
  <c r="CR55" i="12"/>
  <c r="CU55" i="12" a="1"/>
  <c r="CU55" i="12"/>
  <c r="CP55" i="12" a="1"/>
  <c r="CP55" i="12"/>
  <c r="CW55" i="12" a="1"/>
  <c r="CW55" i="12"/>
  <c r="CQ55" i="12" a="1"/>
  <c r="CQ55" i="12"/>
  <c r="BQ62" i="12" a="1"/>
  <c r="BQ62" i="12"/>
  <c r="BW62" i="12" a="1"/>
  <c r="BW62" i="12"/>
  <c r="BV62" i="12" a="1"/>
  <c r="BV62" i="12"/>
  <c r="BS62" i="12" a="1"/>
  <c r="BS62" i="12"/>
  <c r="BT62" i="12" a="1"/>
  <c r="BT62" i="12"/>
  <c r="BU62" i="12" a="1"/>
  <c r="BU62" i="12"/>
  <c r="BN62" i="12" a="1"/>
  <c r="BN62" i="12"/>
  <c r="BP62" i="12" a="1"/>
  <c r="BP62" i="12"/>
  <c r="BO62" i="12" a="1"/>
  <c r="BO62" i="12"/>
  <c r="CO56" i="12" a="1"/>
  <c r="CO56" i="12"/>
  <c r="CR56" i="12" a="1"/>
  <c r="CR56" i="12"/>
  <c r="CQ56" i="12" a="1"/>
  <c r="CQ56" i="12"/>
  <c r="CW56" i="12" a="1"/>
  <c r="CW56" i="12"/>
  <c r="CY56" i="12" a="1"/>
  <c r="CY56" i="12"/>
  <c r="CS56" i="12" a="1"/>
  <c r="CS56" i="12"/>
  <c r="CV56" i="12" a="1"/>
  <c r="CV56" i="12"/>
  <c r="CX56" i="12" a="1"/>
  <c r="CX56" i="12"/>
  <c r="CU56" i="12" a="1"/>
  <c r="CU56" i="12"/>
  <c r="CP56" i="12" a="1"/>
  <c r="CP56" i="12"/>
  <c r="CO60" i="12" a="1"/>
  <c r="CO60" i="12"/>
  <c r="CV60" i="12" a="1"/>
  <c r="CV60" i="12"/>
  <c r="CW60" i="12" a="1"/>
  <c r="CW60" i="12"/>
  <c r="CR60" i="12" a="1"/>
  <c r="CR60" i="12"/>
  <c r="CP60" i="12" a="1"/>
  <c r="CP60" i="12"/>
  <c r="CX60" i="12" a="1"/>
  <c r="CX60" i="12"/>
  <c r="CY60" i="12" a="1"/>
  <c r="CY60" i="12"/>
  <c r="CS60" i="12" a="1"/>
  <c r="CS60" i="12"/>
  <c r="CQ60" i="12" a="1"/>
  <c r="CQ60" i="12"/>
  <c r="CU60" i="12" a="1"/>
  <c r="CU60" i="12"/>
  <c r="DF64" i="12" a="1"/>
  <c r="DF64" i="12"/>
  <c r="DJ64" i="12" a="1"/>
  <c r="DJ64" i="12"/>
  <c r="DM64" i="12" a="1"/>
  <c r="DM64" i="12"/>
  <c r="DD64" i="12" a="1"/>
  <c r="DD64" i="12"/>
  <c r="DL64" i="12" a="1"/>
  <c r="DL64" i="12"/>
  <c r="DG64" i="12" a="1"/>
  <c r="DG64" i="12"/>
  <c r="DK64" i="12" a="1"/>
  <c r="DK64" i="12"/>
  <c r="DI64" i="12" a="1"/>
  <c r="DI64" i="12"/>
  <c r="DE64" i="12" a="1"/>
  <c r="DE64" i="12"/>
  <c r="CN48" i="12" a="1"/>
  <c r="CN48" i="12"/>
  <c r="CG48" i="12" a="1"/>
  <c r="CG48" i="12"/>
  <c r="CC48" i="12" a="1"/>
  <c r="CC48" i="12"/>
  <c r="CK48" i="12" a="1"/>
  <c r="CK48" i="12"/>
  <c r="CB48" i="12" a="1"/>
  <c r="CB48" i="12"/>
  <c r="CD48" i="12" a="1"/>
  <c r="CD48" i="12"/>
  <c r="CJ48" i="12" a="1"/>
  <c r="CJ48" i="12"/>
  <c r="CH48" i="12" a="1"/>
  <c r="CH48" i="12"/>
  <c r="CE48" i="12" a="1"/>
  <c r="CE48" i="12"/>
  <c r="CI48" i="12" a="1"/>
  <c r="CI48" i="12"/>
  <c r="DF41" i="12" a="1"/>
  <c r="DF41" i="12"/>
  <c r="DM41" i="12" a="1"/>
  <c r="DM41" i="12"/>
  <c r="DG41" i="12" a="1"/>
  <c r="DG41" i="12"/>
  <c r="DL41" i="12" a="1"/>
  <c r="DL41" i="12"/>
  <c r="DE41" i="12" a="1"/>
  <c r="DE41" i="12"/>
  <c r="DJ41" i="12" a="1"/>
  <c r="DJ41" i="12"/>
  <c r="DI41" i="12" a="1"/>
  <c r="DI41" i="12"/>
  <c r="DD41" i="12" a="1"/>
  <c r="DD41" i="12"/>
  <c r="DK41" i="12" a="1"/>
  <c r="DK41" i="12"/>
  <c r="DG38" i="12" a="1"/>
  <c r="DG38" i="12"/>
  <c r="DJ38" i="12" a="1"/>
  <c r="DJ38" i="12"/>
  <c r="DE38" i="12" a="1"/>
  <c r="DE38" i="12"/>
  <c r="DM38" i="12" a="1"/>
  <c r="DM38" i="12"/>
  <c r="DD38" i="12" a="1"/>
  <c r="DD38" i="12"/>
  <c r="DK38" i="12" a="1"/>
  <c r="DK38" i="12"/>
  <c r="DI38" i="12" a="1"/>
  <c r="DI38" i="12"/>
  <c r="DF38" i="12" a="1"/>
  <c r="DF38" i="12"/>
  <c r="DL38" i="12" a="1"/>
  <c r="DL38" i="12"/>
  <c r="CO43" i="12" a="1"/>
  <c r="CO43" i="12"/>
  <c r="CQ43" i="12" a="1"/>
  <c r="CQ43" i="12"/>
  <c r="CY43" i="12" a="1"/>
  <c r="CY43" i="12"/>
  <c r="CV43" i="12" a="1"/>
  <c r="CV43" i="12"/>
  <c r="CW43" i="12" a="1"/>
  <c r="CW43" i="12"/>
  <c r="CP43" i="12" a="1"/>
  <c r="CP43" i="12"/>
  <c r="CU43" i="12" a="1"/>
  <c r="CU43" i="12"/>
  <c r="CS43" i="12" a="1"/>
  <c r="CS43" i="12"/>
  <c r="CR43" i="12" a="1"/>
  <c r="CR43" i="12"/>
  <c r="CX43" i="12" a="1"/>
  <c r="CX43" i="12"/>
  <c r="DD42" i="12" a="1"/>
  <c r="DD42" i="12"/>
  <c r="DF42" i="12" a="1"/>
  <c r="DF42" i="12"/>
  <c r="DI42" i="12" a="1"/>
  <c r="DI42" i="12"/>
  <c r="DG42" i="12" a="1"/>
  <c r="DG42" i="12"/>
  <c r="DJ42" i="12" a="1"/>
  <c r="DJ42" i="12"/>
  <c r="DK42" i="12" a="1"/>
  <c r="DK42" i="12"/>
  <c r="DL42" i="12" a="1"/>
  <c r="DL42" i="12"/>
  <c r="DM42" i="12" a="1"/>
  <c r="DM42" i="12"/>
  <c r="DE42" i="12" a="1"/>
  <c r="DE42" i="12"/>
  <c r="DJ51" i="12" a="1"/>
  <c r="DJ51" i="12"/>
  <c r="DL51" i="12" a="1"/>
  <c r="DL51" i="12"/>
  <c r="DE51" i="12" a="1"/>
  <c r="DE51" i="12"/>
  <c r="DK51" i="12" a="1"/>
  <c r="DK51" i="12"/>
  <c r="DG51" i="12" a="1"/>
  <c r="DG51" i="12"/>
  <c r="DF51" i="12" a="1"/>
  <c r="DF51" i="12"/>
  <c r="DI51" i="12" a="1"/>
  <c r="DI51" i="12"/>
  <c r="DM51" i="12" a="1"/>
  <c r="DM51" i="12"/>
  <c r="DD51" i="12" a="1"/>
  <c r="DD51" i="12"/>
  <c r="DH46" i="12" a="1"/>
  <c r="DH46" i="12"/>
  <c r="DK46" i="12" a="1"/>
  <c r="DK46" i="12"/>
  <c r="DD46" i="12" a="1"/>
  <c r="DD46" i="12"/>
  <c r="DL46" i="12" a="1"/>
  <c r="DL46" i="12"/>
  <c r="DI46" i="12" a="1"/>
  <c r="DI46" i="12"/>
  <c r="DE46" i="12" a="1"/>
  <c r="DE46" i="12"/>
  <c r="DF46" i="12" a="1"/>
  <c r="DF46" i="12"/>
  <c r="DG46" i="12" a="1"/>
  <c r="DG46" i="12"/>
  <c r="DM46" i="12" a="1"/>
  <c r="DM46" i="12"/>
  <c r="DJ46" i="12" a="1"/>
  <c r="DJ46" i="12"/>
  <c r="BO40" i="12" a="1"/>
  <c r="BO40" i="12"/>
  <c r="BV40" i="12" a="1"/>
  <c r="BV40" i="12"/>
  <c r="BW40" i="12" a="1"/>
  <c r="BW40" i="12"/>
  <c r="BU40" i="12" a="1"/>
  <c r="BU40" i="12"/>
  <c r="BQ40" i="12" a="1"/>
  <c r="BQ40" i="12"/>
  <c r="BS40" i="12" a="1"/>
  <c r="BS40" i="12"/>
  <c r="BP40" i="12" a="1"/>
  <c r="BP40" i="12"/>
  <c r="BT40" i="12" a="1"/>
  <c r="BT40" i="12"/>
  <c r="BN40" i="12" a="1"/>
  <c r="BN40" i="12"/>
  <c r="CN54" i="12" a="1"/>
  <c r="CN54" i="12"/>
  <c r="CI54" i="12" a="1"/>
  <c r="CI54" i="12"/>
  <c r="CJ54" i="12" a="1"/>
  <c r="CJ54" i="12"/>
  <c r="CG54" i="12" a="1"/>
  <c r="CG54" i="12"/>
  <c r="CK54" i="12" a="1"/>
  <c r="CK54" i="12"/>
  <c r="CC54" i="12" a="1"/>
  <c r="CC54" i="12"/>
  <c r="CD54" i="12" a="1"/>
  <c r="CD54" i="12"/>
  <c r="CH54" i="12" a="1"/>
  <c r="CH54" i="12"/>
  <c r="CB54" i="12" a="1"/>
  <c r="CB54" i="12"/>
  <c r="CE54" i="12" a="1"/>
  <c r="CE54" i="12"/>
  <c r="DL55" i="12" a="1"/>
  <c r="DL55" i="12"/>
  <c r="DI55" i="12" a="1"/>
  <c r="DI55" i="12"/>
  <c r="DJ55" i="12" a="1"/>
  <c r="DJ55" i="12"/>
  <c r="DM55" i="12" a="1"/>
  <c r="DM55" i="12"/>
  <c r="DE55" i="12" a="1"/>
  <c r="DE55" i="12"/>
  <c r="DD55" i="12" a="1"/>
  <c r="DD55" i="12"/>
  <c r="DF55" i="12" a="1"/>
  <c r="DF55" i="12"/>
  <c r="DK55" i="12" a="1"/>
  <c r="DK55" i="12"/>
  <c r="DG55" i="12" a="1"/>
  <c r="DG55" i="12"/>
  <c r="CO59" i="12" a="1"/>
  <c r="CO59" i="12"/>
  <c r="CU59" i="12" a="1"/>
  <c r="CU59" i="12"/>
  <c r="CP59" i="12" a="1"/>
  <c r="CP59" i="12"/>
  <c r="CQ59" i="12" a="1"/>
  <c r="CQ59" i="12"/>
  <c r="CV59" i="12" a="1"/>
  <c r="CV59" i="12"/>
  <c r="CS59" i="12" a="1"/>
  <c r="CS59" i="12"/>
  <c r="CX59" i="12" a="1"/>
  <c r="CX59" i="12"/>
  <c r="CY59" i="12" a="1"/>
  <c r="CY59" i="12"/>
  <c r="CW59" i="12" a="1"/>
  <c r="CW59" i="12"/>
  <c r="CR59" i="12" a="1"/>
  <c r="CR59" i="12"/>
  <c r="DI62" i="12" a="1"/>
  <c r="DI62" i="12"/>
  <c r="DD62" i="12" a="1"/>
  <c r="DD62" i="12"/>
  <c r="DM62" i="12" a="1"/>
  <c r="DM62" i="12"/>
  <c r="DK62" i="12" a="1"/>
  <c r="DK62" i="12"/>
  <c r="DJ62" i="12" a="1"/>
  <c r="DJ62" i="12"/>
  <c r="DG62" i="12" a="1"/>
  <c r="DG62" i="12"/>
  <c r="DE62" i="12" a="1"/>
  <c r="DE62" i="12"/>
  <c r="DF62" i="12" a="1"/>
  <c r="DF62" i="12"/>
  <c r="DL62" i="12" a="1"/>
  <c r="DL62" i="12"/>
  <c r="DM56" i="12" a="1"/>
  <c r="DM56" i="12"/>
  <c r="DF56" i="12" a="1"/>
  <c r="DF56" i="12"/>
  <c r="DL56" i="12" a="1"/>
  <c r="DL56" i="12"/>
  <c r="DE56" i="12" a="1"/>
  <c r="DE56" i="12"/>
  <c r="DD56" i="12" a="1"/>
  <c r="DD56" i="12"/>
  <c r="DJ56" i="12" a="1"/>
  <c r="DJ56" i="12"/>
  <c r="DI56" i="12" a="1"/>
  <c r="DI56" i="12"/>
  <c r="DG56" i="12" a="1"/>
  <c r="DG56" i="12"/>
  <c r="DK56" i="12" a="1"/>
  <c r="DK56" i="12"/>
  <c r="BU60" i="12" a="1"/>
  <c r="BU60" i="12"/>
  <c r="BN60" i="12" a="1"/>
  <c r="BN60" i="12"/>
  <c r="BO60" i="12" a="1"/>
  <c r="BO60" i="12"/>
  <c r="BQ60" i="12" a="1"/>
  <c r="BQ60" i="12"/>
  <c r="BT60" i="12" a="1"/>
  <c r="BT60" i="12"/>
  <c r="BW60" i="12" a="1"/>
  <c r="BW60" i="12"/>
  <c r="BV60" i="12" a="1"/>
  <c r="BV60" i="12"/>
  <c r="BP60" i="12" a="1"/>
  <c r="BP60" i="12"/>
  <c r="BS60" i="12" a="1"/>
  <c r="BS60" i="12"/>
  <c r="CN64" i="12" a="1"/>
  <c r="CN64" i="12"/>
  <c r="CE64" i="12" a="1"/>
  <c r="CE64" i="12"/>
  <c r="CC64" i="12" a="1"/>
  <c r="CC64" i="12"/>
  <c r="CJ64" i="12" a="1"/>
  <c r="CJ64" i="12"/>
  <c r="CB64" i="12" a="1"/>
  <c r="CB64" i="12"/>
  <c r="CK64" i="12" a="1"/>
  <c r="CK64" i="12"/>
  <c r="CI64" i="12" a="1"/>
  <c r="CI64" i="12"/>
  <c r="CG64" i="12" a="1"/>
  <c r="CG64" i="12"/>
  <c r="CD64" i="12" a="1"/>
  <c r="CD64" i="12"/>
  <c r="CH64" i="12" a="1"/>
  <c r="CH64" i="12"/>
  <c r="BO48" i="12" a="1"/>
  <c r="BO48" i="12"/>
  <c r="BP48" i="12" a="1"/>
  <c r="BP48" i="12"/>
  <c r="BU48" i="12" a="1"/>
  <c r="BU48" i="12"/>
  <c r="BS48" i="12" a="1"/>
  <c r="BS48" i="12"/>
  <c r="BV48" i="12" a="1"/>
  <c r="BV48" i="12"/>
  <c r="BT48" i="12" a="1"/>
  <c r="BT48" i="12"/>
  <c r="BW48" i="12" a="1"/>
  <c r="BW48" i="12"/>
  <c r="BN48" i="12" a="1"/>
  <c r="BN48" i="12"/>
  <c r="BQ48" i="12" a="1"/>
  <c r="BQ48" i="12"/>
  <c r="CO50" i="12" a="1"/>
  <c r="CO50" i="12"/>
  <c r="CR50" i="12" a="1"/>
  <c r="CR50" i="12"/>
  <c r="CQ50" i="12" a="1"/>
  <c r="CQ50" i="12"/>
  <c r="CS50" i="12" a="1"/>
  <c r="CS50" i="12"/>
  <c r="CX50" i="12" a="1"/>
  <c r="CX50" i="12"/>
  <c r="CW50" i="12" a="1"/>
  <c r="CW50" i="12"/>
  <c r="CP50" i="12" a="1"/>
  <c r="CP50" i="12"/>
  <c r="CU50" i="12" a="1"/>
  <c r="CU50" i="12"/>
  <c r="CY50" i="12" a="1"/>
  <c r="CY50" i="12"/>
  <c r="CV50" i="12" a="1"/>
  <c r="CV50" i="12"/>
  <c r="CO44" i="12" a="1"/>
  <c r="CO44" i="12"/>
  <c r="CR44" i="12" a="1"/>
  <c r="CR44" i="12"/>
  <c r="CY44" i="12" a="1"/>
  <c r="CY44" i="12"/>
  <c r="CW44" i="12" a="1"/>
  <c r="CW44" i="12"/>
  <c r="CQ44" i="12" a="1"/>
  <c r="CQ44" i="12"/>
  <c r="CP44" i="12" a="1"/>
  <c r="CP44" i="12"/>
  <c r="CU44" i="12" a="1"/>
  <c r="CU44" i="12"/>
  <c r="CX44" i="12" a="1"/>
  <c r="CX44" i="12"/>
  <c r="CV44" i="12" a="1"/>
  <c r="CV44" i="12"/>
  <c r="CS44" i="12" a="1"/>
  <c r="CS44" i="12"/>
  <c r="CN36" i="12" a="1"/>
  <c r="CN36" i="12"/>
  <c r="CH36" i="12" a="1"/>
  <c r="CH36" i="12"/>
  <c r="CD36" i="12" a="1"/>
  <c r="CD36" i="12"/>
  <c r="CJ36" i="12" a="1"/>
  <c r="CJ36" i="12"/>
  <c r="CE36" i="12" a="1"/>
  <c r="CE36" i="12"/>
  <c r="CC36" i="12" a="1"/>
  <c r="CC36" i="12"/>
  <c r="CG36" i="12" a="1"/>
  <c r="CG36" i="12"/>
  <c r="CB36" i="12" a="1"/>
  <c r="CB36" i="12"/>
  <c r="CI36" i="12" a="1"/>
  <c r="CI36" i="12"/>
  <c r="CK36" i="12" a="1"/>
  <c r="CK36" i="12"/>
  <c r="DL40" i="12" a="1"/>
  <c r="DL40" i="12"/>
  <c r="DG40" i="12" a="1"/>
  <c r="DG40" i="12"/>
  <c r="DI40" i="12" a="1"/>
  <c r="DI40" i="12"/>
  <c r="DK40" i="12" a="1"/>
  <c r="DK40" i="12"/>
  <c r="DJ40" i="12" a="1"/>
  <c r="DJ40" i="12"/>
  <c r="DD40" i="12" a="1"/>
  <c r="DD40" i="12"/>
  <c r="DM40" i="12" a="1"/>
  <c r="DM40" i="12"/>
  <c r="DF40" i="12" a="1"/>
  <c r="DF40" i="12"/>
  <c r="DE40" i="12" a="1"/>
  <c r="DE40" i="12"/>
  <c r="CN59" i="12" a="1"/>
  <c r="CN59" i="12"/>
  <c r="CC59" i="12" a="1"/>
  <c r="CC59" i="12"/>
  <c r="CD59" i="12" a="1"/>
  <c r="CD59" i="12"/>
  <c r="CE59" i="12" a="1"/>
  <c r="CE59" i="12"/>
  <c r="CH59" i="12" a="1"/>
  <c r="CH59" i="12"/>
  <c r="CI59" i="12" a="1"/>
  <c r="CI59" i="12"/>
  <c r="CJ59" i="12" a="1"/>
  <c r="CJ59" i="12"/>
  <c r="CK59" i="12" a="1"/>
  <c r="CK59" i="12"/>
  <c r="CG59" i="12" a="1"/>
  <c r="CG59" i="12"/>
  <c r="CB59" i="12" a="1"/>
  <c r="CB59" i="12"/>
  <c r="BO36" i="12" a="1"/>
  <c r="BO36" i="12"/>
  <c r="BN36" i="12" a="1"/>
  <c r="BN36" i="12"/>
  <c r="BQ36" i="12" a="1"/>
  <c r="BQ36" i="12"/>
  <c r="BU36" i="12" a="1"/>
  <c r="BU36" i="12"/>
  <c r="BS36" i="12" a="1"/>
  <c r="BS36" i="12"/>
  <c r="BW36" i="12" a="1"/>
  <c r="BW36" i="12"/>
  <c r="BV36" i="12" a="1"/>
  <c r="BV36" i="12"/>
  <c r="BP36" i="12" a="1"/>
  <c r="BP36" i="12"/>
  <c r="BT36" i="12" a="1"/>
  <c r="BT36" i="12"/>
  <c r="DL47" i="12" a="1"/>
  <c r="DL47" i="12"/>
  <c r="DI47" i="12" a="1"/>
  <c r="DI47" i="12"/>
  <c r="DG47" i="12" a="1"/>
  <c r="DG47" i="12"/>
  <c r="DD47" i="12" a="1"/>
  <c r="DD47" i="12"/>
  <c r="DF47" i="12" a="1"/>
  <c r="DF47" i="12"/>
  <c r="DM47" i="12" a="1"/>
  <c r="DM47" i="12"/>
  <c r="DK47" i="12" a="1"/>
  <c r="DK47" i="12"/>
  <c r="DJ47" i="12" a="1"/>
  <c r="DJ47" i="12"/>
  <c r="DE47" i="12" a="1"/>
  <c r="DE47" i="12"/>
  <c r="DD61" i="12" a="1"/>
  <c r="DD61" i="12"/>
  <c r="DE61" i="12" a="1"/>
  <c r="DE61" i="12"/>
  <c r="DF61" i="12" a="1"/>
  <c r="DF61" i="12"/>
  <c r="DG61" i="12" a="1"/>
  <c r="DG61" i="12"/>
  <c r="DL61" i="12" a="1"/>
  <c r="DL61" i="12"/>
  <c r="DK61" i="12" a="1"/>
  <c r="DK61" i="12"/>
  <c r="DM61" i="12" a="1"/>
  <c r="DM61" i="12"/>
  <c r="DI61" i="12" a="1"/>
  <c r="DI61" i="12"/>
  <c r="DJ61" i="12" a="1"/>
  <c r="DJ61" i="12"/>
  <c r="CN33" i="12" a="1"/>
  <c r="CN33" i="12"/>
  <c r="CK33" i="12" a="1"/>
  <c r="CK33" i="12"/>
  <c r="CI33" i="12" a="1"/>
  <c r="CI33" i="12"/>
  <c r="CC33" i="12" a="1"/>
  <c r="CC33" i="12"/>
  <c r="CG33" i="12" a="1"/>
  <c r="CG33" i="12"/>
  <c r="CJ33" i="12" a="1"/>
  <c r="CJ33" i="12"/>
  <c r="CB33" i="12" a="1"/>
  <c r="CB33" i="12"/>
  <c r="CE33" i="12" a="1"/>
  <c r="CE33" i="12"/>
  <c r="CH33" i="12" a="1"/>
  <c r="CH33" i="12"/>
  <c r="CD33" i="12" a="1"/>
  <c r="CD33" i="12"/>
  <c r="CN45" i="12" a="1"/>
  <c r="CN45" i="12"/>
  <c r="CJ45" i="12" a="1"/>
  <c r="CJ45" i="12"/>
  <c r="CG45" i="12" a="1"/>
  <c r="CG45" i="12"/>
  <c r="CD45" i="12" a="1"/>
  <c r="CD45" i="12"/>
  <c r="CH45" i="12" a="1"/>
  <c r="CH45" i="12"/>
  <c r="CB45" i="12" a="1"/>
  <c r="CB45" i="12"/>
  <c r="CE45" i="12" a="1"/>
  <c r="CE45" i="12"/>
  <c r="CI45" i="12" a="1"/>
  <c r="CI45" i="12"/>
  <c r="CC45" i="12" a="1"/>
  <c r="CC45" i="12"/>
  <c r="CK45" i="12" a="1"/>
  <c r="CK45" i="12"/>
  <c r="CN40" i="12" a="1"/>
  <c r="CN40" i="12"/>
  <c r="CI40" i="12" a="1"/>
  <c r="CI40" i="12"/>
  <c r="CC40" i="12" a="1"/>
  <c r="CC40" i="12"/>
  <c r="CB40" i="12" a="1"/>
  <c r="CB40" i="12"/>
  <c r="CH40" i="12" a="1"/>
  <c r="CH40" i="12"/>
  <c r="CG40" i="12" a="1"/>
  <c r="CG40" i="12"/>
  <c r="CK40" i="12" a="1"/>
  <c r="CK40" i="12"/>
  <c r="CJ40" i="12" a="1"/>
  <c r="CJ40" i="12"/>
  <c r="CD40" i="12" a="1"/>
  <c r="CD40" i="12"/>
  <c r="CE40" i="12" a="1"/>
  <c r="CE40" i="12"/>
  <c r="DG54" i="12" a="1"/>
  <c r="DG54" i="12"/>
  <c r="DM54" i="12" a="1"/>
  <c r="DM54" i="12"/>
  <c r="DK54" i="12" a="1"/>
  <c r="DK54" i="12"/>
  <c r="DD54" i="12" a="1"/>
  <c r="DD54" i="12"/>
  <c r="DF54" i="12" a="1"/>
  <c r="DF54" i="12"/>
  <c r="DL54" i="12" a="1"/>
  <c r="DL54" i="12"/>
  <c r="DE54" i="12" a="1"/>
  <c r="DE54" i="12"/>
  <c r="DJ54" i="12" a="1"/>
  <c r="DJ54" i="12"/>
  <c r="DI54" i="12" a="1"/>
  <c r="DI54" i="12"/>
  <c r="BV55" i="12" a="1"/>
  <c r="BV55" i="12"/>
  <c r="BQ55" i="12" a="1"/>
  <c r="BQ55" i="12"/>
  <c r="BP55" i="12" a="1"/>
  <c r="BP55" i="12"/>
  <c r="BU55" i="12" a="1"/>
  <c r="BU55" i="12"/>
  <c r="BS55" i="12" a="1"/>
  <c r="BS55" i="12"/>
  <c r="BO55" i="12" a="1"/>
  <c r="BO55" i="12"/>
  <c r="BW55" i="12" a="1"/>
  <c r="BW55" i="12"/>
  <c r="BN55" i="12" a="1"/>
  <c r="BN55" i="12"/>
  <c r="BT55" i="12" a="1"/>
  <c r="BT55" i="12"/>
  <c r="BS59" i="12" a="1"/>
  <c r="BS59" i="12"/>
  <c r="BT59" i="12" a="1"/>
  <c r="BT59" i="12"/>
  <c r="BO59" i="12" a="1"/>
  <c r="BO59" i="12"/>
  <c r="BW59" i="12" a="1"/>
  <c r="BW59" i="12"/>
  <c r="BQ59" i="12" a="1"/>
  <c r="BQ59" i="12"/>
  <c r="BP59" i="12" a="1"/>
  <c r="BP59" i="12"/>
  <c r="BU59" i="12" a="1"/>
  <c r="BU59" i="12"/>
  <c r="BN59" i="12" a="1"/>
  <c r="BN59" i="12"/>
  <c r="BV59" i="12" a="1"/>
  <c r="BV59" i="12"/>
  <c r="CO62" i="12" a="1"/>
  <c r="CO62" i="12"/>
  <c r="CU62" i="12" a="1"/>
  <c r="CU62" i="12"/>
  <c r="CW62" i="12" a="1"/>
  <c r="CW62" i="12"/>
  <c r="CS62" i="12" a="1"/>
  <c r="CS62" i="12"/>
  <c r="CX62" i="12" a="1"/>
  <c r="CX62" i="12"/>
  <c r="CP62" i="12" a="1"/>
  <c r="CP62" i="12"/>
  <c r="CR62" i="12" a="1"/>
  <c r="CR62" i="12"/>
  <c r="CQ62" i="12" a="1"/>
  <c r="CQ62" i="12"/>
  <c r="CY62" i="12" a="1"/>
  <c r="CY62" i="12"/>
  <c r="CV62" i="12" a="1"/>
  <c r="CV62" i="12"/>
  <c r="BT56" i="12" a="1"/>
  <c r="BT56" i="12"/>
  <c r="BN56" i="12" a="1"/>
  <c r="BN56" i="12"/>
  <c r="BS56" i="12" a="1"/>
  <c r="BS56" i="12"/>
  <c r="BO56" i="12" a="1"/>
  <c r="BO56" i="12"/>
  <c r="BP56" i="12" a="1"/>
  <c r="BP56" i="12"/>
  <c r="BV56" i="12" a="1"/>
  <c r="BV56" i="12"/>
  <c r="BQ56" i="12" a="1"/>
  <c r="BQ56" i="12"/>
  <c r="BW56" i="12" a="1"/>
  <c r="BW56" i="12"/>
  <c r="BU56" i="12" a="1"/>
  <c r="BU56" i="12"/>
  <c r="DI60" i="12" a="1"/>
  <c r="DI60" i="12"/>
  <c r="DJ60" i="12" a="1"/>
  <c r="DJ60" i="12"/>
  <c r="DF60" i="12" a="1"/>
  <c r="DF60" i="12"/>
  <c r="DL60" i="12" a="1"/>
  <c r="DL60" i="12"/>
  <c r="DE60" i="12" a="1"/>
  <c r="DE60" i="12"/>
  <c r="DK60" i="12" a="1"/>
  <c r="DK60" i="12"/>
  <c r="DM60" i="12" a="1"/>
  <c r="DM60" i="12"/>
  <c r="DD60" i="12" a="1"/>
  <c r="DD60" i="12"/>
  <c r="DG60" i="12" a="1"/>
  <c r="DG60" i="12"/>
  <c r="CO64" i="12" a="1"/>
  <c r="CO64" i="12"/>
  <c r="CU64" i="12" a="1"/>
  <c r="CU64" i="12"/>
  <c r="CV64" i="12" a="1"/>
  <c r="CV64" i="12"/>
  <c r="CQ64" i="12" a="1"/>
  <c r="CQ64" i="12"/>
  <c r="CY64" i="12" a="1"/>
  <c r="CY64" i="12"/>
  <c r="CR64" i="12" a="1"/>
  <c r="CR64" i="12"/>
  <c r="CW64" i="12" a="1"/>
  <c r="CW64" i="12"/>
  <c r="CP64" i="12" a="1"/>
  <c r="CP64" i="12"/>
  <c r="CS64" i="12" a="1"/>
  <c r="CS64" i="12"/>
  <c r="CX64" i="12" a="1"/>
  <c r="CX64" i="12"/>
  <c r="CO48" i="12" a="1"/>
  <c r="CO48" i="12"/>
  <c r="CP48" i="12" a="1"/>
  <c r="CP48" i="12"/>
  <c r="CX48" i="12" a="1"/>
  <c r="CX48" i="12"/>
  <c r="CW48" i="12" a="1"/>
  <c r="CW48" i="12"/>
  <c r="CU48" i="12" a="1"/>
  <c r="CU48" i="12"/>
  <c r="CS48" i="12" a="1"/>
  <c r="CS48" i="12"/>
  <c r="CR48" i="12" a="1"/>
  <c r="CR48" i="12"/>
  <c r="CY48" i="12" a="1"/>
  <c r="CY48" i="12"/>
  <c r="CQ48" i="12" a="1"/>
  <c r="CQ48" i="12"/>
  <c r="CV48" i="12" a="1"/>
  <c r="CV48" i="12"/>
  <c r="BP39" i="12" a="1"/>
  <c r="BP39" i="12"/>
  <c r="BU39" i="12" a="1"/>
  <c r="BU39" i="12"/>
  <c r="BT39" i="12" a="1"/>
  <c r="BT39" i="12"/>
  <c r="BV39" i="12" a="1"/>
  <c r="BV39" i="12"/>
  <c r="BQ39" i="12" a="1"/>
  <c r="BQ39" i="12"/>
  <c r="BO39" i="12" a="1"/>
  <c r="BO39" i="12"/>
  <c r="BS39" i="12" a="1"/>
  <c r="BS39" i="12"/>
  <c r="BW39" i="12" a="1"/>
  <c r="BW39" i="12"/>
  <c r="BN39" i="12" a="1"/>
  <c r="BN39" i="12"/>
  <c r="CO41" i="12" a="1"/>
  <c r="CO41" i="12"/>
  <c r="CP41" i="12" a="1"/>
  <c r="CP41" i="12"/>
  <c r="CU41" i="12" a="1"/>
  <c r="CU41" i="12"/>
  <c r="CW41" i="12" a="1"/>
  <c r="CW41" i="12"/>
  <c r="CX41" i="12" a="1"/>
  <c r="CX41" i="12"/>
  <c r="CR41" i="12" a="1"/>
  <c r="CR41" i="12"/>
  <c r="CS41" i="12" a="1"/>
  <c r="CS41" i="12"/>
  <c r="CQ41" i="12" a="1"/>
  <c r="CQ41" i="12"/>
  <c r="CV41" i="12" a="1"/>
  <c r="CV41" i="12"/>
  <c r="CY41" i="12" a="1"/>
  <c r="CY41" i="12"/>
  <c r="BQ38" i="12" a="1"/>
  <c r="BQ38" i="12"/>
  <c r="BP38" i="12" a="1"/>
  <c r="BP38" i="12"/>
  <c r="BV38" i="12" a="1"/>
  <c r="BV38" i="12"/>
  <c r="BS38" i="12" a="1"/>
  <c r="BS38" i="12"/>
  <c r="BU38" i="12" a="1"/>
  <c r="BU38" i="12"/>
  <c r="BO38" i="12" a="1"/>
  <c r="BO38" i="12"/>
  <c r="BW38" i="12" a="1"/>
  <c r="BW38" i="12"/>
  <c r="BT38" i="12" a="1"/>
  <c r="BT38" i="12"/>
  <c r="BN38" i="12" a="1"/>
  <c r="BN38" i="12"/>
  <c r="CN43" i="12" a="1"/>
  <c r="CN43" i="12"/>
  <c r="CK43" i="12" a="1"/>
  <c r="CK43" i="12"/>
  <c r="CB43" i="12" a="1"/>
  <c r="CB43" i="12"/>
  <c r="CG43" i="12" a="1"/>
  <c r="CG43" i="12"/>
  <c r="CE43" i="12" a="1"/>
  <c r="CE43" i="12"/>
  <c r="CC43" i="12" a="1"/>
  <c r="CC43" i="12"/>
  <c r="CH43" i="12" a="1"/>
  <c r="CH43" i="12"/>
  <c r="CI43" i="12" a="1"/>
  <c r="CI43" i="12"/>
  <c r="CD43" i="12" a="1"/>
  <c r="CD43" i="12"/>
  <c r="CJ43" i="12" a="1"/>
  <c r="CJ43" i="12"/>
  <c r="BO42" i="12" a="1"/>
  <c r="BO42" i="12"/>
  <c r="BU42" i="12" a="1"/>
  <c r="BU42" i="12"/>
  <c r="BT42" i="12" a="1"/>
  <c r="BT42" i="12"/>
  <c r="BS42" i="12" a="1"/>
  <c r="BS42" i="12"/>
  <c r="BP42" i="12" a="1"/>
  <c r="BP42" i="12"/>
  <c r="BN42" i="12" a="1"/>
  <c r="BN42" i="12"/>
  <c r="BW42" i="12" a="1"/>
  <c r="BW42" i="12"/>
  <c r="BQ42" i="12" a="1"/>
  <c r="BQ42" i="12"/>
  <c r="BV42" i="12" a="1"/>
  <c r="BV42" i="12"/>
  <c r="BS61" i="12" a="1"/>
  <c r="BS61" i="12"/>
  <c r="BU61" i="12" a="1"/>
  <c r="BU61" i="12"/>
  <c r="BO61" i="12" a="1"/>
  <c r="BO61" i="12"/>
  <c r="BW61" i="12" a="1"/>
  <c r="BW61" i="12"/>
  <c r="BV61" i="12" a="1"/>
  <c r="BV61" i="12"/>
  <c r="BT61" i="12" a="1"/>
  <c r="BT61" i="12"/>
  <c r="BN61" i="12" a="1"/>
  <c r="BN61" i="12"/>
  <c r="BP61" i="12" a="1"/>
  <c r="BP61" i="12"/>
  <c r="BQ61" i="12" a="1"/>
  <c r="BQ61" i="12"/>
  <c r="BT33" i="12" a="1"/>
  <c r="BT33" i="12"/>
  <c r="BQ33" i="12" a="1"/>
  <c r="BQ33" i="12"/>
  <c r="BV33" i="12" a="1"/>
  <c r="BV33" i="12"/>
  <c r="BU33" i="12" a="1"/>
  <c r="BU33" i="12"/>
  <c r="BN33" i="12" a="1"/>
  <c r="BN33" i="12"/>
  <c r="BO33" i="12" a="1"/>
  <c r="BO33" i="12"/>
  <c r="BP33" i="12" a="1"/>
  <c r="BP33" i="12"/>
  <c r="BS33" i="12" a="1"/>
  <c r="BS33" i="12"/>
  <c r="BW33" i="12" a="1"/>
  <c r="BW33" i="12"/>
  <c r="DJ34" i="12" a="1"/>
  <c r="DJ34" i="12"/>
  <c r="DK34" i="12" a="1"/>
  <c r="DK34" i="12"/>
  <c r="DM34" i="12" a="1"/>
  <c r="DM34" i="12"/>
  <c r="DD34" i="12" a="1"/>
  <c r="DD34" i="12"/>
  <c r="DL34" i="12" a="1"/>
  <c r="DL34" i="12"/>
  <c r="DI34" i="12" a="1"/>
  <c r="DI34" i="12"/>
  <c r="DF34" i="12" a="1"/>
  <c r="DF34" i="12"/>
  <c r="DE34" i="12" a="1"/>
  <c r="DE34" i="12"/>
  <c r="DG34" i="12" a="1"/>
  <c r="DG34" i="12"/>
  <c r="BP44" i="12" a="1"/>
  <c r="BP44" i="12"/>
  <c r="BQ44" i="12" a="1"/>
  <c r="BQ44" i="12"/>
  <c r="BW44" i="12" a="1"/>
  <c r="BW44" i="12"/>
  <c r="BO44" i="12" a="1"/>
  <c r="BO44" i="12"/>
  <c r="BV44" i="12" a="1"/>
  <c r="BV44" i="12"/>
  <c r="BU44" i="12" a="1"/>
  <c r="BU44" i="12"/>
  <c r="BS44" i="12" a="1"/>
  <c r="BS44" i="12"/>
  <c r="BT44" i="12" a="1"/>
  <c r="BT44" i="12"/>
  <c r="BN44" i="12" a="1"/>
  <c r="BN44" i="12"/>
  <c r="CN49" i="12" a="1"/>
  <c r="CN49" i="12"/>
  <c r="CC49" i="12" a="1"/>
  <c r="CC49" i="12"/>
  <c r="CK49" i="12" a="1"/>
  <c r="CK49" i="12"/>
  <c r="CE49" i="12" a="1"/>
  <c r="CE49" i="12"/>
  <c r="CB49" i="12" a="1"/>
  <c r="CB49" i="12"/>
  <c r="CD49" i="12" a="1"/>
  <c r="CD49" i="12"/>
  <c r="CH49" i="12" a="1"/>
  <c r="CH49" i="12"/>
  <c r="CG49" i="12" a="1"/>
  <c r="CG49" i="12"/>
  <c r="CI49" i="12" a="1"/>
  <c r="CI49" i="12"/>
  <c r="CJ49" i="12" a="1"/>
  <c r="CJ49" i="12"/>
  <c r="CE46" i="12" a="1"/>
  <c r="CE46" i="12"/>
  <c r="CC46" i="12" a="1"/>
  <c r="CC46" i="12"/>
  <c r="CB46" i="12" a="1"/>
  <c r="CB46" i="12"/>
  <c r="CD46" i="12" a="1"/>
  <c r="CD46" i="12"/>
  <c r="CG46" i="12" a="1"/>
  <c r="CG46" i="12"/>
  <c r="CK46" i="12" a="1"/>
  <c r="CK46" i="12"/>
  <c r="CH46" i="12" a="1"/>
  <c r="CH46" i="12"/>
  <c r="CJ46" i="12" a="1"/>
  <c r="CJ46" i="12"/>
  <c r="CI46" i="12" a="1"/>
  <c r="CI46" i="12"/>
  <c r="CN35" i="12" a="1"/>
  <c r="CN35" i="12"/>
  <c r="CB35" i="12" a="1"/>
  <c r="CB35" i="12"/>
  <c r="CH35" i="12" a="1"/>
  <c r="CH35" i="12"/>
  <c r="CD35" i="12" a="1"/>
  <c r="CD35" i="12"/>
  <c r="CI35" i="12" a="1"/>
  <c r="CI35" i="12"/>
  <c r="CG35" i="12" a="1"/>
  <c r="CG35" i="12"/>
  <c r="CK35" i="12" a="1"/>
  <c r="CK35" i="12"/>
  <c r="CC35" i="12" a="1"/>
  <c r="CC35" i="12"/>
  <c r="CE35" i="12" a="1"/>
  <c r="CE35" i="12"/>
  <c r="CJ35" i="12" a="1"/>
  <c r="CJ35" i="12"/>
  <c r="CO34" i="12" a="1"/>
  <c r="CO34" i="12"/>
  <c r="CU34" i="12" a="1"/>
  <c r="CU34" i="12"/>
  <c r="CX34" i="12" a="1"/>
  <c r="CX34" i="12"/>
  <c r="CP34" i="12" a="1"/>
  <c r="CP34" i="12"/>
  <c r="CR34" i="12" a="1"/>
  <c r="CR34" i="12"/>
  <c r="CV34" i="12" a="1"/>
  <c r="CV34" i="12"/>
  <c r="CW34" i="12" a="1"/>
  <c r="CW34" i="12"/>
  <c r="CY34" i="12" a="1"/>
  <c r="CY34" i="12"/>
  <c r="CS34" i="12" a="1"/>
  <c r="CS34" i="12"/>
  <c r="CQ34" i="12" a="1"/>
  <c r="CQ34" i="12"/>
  <c r="CO49" i="12" a="1"/>
  <c r="CO49" i="12"/>
  <c r="CP49" i="12" a="1"/>
  <c r="CP49" i="12"/>
  <c r="CW49" i="12" a="1"/>
  <c r="CW49" i="12"/>
  <c r="CQ49" i="12" a="1"/>
  <c r="CQ49" i="12"/>
  <c r="CU49" i="12" a="1"/>
  <c r="CU49" i="12"/>
  <c r="CX49" i="12" a="1"/>
  <c r="CX49" i="12"/>
  <c r="CR49" i="12" a="1"/>
  <c r="CR49" i="12"/>
  <c r="CY49" i="12" a="1"/>
  <c r="CY49" i="12"/>
  <c r="CV49" i="12" a="1"/>
  <c r="CV49" i="12"/>
  <c r="CS49" i="12" a="1"/>
  <c r="CS49" i="12"/>
  <c r="DK50" i="12" a="1"/>
  <c r="DK50" i="12"/>
  <c r="DD50" i="12" a="1"/>
  <c r="DD50" i="12"/>
  <c r="DL50" i="12" a="1"/>
  <c r="DL50" i="12"/>
  <c r="DF50" i="12" a="1"/>
  <c r="DF50" i="12"/>
  <c r="DM50" i="12" a="1"/>
  <c r="DM50" i="12"/>
  <c r="DG50" i="12" a="1"/>
  <c r="DG50" i="12"/>
  <c r="DE50" i="12" a="1"/>
  <c r="DE50" i="12"/>
  <c r="DI50" i="12" a="1"/>
  <c r="DI50" i="12"/>
  <c r="DJ50" i="12" a="1"/>
  <c r="DJ50" i="12"/>
  <c r="DI39" i="12" a="1"/>
  <c r="DI39" i="12"/>
  <c r="DE39" i="12" a="1"/>
  <c r="DE39" i="12"/>
  <c r="DM39" i="12" a="1"/>
  <c r="DM39" i="12"/>
  <c r="DL39" i="12" a="1"/>
  <c r="DL39" i="12"/>
  <c r="DK39" i="12" a="1"/>
  <c r="DK39" i="12"/>
  <c r="DD39" i="12" a="1"/>
  <c r="DD39" i="12"/>
  <c r="DF39" i="12" a="1"/>
  <c r="DF39" i="12"/>
  <c r="DJ39" i="12" a="1"/>
  <c r="DJ39" i="12"/>
  <c r="DG39" i="12" a="1"/>
  <c r="DG39" i="12"/>
  <c r="CO35" i="12" a="1"/>
  <c r="CO35" i="12"/>
  <c r="CR35" i="12" a="1"/>
  <c r="CR35" i="12"/>
  <c r="CX35" i="12" a="1"/>
  <c r="CX35" i="12"/>
  <c r="CS35" i="12" a="1"/>
  <c r="CS35" i="12"/>
  <c r="CY35" i="12" a="1"/>
  <c r="CY35" i="12"/>
  <c r="CQ35" i="12" a="1"/>
  <c r="CQ35" i="12"/>
  <c r="CW35" i="12" a="1"/>
  <c r="CW35" i="12"/>
  <c r="CP35" i="12" a="1"/>
  <c r="CP35" i="12"/>
  <c r="CU35" i="12" a="1"/>
  <c r="CU35" i="12"/>
  <c r="CV35" i="12" a="1"/>
  <c r="CV35" i="12"/>
  <c r="CN34" i="12" a="1"/>
  <c r="CN34" i="12"/>
  <c r="CG34" i="12" a="1"/>
  <c r="CG34" i="12"/>
  <c r="CD34" i="12" a="1"/>
  <c r="CD34" i="12"/>
  <c r="CK34" i="12" a="1"/>
  <c r="CK34" i="12"/>
  <c r="CB34" i="12" a="1"/>
  <c r="CB34" i="12"/>
  <c r="CE34" i="12" a="1"/>
  <c r="CE34" i="12"/>
  <c r="CC34" i="12" a="1"/>
  <c r="CC34" i="12"/>
  <c r="CI34" i="12" a="1"/>
  <c r="CI34" i="12"/>
  <c r="CH34" i="12" a="1"/>
  <c r="CH34" i="12"/>
  <c r="CJ34" i="12" a="1"/>
  <c r="CJ34" i="12"/>
  <c r="DJ49" i="12" a="1"/>
  <c r="DJ49" i="12"/>
  <c r="DG49" i="12" a="1"/>
  <c r="DG49" i="12"/>
  <c r="DE49" i="12" a="1"/>
  <c r="DE49" i="12"/>
  <c r="DI49" i="12" a="1"/>
  <c r="DI49" i="12"/>
  <c r="DF49" i="12" a="1"/>
  <c r="DF49" i="12"/>
  <c r="DL49" i="12" a="1"/>
  <c r="DL49" i="12"/>
  <c r="DD49" i="12" a="1"/>
  <c r="DD49" i="12"/>
  <c r="DM49" i="12" a="1"/>
  <c r="DM49" i="12"/>
  <c r="DK49" i="12" a="1"/>
  <c r="DK49" i="12"/>
  <c r="CN50" i="12" a="1"/>
  <c r="CN50" i="12"/>
  <c r="CI50" i="12" a="1"/>
  <c r="CI50" i="12"/>
  <c r="CG50" i="12" a="1"/>
  <c r="CG50" i="12"/>
  <c r="CB50" i="12" a="1"/>
  <c r="CB50" i="12"/>
  <c r="CH50" i="12" a="1"/>
  <c r="CH50" i="12"/>
  <c r="CJ50" i="12" a="1"/>
  <c r="CJ50" i="12"/>
  <c r="CC50" i="12" a="1"/>
  <c r="CC50" i="12"/>
  <c r="CD50" i="12" a="1"/>
  <c r="CD50" i="12"/>
  <c r="CE50" i="12" a="1"/>
  <c r="CE50" i="12"/>
  <c r="CK50" i="12" a="1"/>
  <c r="CK50" i="12"/>
  <c r="BT35" i="12" a="1"/>
  <c r="BT35" i="12"/>
  <c r="BQ35" i="12" a="1"/>
  <c r="BQ35" i="12"/>
  <c r="BS35" i="12" a="1"/>
  <c r="BS35" i="12"/>
  <c r="BU35" i="12" a="1"/>
  <c r="BU35" i="12"/>
  <c r="BN35" i="12" a="1"/>
  <c r="BN35" i="12"/>
  <c r="BO35" i="12" a="1"/>
  <c r="BO35" i="12"/>
  <c r="BW35" i="12" a="1"/>
  <c r="BW35" i="12"/>
  <c r="BV35" i="12" a="1"/>
  <c r="BV35" i="12"/>
  <c r="BP35" i="12" a="1"/>
  <c r="BP35" i="12"/>
  <c r="DK36" i="12" a="1"/>
  <c r="DK36" i="12"/>
  <c r="DM36" i="12" a="1"/>
  <c r="DM36" i="12"/>
  <c r="DE36" i="12" a="1"/>
  <c r="DE36" i="12"/>
  <c r="DI36" i="12" a="1"/>
  <c r="DI36" i="12"/>
  <c r="DL36" i="12" a="1"/>
  <c r="DL36" i="12"/>
  <c r="DF36" i="12" a="1"/>
  <c r="DF36" i="12"/>
  <c r="DG36" i="12" a="1"/>
  <c r="DG36" i="12"/>
  <c r="DD36" i="12" a="1"/>
  <c r="DD36" i="12"/>
  <c r="DJ36" i="12" a="1"/>
  <c r="DJ36" i="12"/>
  <c r="CO47" i="12" a="1"/>
  <c r="CO47" i="12"/>
  <c r="CV47" i="12" a="1"/>
  <c r="CV47" i="12"/>
  <c r="CW47" i="12" a="1"/>
  <c r="CW47" i="12"/>
  <c r="CY47" i="12" a="1"/>
  <c r="CY47" i="12"/>
  <c r="CQ47" i="12" a="1"/>
  <c r="CQ47" i="12"/>
  <c r="CR47" i="12" a="1"/>
  <c r="CR47" i="12"/>
  <c r="CU47" i="12" a="1"/>
  <c r="CU47" i="12"/>
  <c r="CP47" i="12" a="1"/>
  <c r="CP47" i="12"/>
  <c r="CS47" i="12" a="1"/>
  <c r="CS47" i="12"/>
  <c r="CX47" i="12" a="1"/>
  <c r="CX47" i="12"/>
  <c r="CN44" i="12" a="1"/>
  <c r="CN44" i="12"/>
  <c r="CD44" i="12" a="1"/>
  <c r="CD44" i="12"/>
  <c r="CB44" i="12" a="1"/>
  <c r="CB44" i="12"/>
  <c r="CC44" i="12" a="1"/>
  <c r="CC44" i="12"/>
  <c r="CI44" i="12" a="1"/>
  <c r="CI44" i="12"/>
  <c r="CE44" i="12" a="1"/>
  <c r="CE44" i="12"/>
  <c r="CJ44" i="12" a="1"/>
  <c r="CJ44" i="12"/>
  <c r="CK44" i="12" a="1"/>
  <c r="CK44" i="12"/>
  <c r="CH44" i="12" a="1"/>
  <c r="CH44" i="12"/>
  <c r="CG44" i="12" a="1"/>
  <c r="CG44" i="12"/>
  <c r="CO45" i="12" a="1"/>
  <c r="CO45" i="12"/>
  <c r="CQ45" i="12" a="1"/>
  <c r="CQ45" i="12"/>
  <c r="CR45" i="12" a="1"/>
  <c r="CR45" i="12"/>
  <c r="CS45" i="12" a="1"/>
  <c r="CS45" i="12"/>
  <c r="CY45" i="12" a="1"/>
  <c r="CY45" i="12"/>
  <c r="CU45" i="12" a="1"/>
  <c r="CU45" i="12"/>
  <c r="CP45" i="12" a="1"/>
  <c r="CP45" i="12"/>
  <c r="CX45" i="12" a="1"/>
  <c r="CX45" i="12"/>
  <c r="CW45" i="12" a="1"/>
  <c r="CW45" i="12"/>
  <c r="CV45" i="12" a="1"/>
  <c r="CV45" i="12"/>
  <c r="CO40" i="12" a="1"/>
  <c r="CO40" i="12"/>
  <c r="CW40" i="12" a="1"/>
  <c r="CW40" i="12"/>
  <c r="CP40" i="12" a="1"/>
  <c r="CP40" i="12"/>
  <c r="CU40" i="12" a="1"/>
  <c r="CU40" i="12"/>
  <c r="CQ40" i="12" a="1"/>
  <c r="CQ40" i="12"/>
  <c r="CV40" i="12" a="1"/>
  <c r="CV40" i="12"/>
  <c r="CY40" i="12" a="1"/>
  <c r="CY40" i="12"/>
  <c r="CS40" i="12" a="1"/>
  <c r="CS40" i="12"/>
  <c r="CR40" i="12" a="1"/>
  <c r="CR40" i="12"/>
  <c r="CX40" i="12" a="1"/>
  <c r="CX40" i="12"/>
  <c r="BN54" i="12" a="1"/>
  <c r="BN54" i="12"/>
  <c r="BU54" i="12" a="1"/>
  <c r="BU54" i="12"/>
  <c r="BV54" i="12" a="1"/>
  <c r="BV54" i="12"/>
  <c r="BS54" i="12" a="1"/>
  <c r="BS54" i="12"/>
  <c r="BW54" i="12" a="1"/>
  <c r="BW54" i="12"/>
  <c r="BT54" i="12" a="1"/>
  <c r="BT54" i="12"/>
  <c r="BO54" i="12" a="1"/>
  <c r="BO54" i="12"/>
  <c r="BP54" i="12" a="1"/>
  <c r="BP54" i="12"/>
  <c r="BQ54" i="12" a="1"/>
  <c r="BQ54" i="12"/>
  <c r="CN55" i="12" a="1"/>
  <c r="CN55" i="12"/>
  <c r="CD55" i="12" a="1"/>
  <c r="CD55" i="12"/>
  <c r="CE55" i="12" a="1"/>
  <c r="CE55" i="12"/>
  <c r="CB55" i="12" a="1"/>
  <c r="CB55" i="12"/>
  <c r="CI55" i="12" a="1"/>
  <c r="CI55" i="12"/>
  <c r="CH55" i="12" a="1"/>
  <c r="CH55" i="12"/>
  <c r="CJ55" i="12" a="1"/>
  <c r="CJ55" i="12"/>
  <c r="CG55" i="12" a="1"/>
  <c r="CG55" i="12"/>
  <c r="CK55" i="12" a="1"/>
  <c r="CK55" i="12"/>
  <c r="CC55" i="12" a="1"/>
  <c r="CC55" i="12"/>
  <c r="DG59" i="12" a="1"/>
  <c r="DG59" i="12"/>
  <c r="DF59" i="12" a="1"/>
  <c r="DF59" i="12"/>
  <c r="DI59" i="12" a="1"/>
  <c r="DI59" i="12"/>
  <c r="DM59" i="12" a="1"/>
  <c r="DM59" i="12"/>
  <c r="DL59" i="12" a="1"/>
  <c r="DL59" i="12"/>
  <c r="DJ59" i="12" a="1"/>
  <c r="DJ59" i="12"/>
  <c r="DK59" i="12" a="1"/>
  <c r="DK59" i="12"/>
  <c r="DD59" i="12" a="1"/>
  <c r="DD59" i="12"/>
  <c r="DE59" i="12" a="1"/>
  <c r="DE59" i="12"/>
  <c r="CN62" i="12" a="1"/>
  <c r="CN62" i="12"/>
  <c r="CC62" i="12" a="1"/>
  <c r="CC62" i="12"/>
  <c r="CJ62" i="12" a="1"/>
  <c r="CJ62" i="12"/>
  <c r="CB62" i="12" a="1"/>
  <c r="CB62" i="12"/>
  <c r="CD62" i="12" a="1"/>
  <c r="CD62" i="12"/>
  <c r="CK62" i="12" a="1"/>
  <c r="CK62" i="12"/>
  <c r="CH62" i="12" a="1"/>
  <c r="CH62" i="12"/>
  <c r="CI62" i="12" a="1"/>
  <c r="CI62" i="12"/>
  <c r="CG62" i="12" a="1"/>
  <c r="CG62" i="12"/>
  <c r="CE62" i="12" a="1"/>
  <c r="CE62" i="12"/>
  <c r="CN56" i="12" a="1"/>
  <c r="CN56" i="12"/>
  <c r="CB56" i="12" a="1"/>
  <c r="CB56" i="12"/>
  <c r="CI56" i="12" a="1"/>
  <c r="CI56" i="12"/>
  <c r="CC56" i="12" a="1"/>
  <c r="CC56" i="12"/>
  <c r="CD56" i="12" a="1"/>
  <c r="CD56" i="12"/>
  <c r="CE56" i="12" a="1"/>
  <c r="CE56" i="12"/>
  <c r="CG56" i="12" a="1"/>
  <c r="CG56" i="12"/>
  <c r="CK56" i="12" a="1"/>
  <c r="CK56" i="12"/>
  <c r="CJ56" i="12" a="1"/>
  <c r="CJ56" i="12"/>
  <c r="CH56" i="12" a="1"/>
  <c r="CH56" i="12"/>
  <c r="CN60" i="12" a="1"/>
  <c r="CN60" i="12"/>
  <c r="CG60" i="12" a="1"/>
  <c r="CG60" i="12"/>
  <c r="CD60" i="12" a="1"/>
  <c r="CD60" i="12"/>
  <c r="CB60" i="12" a="1"/>
  <c r="CB60" i="12"/>
  <c r="CC60" i="12" a="1"/>
  <c r="CC60" i="12"/>
  <c r="CI60" i="12" a="1"/>
  <c r="CI60" i="12"/>
  <c r="CJ60" i="12" a="1"/>
  <c r="CJ60" i="12"/>
  <c r="CK60" i="12" a="1"/>
  <c r="CK60" i="12"/>
  <c r="CH60" i="12" a="1"/>
  <c r="CH60" i="12"/>
  <c r="CE60" i="12" a="1"/>
  <c r="CE60" i="12"/>
  <c r="BQ64" i="12" a="1"/>
  <c r="BQ64" i="12"/>
  <c r="BO64" i="12" a="1"/>
  <c r="BO64" i="12"/>
  <c r="BS64" i="12" a="1"/>
  <c r="BS64" i="12"/>
  <c r="BN64" i="12" a="1"/>
  <c r="BN64" i="12"/>
  <c r="BP64" i="12" a="1"/>
  <c r="BP64" i="12"/>
  <c r="BV64" i="12" a="1"/>
  <c r="BV64" i="12"/>
  <c r="BT64" i="12" a="1"/>
  <c r="BT64" i="12"/>
  <c r="BU64" i="12" a="1"/>
  <c r="BU64" i="12"/>
  <c r="BW64" i="12" a="1"/>
  <c r="BW64" i="12"/>
  <c r="DE48" i="12" a="1"/>
  <c r="DE48" i="12"/>
  <c r="DL48" i="12" a="1"/>
  <c r="DL48" i="12"/>
  <c r="DF48" i="12" a="1"/>
  <c r="DF48" i="12"/>
  <c r="DD48" i="12" a="1"/>
  <c r="DD48" i="12"/>
  <c r="DJ48" i="12" a="1"/>
  <c r="DJ48" i="12"/>
  <c r="DG48" i="12" a="1"/>
  <c r="DG48" i="12"/>
  <c r="DK48" i="12" a="1"/>
  <c r="DK48" i="12"/>
  <c r="DM48" i="12" a="1"/>
  <c r="DM48" i="12"/>
  <c r="DI48" i="12" a="1"/>
  <c r="DI48" i="12"/>
  <c r="BP50" i="12" a="1"/>
  <c r="BP50" i="12"/>
  <c r="BT50" i="12" a="1"/>
  <c r="BT50" i="12"/>
  <c r="BN50" i="12" a="1"/>
  <c r="BN50" i="12"/>
  <c r="BQ50" i="12" a="1"/>
  <c r="BQ50" i="12"/>
  <c r="BU50" i="12" a="1"/>
  <c r="BU50" i="12"/>
  <c r="BW50" i="12" a="1"/>
  <c r="BW50" i="12"/>
  <c r="BS50" i="12" a="1"/>
  <c r="BS50" i="12"/>
  <c r="BO50" i="12" a="1"/>
  <c r="BO50" i="12"/>
  <c r="BV50" i="12" a="1"/>
  <c r="BV50" i="12"/>
  <c r="CO39" i="12" a="1"/>
  <c r="CO39" i="12"/>
  <c r="CX39" i="12" a="1"/>
  <c r="CX39" i="12"/>
  <c r="CY39" i="12" a="1"/>
  <c r="CY39" i="12"/>
  <c r="CR39" i="12" a="1"/>
  <c r="CR39" i="12"/>
  <c r="CP39" i="12" a="1"/>
  <c r="CP39" i="12"/>
  <c r="CW39" i="12" a="1"/>
  <c r="CW39" i="12"/>
  <c r="CS39" i="12" a="1"/>
  <c r="CS39" i="12"/>
  <c r="CQ39" i="12" a="1"/>
  <c r="CQ39" i="12"/>
  <c r="CU39" i="12" a="1"/>
  <c r="CU39" i="12"/>
  <c r="CV39" i="12" a="1"/>
  <c r="CV39" i="12"/>
  <c r="CN41" i="12" a="1"/>
  <c r="CN41" i="12"/>
  <c r="CJ41" i="12" a="1"/>
  <c r="CJ41" i="12"/>
  <c r="CE41" i="12" a="1"/>
  <c r="CE41" i="12"/>
  <c r="CD41" i="12" a="1"/>
  <c r="CD41" i="12"/>
  <c r="CK41" i="12" a="1"/>
  <c r="CK41" i="12"/>
  <c r="CC41" i="12" a="1"/>
  <c r="CC41" i="12"/>
  <c r="CG41" i="12" a="1"/>
  <c r="CG41" i="12"/>
  <c r="CB41" i="12" a="1"/>
  <c r="CB41" i="12"/>
  <c r="CH41" i="12" a="1"/>
  <c r="CH41" i="12"/>
  <c r="CI41" i="12" a="1"/>
  <c r="CI41" i="12"/>
  <c r="CN38" i="12" a="1"/>
  <c r="CN38" i="12"/>
  <c r="CK38" i="12" a="1"/>
  <c r="CK38" i="12"/>
  <c r="CJ38" i="12" a="1"/>
  <c r="CJ38" i="12"/>
  <c r="CC38" i="12" a="1"/>
  <c r="CC38" i="12"/>
  <c r="CH38" i="12" a="1"/>
  <c r="CH38" i="12"/>
  <c r="CE38" i="12" a="1"/>
  <c r="CE38" i="12"/>
  <c r="CI38" i="12" a="1"/>
  <c r="CI38" i="12"/>
  <c r="CG38" i="12" a="1"/>
  <c r="CG38" i="12"/>
  <c r="CB38" i="12" a="1"/>
  <c r="CB38" i="12"/>
  <c r="CD38" i="12" a="1"/>
  <c r="CD38" i="12"/>
  <c r="BO43" i="12" a="1"/>
  <c r="BO43" i="12"/>
  <c r="BP43" i="12" a="1"/>
  <c r="BP43" i="12"/>
  <c r="BQ43" i="12" a="1"/>
  <c r="BQ43" i="12"/>
  <c r="BU43" i="12" a="1"/>
  <c r="BU43" i="12"/>
  <c r="BW43" i="12" a="1"/>
  <c r="BW43" i="12"/>
  <c r="BS43" i="12" a="1"/>
  <c r="BS43" i="12"/>
  <c r="BT43" i="12" a="1"/>
  <c r="BT43" i="12"/>
  <c r="BN43" i="12" a="1"/>
  <c r="BN43" i="12"/>
  <c r="BV43" i="12" a="1"/>
  <c r="BV43" i="12"/>
  <c r="CO42" i="12" a="1"/>
  <c r="CO42" i="12"/>
  <c r="CR42" i="12" a="1"/>
  <c r="CR42" i="12"/>
  <c r="CY42" i="12" a="1"/>
  <c r="CY42" i="12"/>
  <c r="CP42" i="12" a="1"/>
  <c r="CP42" i="12"/>
  <c r="CS42" i="12" a="1"/>
  <c r="CS42" i="12"/>
  <c r="CU42" i="12" a="1"/>
  <c r="CU42" i="12"/>
  <c r="CX42" i="12" a="1"/>
  <c r="CX42" i="12"/>
  <c r="CV42" i="12" a="1"/>
  <c r="CV42" i="12"/>
  <c r="CQ42" i="12" a="1"/>
  <c r="CQ42" i="12"/>
  <c r="CW42" i="12" a="1"/>
  <c r="CW42" i="12"/>
  <c r="DK35" i="12" a="1"/>
  <c r="DK35" i="12"/>
  <c r="DG35" i="12" a="1"/>
  <c r="DG35" i="12"/>
  <c r="DJ35" i="12" a="1"/>
  <c r="DJ35" i="12"/>
  <c r="DE35" i="12" a="1"/>
  <c r="DE35" i="12"/>
  <c r="DM35" i="12" a="1"/>
  <c r="DM35" i="12"/>
  <c r="DI35" i="12" a="1"/>
  <c r="DI35" i="12"/>
  <c r="DF35" i="12" a="1"/>
  <c r="DF35" i="12"/>
  <c r="DL35" i="12" a="1"/>
  <c r="DL35" i="12"/>
  <c r="DD35" i="12" a="1"/>
  <c r="DD35" i="12"/>
  <c r="CO36" i="12" a="1"/>
  <c r="CO36" i="12"/>
  <c r="CV36" i="12" a="1"/>
  <c r="CV36" i="12"/>
  <c r="CU36" i="12" a="1"/>
  <c r="CU36" i="12"/>
  <c r="CY36" i="12" a="1"/>
  <c r="CY36" i="12"/>
  <c r="CW36" i="12" a="1"/>
  <c r="CW36" i="12"/>
  <c r="CR36" i="12" a="1"/>
  <c r="CR36" i="12"/>
  <c r="CP36" i="12" a="1"/>
  <c r="CP36" i="12"/>
  <c r="CS36" i="12" a="1"/>
  <c r="CS36" i="12"/>
  <c r="CX36" i="12" a="1"/>
  <c r="CX36" i="12"/>
  <c r="CQ36" i="12" a="1"/>
  <c r="CQ36" i="12"/>
  <c r="CN47" i="12" a="1"/>
  <c r="CN47" i="12"/>
  <c r="CG47" i="12" a="1"/>
  <c r="CG47" i="12"/>
  <c r="CE47" i="12" a="1"/>
  <c r="CE47" i="12"/>
  <c r="CC47" i="12" a="1"/>
  <c r="CC47" i="12"/>
  <c r="CH47" i="12" a="1"/>
  <c r="CH47" i="12"/>
  <c r="CB47" i="12" a="1"/>
  <c r="CB47" i="12"/>
  <c r="CJ47" i="12" a="1"/>
  <c r="CJ47" i="12"/>
  <c r="CI47" i="12" a="1"/>
  <c r="CI47" i="12"/>
  <c r="CK47" i="12" a="1"/>
  <c r="CK47" i="12"/>
  <c r="CD47" i="12" a="1"/>
  <c r="CD47" i="12"/>
  <c r="CO61" i="12" a="1"/>
  <c r="CO61" i="12"/>
  <c r="CR61" i="12" a="1"/>
  <c r="CR61" i="12"/>
  <c r="CQ61" i="12" a="1"/>
  <c r="CQ61" i="12"/>
  <c r="CY61" i="12" a="1"/>
  <c r="CY61" i="12"/>
  <c r="CP61" i="12" a="1"/>
  <c r="CP61" i="12"/>
  <c r="CX61" i="12" a="1"/>
  <c r="CX61" i="12"/>
  <c r="CS61" i="12" a="1"/>
  <c r="CS61" i="12"/>
  <c r="CV61" i="12" a="1"/>
  <c r="CV61" i="12"/>
  <c r="CU61" i="12" a="1"/>
  <c r="CU61" i="12"/>
  <c r="CW61" i="12" a="1"/>
  <c r="CW61" i="12"/>
  <c r="CO33" i="12" a="1"/>
  <c r="CO33" i="12"/>
  <c r="CY33" i="12" a="1"/>
  <c r="CY33" i="12"/>
  <c r="CP33" i="12" a="1"/>
  <c r="CP33" i="12"/>
  <c r="CU33" i="12" a="1"/>
  <c r="CU33" i="12"/>
  <c r="CQ33" i="12" a="1"/>
  <c r="CQ33" i="12"/>
  <c r="CX33" i="12" a="1"/>
  <c r="CX33" i="12"/>
  <c r="CS33" i="12" a="1"/>
  <c r="CS33" i="12"/>
  <c r="CV33" i="12" a="1"/>
  <c r="CV33" i="12"/>
  <c r="CW33" i="12" a="1"/>
  <c r="CW33" i="12"/>
  <c r="CR33" i="12" a="1"/>
  <c r="CR33" i="12"/>
  <c r="BN34" i="12" a="1"/>
  <c r="BN34" i="12"/>
  <c r="BS34" i="12" a="1"/>
  <c r="BS34" i="12"/>
  <c r="BQ34" i="12" a="1"/>
  <c r="BQ34" i="12"/>
  <c r="BU34" i="12" a="1"/>
  <c r="BU34" i="12"/>
  <c r="BT34" i="12" a="1"/>
  <c r="BT34" i="12"/>
  <c r="BW34" i="12" a="1"/>
  <c r="BW34" i="12"/>
  <c r="BP34" i="12" a="1"/>
  <c r="BP34" i="12"/>
  <c r="BV34" i="12" a="1"/>
  <c r="BV34" i="12"/>
  <c r="BO34" i="12" a="1"/>
  <c r="BO34" i="12"/>
  <c r="CO51" i="12" a="1"/>
  <c r="CO51" i="12"/>
  <c r="CR51" i="12" a="1"/>
  <c r="CR51" i="12"/>
  <c r="CP51" i="12" a="1"/>
  <c r="CP51" i="12"/>
  <c r="CS51" i="12" a="1"/>
  <c r="CS51" i="12"/>
  <c r="CY51" i="12" a="1"/>
  <c r="CY51" i="12"/>
  <c r="CX51" i="12" a="1"/>
  <c r="CX51" i="12"/>
  <c r="CV51" i="12" a="1"/>
  <c r="CV51" i="12"/>
  <c r="CW51" i="12" a="1"/>
  <c r="CW51" i="12"/>
  <c r="CQ51" i="12" a="1"/>
  <c r="CQ51" i="12"/>
  <c r="CU51" i="12" a="1"/>
  <c r="CU51" i="12"/>
  <c r="BS49" i="12" a="1"/>
  <c r="BS49" i="12"/>
  <c r="BU49" i="12" a="1"/>
  <c r="BU49" i="12"/>
  <c r="BP49" i="12" a="1"/>
  <c r="BP49" i="12"/>
  <c r="BN49" i="12" a="1"/>
  <c r="BN49" i="12"/>
  <c r="BT49" i="12" a="1"/>
  <c r="BT49" i="12"/>
  <c r="BQ49" i="12" a="1"/>
  <c r="BQ49" i="12"/>
  <c r="BW49" i="12" a="1"/>
  <c r="BW49" i="12"/>
  <c r="BV49" i="12" a="1"/>
  <c r="BV49" i="12"/>
  <c r="BO49" i="12" a="1"/>
  <c r="BO49" i="12"/>
  <c r="BS51" i="12" a="1"/>
  <c r="BS51" i="12"/>
  <c r="BW51" i="12" a="1"/>
  <c r="BW51" i="12"/>
  <c r="BN51" i="12" a="1"/>
  <c r="BN51" i="12"/>
  <c r="BV51" i="12" a="1"/>
  <c r="BV51" i="12"/>
  <c r="BO51" i="12" a="1"/>
  <c r="BO51" i="12"/>
  <c r="BP51" i="12" a="1"/>
  <c r="BP51" i="12"/>
  <c r="BQ51" i="12" a="1"/>
  <c r="BQ51" i="12"/>
  <c r="BU51" i="12" a="1"/>
  <c r="BU51" i="12"/>
  <c r="BT51" i="12" a="1"/>
  <c r="BT51" i="12"/>
  <c r="DP46" i="12" a="1"/>
  <c r="DP46" i="12"/>
  <c r="DC46" i="12" a="1"/>
  <c r="DC46" i="12"/>
  <c r="CF46" i="12" a="1"/>
  <c r="CF46" i="12"/>
  <c r="CN46" i="12" a="1"/>
  <c r="CN46" i="12"/>
  <c r="BM46" i="12" a="1"/>
  <c r="BM46" i="12"/>
  <c r="EB63" i="45"/>
  <c r="BR46" i="12" a="1"/>
  <c r="BR46" i="12"/>
  <c r="DQ102" i="12"/>
  <c r="DA57" i="45" a="1"/>
  <c r="DA57" i="45"/>
  <c r="CA62" i="45" a="1"/>
  <c r="CA62" i="45"/>
  <c r="CA46" i="12" a="1"/>
  <c r="CA46" i="12"/>
  <c r="DT53" i="45"/>
  <c r="BM57" i="45" a="1"/>
  <c r="BM57" i="45"/>
  <c r="ED52" i="12"/>
  <c r="DQ63" i="12"/>
  <c r="AE141" i="47"/>
  <c r="DQ101" i="12"/>
  <c r="CA57" i="45" a="1"/>
  <c r="CA57" i="45"/>
  <c r="BM56" i="45" a="1"/>
  <c r="BM56" i="45"/>
  <c r="DV63" i="12"/>
  <c r="AE256" i="47"/>
  <c r="E31" i="12"/>
  <c r="AP31" i="12"/>
  <c r="AT31" i="12"/>
  <c r="DT63" i="45"/>
  <c r="DV52" i="12"/>
  <c r="AE245" i="47"/>
  <c r="T25" i="34"/>
  <c r="DO63" i="45"/>
  <c r="ED63" i="12"/>
  <c r="I48" i="45"/>
  <c r="EB53" i="45"/>
  <c r="I47" i="45"/>
  <c r="I46" i="45"/>
  <c r="I34" i="45"/>
  <c r="I49" i="45"/>
  <c r="I50" i="45"/>
  <c r="I62" i="45"/>
  <c r="I59" i="45"/>
  <c r="I45" i="45"/>
  <c r="I30" i="45"/>
  <c r="I52" i="45"/>
  <c r="I31" i="45"/>
  <c r="I57" i="45"/>
  <c r="S25" i="34"/>
  <c r="I51" i="45"/>
  <c r="I42" i="45"/>
  <c r="I33" i="45"/>
  <c r="I35" i="45"/>
  <c r="I56" i="45"/>
  <c r="I40" i="45"/>
  <c r="I61" i="45"/>
  <c r="I38" i="45"/>
  <c r="I63" i="45"/>
  <c r="I41" i="45"/>
  <c r="I39" i="45"/>
  <c r="I64" i="45"/>
  <c r="I44" i="45"/>
  <c r="I65" i="45"/>
  <c r="CA44" i="45" a="1"/>
  <c r="CA44" i="45"/>
  <c r="BM35" i="45" a="1"/>
  <c r="BM35" i="45"/>
  <c r="DA48" i="45" a="1"/>
  <c r="DA48" i="45"/>
  <c r="DA50" i="45" a="1"/>
  <c r="DA50" i="45"/>
  <c r="DO53" i="45"/>
  <c r="DA44" i="45" a="1"/>
  <c r="DA44" i="45"/>
  <c r="BM44" i="45" a="1"/>
  <c r="BM44" i="45"/>
  <c r="CA54" i="45" a="1"/>
  <c r="CA54" i="45"/>
  <c r="DA51" i="45" a="1"/>
  <c r="DA51" i="45"/>
  <c r="CA51" i="45" a="1"/>
  <c r="CA51" i="45"/>
  <c r="DA54" i="45" a="1"/>
  <c r="DA54" i="45"/>
  <c r="U25" i="34"/>
  <c r="R25" i="34"/>
  <c r="BM39" i="45" a="1"/>
  <c r="BM39" i="45"/>
  <c r="I37" i="45"/>
  <c r="I54" i="45"/>
  <c r="I55" i="45"/>
  <c r="I58" i="45"/>
  <c r="I43" i="45"/>
  <c r="I60" i="45"/>
  <c r="I36" i="45"/>
  <c r="CA48" i="45" a="1"/>
  <c r="CA48" i="45"/>
  <c r="BM51" i="45" a="1"/>
  <c r="BM51" i="45"/>
  <c r="BM50" i="45" a="1"/>
  <c r="BM50" i="45"/>
  <c r="CA42" i="45" a="1"/>
  <c r="CA42" i="45"/>
  <c r="CA35" i="45" a="1"/>
  <c r="CA35" i="45"/>
  <c r="BM48" i="45" a="1"/>
  <c r="BM48" i="45"/>
  <c r="DH45" i="12" a="1"/>
  <c r="DH45" i="12"/>
  <c r="DP45" i="12" a="1"/>
  <c r="DP45" i="12"/>
  <c r="DC45" i="12" a="1"/>
  <c r="DC45" i="12"/>
  <c r="BM40" i="45" a="1"/>
  <c r="BM40" i="45"/>
  <c r="DC40" i="12" a="1"/>
  <c r="DC40" i="12"/>
  <c r="DP40" i="12" a="1"/>
  <c r="DP40" i="12"/>
  <c r="DH40" i="12" a="1"/>
  <c r="DH40" i="12"/>
  <c r="DB54" i="12" a="1"/>
  <c r="DB54" i="12"/>
  <c r="CT54" i="12" a="1"/>
  <c r="CT54" i="12"/>
  <c r="DB55" i="12" a="1"/>
  <c r="DB55" i="12"/>
  <c r="CT55" i="12" a="1"/>
  <c r="CT55" i="12"/>
  <c r="CA59" i="12" a="1"/>
  <c r="CA59" i="12"/>
  <c r="CF59" i="12" a="1"/>
  <c r="CF59" i="12"/>
  <c r="DA33" i="45" a="1"/>
  <c r="DA33" i="45"/>
  <c r="DA59" i="45" a="1"/>
  <c r="DA59" i="45"/>
  <c r="BM62" i="12" a="1"/>
  <c r="BM62" i="12"/>
  <c r="BZ62" i="12" a="1"/>
  <c r="BZ62" i="12"/>
  <c r="BR62" i="12" a="1"/>
  <c r="BR62" i="12"/>
  <c r="DB56" i="12" a="1"/>
  <c r="DB56" i="12"/>
  <c r="CT56" i="12" a="1"/>
  <c r="CT56" i="12"/>
  <c r="DB60" i="12" a="1"/>
  <c r="DB60" i="12"/>
  <c r="CT60" i="12" a="1"/>
  <c r="CT60" i="12"/>
  <c r="DC64" i="12" a="1"/>
  <c r="DC64" i="12"/>
  <c r="DH64" i="12" a="1"/>
  <c r="DH64" i="12"/>
  <c r="DP64" i="12" a="1"/>
  <c r="DP64" i="12"/>
  <c r="CA48" i="12" a="1"/>
  <c r="CA48" i="12"/>
  <c r="CF48" i="12" a="1"/>
  <c r="CF48" i="12"/>
  <c r="DC50" i="12" a="1"/>
  <c r="DC50" i="12"/>
  <c r="DP50" i="12" a="1"/>
  <c r="DP50" i="12"/>
  <c r="DH50" i="12" a="1"/>
  <c r="DH50" i="12"/>
  <c r="CT39" i="12" a="1"/>
  <c r="CT39" i="12"/>
  <c r="DB39" i="12" a="1"/>
  <c r="DB39" i="12"/>
  <c r="BM61" i="45" a="1"/>
  <c r="BM61" i="45"/>
  <c r="CA41" i="45" a="1"/>
  <c r="CA41" i="45"/>
  <c r="CT41" i="12" a="1"/>
  <c r="CT41" i="12"/>
  <c r="DB41" i="12" a="1"/>
  <c r="DB41" i="12"/>
  <c r="BM38" i="12" a="1"/>
  <c r="BM38" i="12"/>
  <c r="BR38" i="12" a="1"/>
  <c r="BR38" i="12"/>
  <c r="BZ38" i="12" a="1"/>
  <c r="BZ38" i="12"/>
  <c r="CA43" i="12" a="1"/>
  <c r="CA43" i="12"/>
  <c r="CF43" i="12" a="1"/>
  <c r="CF43" i="12"/>
  <c r="BZ42" i="12" a="1"/>
  <c r="BZ42" i="12"/>
  <c r="BM42" i="12" a="1"/>
  <c r="BM42" i="12"/>
  <c r="BR42" i="12" a="1"/>
  <c r="BR42" i="12"/>
  <c r="DP35" i="12" a="1"/>
  <c r="DP35" i="12"/>
  <c r="DC35" i="12" a="1"/>
  <c r="DC35" i="12"/>
  <c r="DH35" i="12" a="1"/>
  <c r="DH35" i="12"/>
  <c r="BM42" i="45" a="1"/>
  <c r="BM42" i="45"/>
  <c r="BM47" i="45" a="1"/>
  <c r="BM47" i="45"/>
  <c r="CT44" i="12" a="1"/>
  <c r="CT44" i="12"/>
  <c r="DB44" i="12" a="1"/>
  <c r="DB44" i="12"/>
  <c r="CA64" i="45" a="1"/>
  <c r="CA64" i="45"/>
  <c r="BM36" i="45" a="1"/>
  <c r="BM36" i="45"/>
  <c r="CF36" i="12" a="1"/>
  <c r="CF36" i="12"/>
  <c r="CA36" i="12" a="1"/>
  <c r="CA36" i="12"/>
  <c r="BZ47" i="12" a="1"/>
  <c r="BZ47" i="12"/>
  <c r="BM47" i="12" a="1"/>
  <c r="BM47" i="12"/>
  <c r="BR47" i="12" a="1"/>
  <c r="BR47" i="12"/>
  <c r="DP61" i="12" a="1"/>
  <c r="DP61" i="12"/>
  <c r="DH61" i="12" a="1"/>
  <c r="DH61" i="12"/>
  <c r="DC61" i="12" a="1"/>
  <c r="DC61" i="12"/>
  <c r="CF33" i="12" a="1"/>
  <c r="CF33" i="12"/>
  <c r="CA33" i="12" a="1"/>
  <c r="CA33" i="12"/>
  <c r="DB34" i="12" a="1"/>
  <c r="DB34" i="12"/>
  <c r="CT34" i="12" a="1"/>
  <c r="CT34" i="12"/>
  <c r="DP49" i="12" a="1"/>
  <c r="DP49" i="12"/>
  <c r="DC49" i="12" a="1"/>
  <c r="DC49" i="12"/>
  <c r="DH49" i="12" a="1"/>
  <c r="DH49" i="12"/>
  <c r="AD248" i="47"/>
  <c r="D248" i="47"/>
  <c r="D248" i="9"/>
  <c r="AD234" i="47"/>
  <c r="D234" i="47"/>
  <c r="D234" i="9"/>
  <c r="CA45" i="12" a="1"/>
  <c r="CA45" i="12"/>
  <c r="CF45" i="12" a="1"/>
  <c r="CF45" i="12"/>
  <c r="DA40" i="45" a="1"/>
  <c r="DA40" i="45"/>
  <c r="BM34" i="45" a="1"/>
  <c r="BM34" i="45"/>
  <c r="DA39" i="45" a="1"/>
  <c r="DA39" i="45"/>
  <c r="CA40" i="12" a="1"/>
  <c r="CA40" i="12"/>
  <c r="CF40" i="12" a="1"/>
  <c r="CF40" i="12"/>
  <c r="DH54" i="12" a="1"/>
  <c r="DH54" i="12"/>
  <c r="DP54" i="12" a="1"/>
  <c r="DP54" i="12"/>
  <c r="DC54" i="12" a="1"/>
  <c r="DC54" i="12"/>
  <c r="BZ55" i="12" a="1"/>
  <c r="BZ55" i="12"/>
  <c r="BM55" i="12" a="1"/>
  <c r="BM55" i="12"/>
  <c r="BR55" i="12" a="1"/>
  <c r="BR55" i="12"/>
  <c r="BR59" i="12" a="1"/>
  <c r="BR59" i="12"/>
  <c r="BM59" i="12" a="1"/>
  <c r="BM59" i="12"/>
  <c r="BZ59" i="12" a="1"/>
  <c r="BZ59" i="12"/>
  <c r="CA55" i="45" a="1"/>
  <c r="CA55" i="45"/>
  <c r="CT62" i="12" a="1"/>
  <c r="CT62" i="12"/>
  <c r="DB62" i="12" a="1"/>
  <c r="DB62" i="12"/>
  <c r="BM56" i="12" a="1"/>
  <c r="BM56" i="12"/>
  <c r="BR56" i="12" a="1"/>
  <c r="BR56" i="12"/>
  <c r="BZ56" i="12" a="1"/>
  <c r="BZ56" i="12"/>
  <c r="DH60" i="12" a="1"/>
  <c r="DH60" i="12"/>
  <c r="DP60" i="12" a="1"/>
  <c r="DP60" i="12"/>
  <c r="DC60" i="12" a="1"/>
  <c r="DC60" i="12"/>
  <c r="CT64" i="12" a="1"/>
  <c r="CT64" i="12"/>
  <c r="DB64" i="12" a="1"/>
  <c r="DB64" i="12"/>
  <c r="DB48" i="12" a="1"/>
  <c r="DB48" i="12"/>
  <c r="CT48" i="12" a="1"/>
  <c r="CT48" i="12"/>
  <c r="CA50" i="12" a="1"/>
  <c r="CA50" i="12"/>
  <c r="CF50" i="12" a="1"/>
  <c r="CF50" i="12"/>
  <c r="BM54" i="45" a="1"/>
  <c r="BM54" i="45"/>
  <c r="CF39" i="12" a="1"/>
  <c r="CF39" i="12"/>
  <c r="CA39" i="12" a="1"/>
  <c r="CA39" i="12"/>
  <c r="CA56" i="45" a="1"/>
  <c r="CA56" i="45"/>
  <c r="DA38" i="45" a="1"/>
  <c r="DA38" i="45"/>
  <c r="BM49" i="45" a="1"/>
  <c r="BM49" i="45"/>
  <c r="DA42" i="45" a="1"/>
  <c r="DA42" i="45"/>
  <c r="CA41" i="12" a="1"/>
  <c r="CA41" i="12"/>
  <c r="CF41" i="12" a="1"/>
  <c r="CF41" i="12"/>
  <c r="CF38" i="12" a="1"/>
  <c r="CF38" i="12"/>
  <c r="CA38" i="12" a="1"/>
  <c r="CA38" i="12"/>
  <c r="BM43" i="12" a="1"/>
  <c r="BM43" i="12"/>
  <c r="BR43" i="12" a="1"/>
  <c r="BR43" i="12"/>
  <c r="BZ43" i="12" a="1"/>
  <c r="BZ43" i="12"/>
  <c r="CT42" i="12" a="1"/>
  <c r="CT42" i="12"/>
  <c r="DB42" i="12" a="1"/>
  <c r="DB42" i="12"/>
  <c r="CA35" i="12" a="1"/>
  <c r="CA35" i="12"/>
  <c r="CF35" i="12" a="1"/>
  <c r="CF35" i="12"/>
  <c r="BM45" i="45" a="1"/>
  <c r="BM45" i="45"/>
  <c r="DA34" i="45" a="1"/>
  <c r="DA34" i="45"/>
  <c r="CA47" i="45" a="1"/>
  <c r="CA47" i="45"/>
  <c r="DH51" i="12" a="1"/>
  <c r="DH51" i="12"/>
  <c r="DP51" i="12" a="1"/>
  <c r="DP51" i="12"/>
  <c r="DC51" i="12" a="1"/>
  <c r="DC51" i="12"/>
  <c r="DA60" i="45" a="1"/>
  <c r="DA60" i="45"/>
  <c r="DA64" i="45" a="1"/>
  <c r="DA64" i="45"/>
  <c r="DA36" i="45" a="1"/>
  <c r="DA36" i="45"/>
  <c r="BZ36" i="12" a="1"/>
  <c r="BZ36" i="12"/>
  <c r="BM36" i="12" a="1"/>
  <c r="BM36" i="12"/>
  <c r="BR36" i="12" a="1"/>
  <c r="BR36" i="12"/>
  <c r="DH47" i="12" a="1"/>
  <c r="DH47" i="12"/>
  <c r="DC47" i="12" a="1"/>
  <c r="DC47" i="12"/>
  <c r="DP47" i="12" a="1"/>
  <c r="DP47" i="12"/>
  <c r="CF44" i="12" a="1"/>
  <c r="CF44" i="12"/>
  <c r="CA44" i="12" a="1"/>
  <c r="CA44" i="12"/>
  <c r="BM61" i="12" a="1"/>
  <c r="BM61" i="12"/>
  <c r="BR61" i="12" a="1"/>
  <c r="BR61" i="12"/>
  <c r="BZ61" i="12" a="1"/>
  <c r="BZ61" i="12"/>
  <c r="BR33" i="12" a="1"/>
  <c r="BR33" i="12"/>
  <c r="BM33" i="12" a="1"/>
  <c r="BM33" i="12"/>
  <c r="BZ33" i="12" a="1"/>
  <c r="BZ33" i="12"/>
  <c r="CA34" i="12" a="1"/>
  <c r="CA34" i="12"/>
  <c r="CF34" i="12" a="1"/>
  <c r="CF34" i="12"/>
  <c r="CF49" i="12" a="1"/>
  <c r="CF49" i="12"/>
  <c r="CA49" i="12" a="1"/>
  <c r="CA49" i="12"/>
  <c r="DB45" i="12" a="1"/>
  <c r="DB45" i="12"/>
  <c r="CT45" i="12" a="1"/>
  <c r="CT45" i="12"/>
  <c r="CA40" i="45" a="1"/>
  <c r="CA40" i="45"/>
  <c r="CT40" i="12" a="1"/>
  <c r="CT40" i="12"/>
  <c r="DB40" i="12" a="1"/>
  <c r="DB40" i="12"/>
  <c r="BR54" i="12" a="1"/>
  <c r="BR54" i="12"/>
  <c r="BM54" i="12" a="1"/>
  <c r="BM54" i="12"/>
  <c r="BZ54" i="12" a="1"/>
  <c r="BZ54" i="12"/>
  <c r="CF55" i="12" a="1"/>
  <c r="CF55" i="12"/>
  <c r="CA55" i="12" a="1"/>
  <c r="CA55" i="12"/>
  <c r="DC59" i="12" a="1"/>
  <c r="DC59" i="12"/>
  <c r="DP59" i="12" a="1"/>
  <c r="DP59" i="12"/>
  <c r="DH59" i="12" a="1"/>
  <c r="DH59" i="12"/>
  <c r="BM33" i="45" a="1"/>
  <c r="BM33" i="45"/>
  <c r="BM55" i="45" a="1"/>
  <c r="BM55" i="45"/>
  <c r="CA59" i="45" a="1"/>
  <c r="CA59" i="45"/>
  <c r="CA62" i="12" a="1"/>
  <c r="CA62" i="12"/>
  <c r="CF62" i="12" a="1"/>
  <c r="CF62" i="12"/>
  <c r="CA56" i="12" a="1"/>
  <c r="CA56" i="12"/>
  <c r="CF56" i="12" a="1"/>
  <c r="CF56" i="12"/>
  <c r="CA60" i="12" a="1"/>
  <c r="CA60" i="12"/>
  <c r="CF60" i="12" a="1"/>
  <c r="CF60" i="12"/>
  <c r="BM64" i="12" a="1"/>
  <c r="BM64" i="12"/>
  <c r="BR64" i="12" a="1"/>
  <c r="BR64" i="12"/>
  <c r="BZ64" i="12" a="1"/>
  <c r="BZ64" i="12"/>
  <c r="DP48" i="12" a="1"/>
  <c r="DP48" i="12"/>
  <c r="DC48" i="12" a="1"/>
  <c r="DC48" i="12"/>
  <c r="DH48" i="12" a="1"/>
  <c r="DH48" i="12"/>
  <c r="BM50" i="12" a="1"/>
  <c r="BM50" i="12"/>
  <c r="BR50" i="12" a="1"/>
  <c r="BR50" i="12"/>
  <c r="BZ50" i="12" a="1"/>
  <c r="BZ50" i="12"/>
  <c r="DA61" i="45" a="1"/>
  <c r="DA61" i="45"/>
  <c r="BM43" i="45" a="1"/>
  <c r="BM43" i="45"/>
  <c r="DC39" i="12" a="1"/>
  <c r="DC39" i="12"/>
  <c r="DH39" i="12" a="1"/>
  <c r="DH39" i="12"/>
  <c r="DP39" i="12" a="1"/>
  <c r="DP39" i="12"/>
  <c r="DA41" i="45" a="1"/>
  <c r="DA41" i="45"/>
  <c r="BM38" i="45" a="1"/>
  <c r="BM38" i="45"/>
  <c r="DA49" i="45" a="1"/>
  <c r="DA49" i="45"/>
  <c r="BR41" i="12" a="1"/>
  <c r="BR41" i="12"/>
  <c r="BZ41" i="12" a="1"/>
  <c r="BZ41" i="12"/>
  <c r="BM41" i="12" a="1"/>
  <c r="BM41" i="12"/>
  <c r="DB38" i="12" a="1"/>
  <c r="DB38" i="12"/>
  <c r="CT38" i="12" a="1"/>
  <c r="CT38" i="12"/>
  <c r="DH43" i="12" a="1"/>
  <c r="DH43" i="12"/>
  <c r="DC43" i="12" a="1"/>
  <c r="DC43" i="12"/>
  <c r="DP43" i="12" a="1"/>
  <c r="DP43" i="12"/>
  <c r="CA42" i="12" a="1"/>
  <c r="CA42" i="12"/>
  <c r="CF42" i="12" a="1"/>
  <c r="CF42" i="12"/>
  <c r="BM62" i="45" a="1"/>
  <c r="BM62" i="45"/>
  <c r="CT35" i="12" a="1"/>
  <c r="CT35" i="12"/>
  <c r="DB35" i="12" a="1"/>
  <c r="DB35" i="12"/>
  <c r="CA45" i="45" a="1"/>
  <c r="CA45" i="45"/>
  <c r="DA47" i="45" a="1"/>
  <c r="DA47" i="45"/>
  <c r="BM60" i="45" a="1"/>
  <c r="BM60" i="45"/>
  <c r="CA36" i="45" a="1"/>
  <c r="CA36" i="45"/>
  <c r="DP36" i="12" a="1"/>
  <c r="DP36" i="12"/>
  <c r="DH36" i="12" a="1"/>
  <c r="DH36" i="12"/>
  <c r="DC36" i="12" a="1"/>
  <c r="DC36" i="12"/>
  <c r="CT47" i="12" a="1"/>
  <c r="CT47" i="12"/>
  <c r="DB47" i="12" a="1"/>
  <c r="DB47" i="12"/>
  <c r="CT61" i="12" a="1"/>
  <c r="CT61" i="12"/>
  <c r="DB61" i="12" a="1"/>
  <c r="DB61" i="12"/>
  <c r="CT33" i="12" a="1"/>
  <c r="CT33" i="12"/>
  <c r="DB33" i="12" a="1"/>
  <c r="DB33" i="12"/>
  <c r="DP34" i="12" a="1"/>
  <c r="DP34" i="12"/>
  <c r="DH34" i="12" a="1"/>
  <c r="DH34" i="12"/>
  <c r="DC34" i="12" a="1"/>
  <c r="DC34" i="12"/>
  <c r="BR44" i="12" a="1"/>
  <c r="BR44" i="12"/>
  <c r="BM44" i="12" a="1"/>
  <c r="BM44" i="12"/>
  <c r="BZ44" i="12" a="1"/>
  <c r="BZ44" i="12"/>
  <c r="BM49" i="12" a="1"/>
  <c r="BM49" i="12"/>
  <c r="BZ49" i="12" a="1"/>
  <c r="BZ49" i="12"/>
  <c r="BR49" i="12" a="1"/>
  <c r="BR49" i="12"/>
  <c r="BM45" i="12" a="1"/>
  <c r="BM45" i="12"/>
  <c r="BR45" i="12" a="1"/>
  <c r="BR45" i="12"/>
  <c r="BZ45" i="12" a="1"/>
  <c r="BZ45" i="12"/>
  <c r="BZ40" i="12" a="1"/>
  <c r="BZ40" i="12"/>
  <c r="BM40" i="12" a="1"/>
  <c r="BM40" i="12"/>
  <c r="BR40" i="12" a="1"/>
  <c r="BR40" i="12"/>
  <c r="CF54" i="12" a="1"/>
  <c r="CF54" i="12"/>
  <c r="CA54" i="12" a="1"/>
  <c r="CA54" i="12"/>
  <c r="DC55" i="12" a="1"/>
  <c r="DC55" i="12"/>
  <c r="DH55" i="12" a="1"/>
  <c r="DH55" i="12"/>
  <c r="DP55" i="12" a="1"/>
  <c r="DP55" i="12"/>
  <c r="CT59" i="12" a="1"/>
  <c r="CT59" i="12"/>
  <c r="DB59" i="12" a="1"/>
  <c r="DB59" i="12"/>
  <c r="CA33" i="45" a="1"/>
  <c r="CA33" i="45"/>
  <c r="DA55" i="45" a="1"/>
  <c r="DA55" i="45"/>
  <c r="BM59" i="45" a="1"/>
  <c r="BM59" i="45"/>
  <c r="DC62" i="12" a="1"/>
  <c r="DC62" i="12"/>
  <c r="DP62" i="12" a="1"/>
  <c r="DP62" i="12"/>
  <c r="DH62" i="12" a="1"/>
  <c r="DH62" i="12"/>
  <c r="DC56" i="12" a="1"/>
  <c r="DC56" i="12"/>
  <c r="DP56" i="12" a="1"/>
  <c r="DP56" i="12"/>
  <c r="DH56" i="12" a="1"/>
  <c r="DH56" i="12"/>
  <c r="BM60" i="12" a="1"/>
  <c r="BM60" i="12"/>
  <c r="BZ60" i="12" a="1"/>
  <c r="BZ60" i="12"/>
  <c r="BR60" i="12" a="1"/>
  <c r="BR60" i="12"/>
  <c r="CF64" i="12" a="1"/>
  <c r="CF64" i="12"/>
  <c r="CA64" i="12" a="1"/>
  <c r="CA64" i="12"/>
  <c r="BM48" i="12" a="1"/>
  <c r="BM48" i="12"/>
  <c r="BZ48" i="12" a="1"/>
  <c r="BZ48" i="12"/>
  <c r="BR48" i="12" a="1"/>
  <c r="BR48" i="12"/>
  <c r="DB50" i="12" a="1"/>
  <c r="DB50" i="12"/>
  <c r="CT50" i="12" a="1"/>
  <c r="CT50" i="12"/>
  <c r="DA62" i="45" a="1"/>
  <c r="DA62" i="45"/>
  <c r="BR39" i="12" a="1"/>
  <c r="BR39" i="12"/>
  <c r="BZ39" i="12" a="1"/>
  <c r="BZ39" i="12"/>
  <c r="BM39" i="12" a="1"/>
  <c r="BM39" i="12"/>
  <c r="BM41" i="45" a="1"/>
  <c r="BM41" i="45"/>
  <c r="CA38" i="45" a="1"/>
  <c r="CA38" i="45"/>
  <c r="CA49" i="45" a="1"/>
  <c r="CA49" i="45"/>
  <c r="DC41" i="12" a="1"/>
  <c r="DC41" i="12"/>
  <c r="DH41" i="12" a="1"/>
  <c r="DH41" i="12"/>
  <c r="DP41" i="12" a="1"/>
  <c r="DP41" i="12"/>
  <c r="DC38" i="12" a="1"/>
  <c r="DC38" i="12"/>
  <c r="DP38" i="12" a="1"/>
  <c r="DP38" i="12"/>
  <c r="DH38" i="12" a="1"/>
  <c r="DH38" i="12"/>
  <c r="DB43" i="12" a="1"/>
  <c r="DB43" i="12"/>
  <c r="CT43" i="12" a="1"/>
  <c r="CT43" i="12"/>
  <c r="DC42" i="12" a="1"/>
  <c r="DC42" i="12"/>
  <c r="DP42" i="12" a="1"/>
  <c r="DP42" i="12"/>
  <c r="DH42" i="12" a="1"/>
  <c r="DH42" i="12"/>
  <c r="BR35" i="12" a="1"/>
  <c r="BR35" i="12"/>
  <c r="BM35" i="12" a="1"/>
  <c r="BM35" i="12"/>
  <c r="BZ35" i="12" a="1"/>
  <c r="BZ35" i="12"/>
  <c r="DA45" i="45" a="1"/>
  <c r="DA45" i="45"/>
  <c r="CA60" i="45" a="1"/>
  <c r="CA60" i="45"/>
  <c r="BM64" i="45" a="1"/>
  <c r="BM64" i="45"/>
  <c r="DB36" i="12" a="1"/>
  <c r="DB36" i="12"/>
  <c r="CT36" i="12" a="1"/>
  <c r="CT36" i="12"/>
  <c r="CF47" i="12" a="1"/>
  <c r="CF47" i="12"/>
  <c r="CA47" i="12" a="1"/>
  <c r="CA47" i="12"/>
  <c r="CF61" i="12" a="1"/>
  <c r="CF61" i="12"/>
  <c r="CA61" i="12" a="1"/>
  <c r="CA61" i="12"/>
  <c r="DH33" i="12" a="1"/>
  <c r="DH33" i="12"/>
  <c r="DC33" i="12" a="1"/>
  <c r="DC33" i="12"/>
  <c r="DP33" i="12" a="1"/>
  <c r="DP33" i="12"/>
  <c r="BR34" i="12" a="1"/>
  <c r="BR34" i="12"/>
  <c r="BM34" i="12" a="1"/>
  <c r="BM34" i="12"/>
  <c r="BZ34" i="12" a="1"/>
  <c r="BZ34" i="12"/>
  <c r="DB51" i="12" a="1"/>
  <c r="DB51" i="12"/>
  <c r="CT51" i="12" a="1"/>
  <c r="CT51" i="12"/>
  <c r="DB49" i="12" a="1"/>
  <c r="DB49" i="12"/>
  <c r="CT49" i="12" a="1"/>
  <c r="CT49" i="12"/>
  <c r="BZ51" i="12" a="1"/>
  <c r="BZ51" i="12"/>
  <c r="BR51" i="12" a="1"/>
  <c r="BR51" i="12"/>
  <c r="BM51" i="12" a="1"/>
  <c r="BM51" i="12"/>
  <c r="T13" i="34"/>
  <c r="R13" i="34"/>
  <c r="E30" i="12"/>
  <c r="AP30" i="12"/>
  <c r="AT30" i="12"/>
  <c r="U13" i="34"/>
  <c r="S13" i="34"/>
  <c r="DO58" i="45"/>
  <c r="DV58" i="12"/>
  <c r="AE251" i="47"/>
  <c r="E251" i="47"/>
  <c r="E251" i="9"/>
  <c r="DQ58" i="12"/>
  <c r="EB58" i="45"/>
  <c r="AD119" i="47"/>
  <c r="D119" i="47"/>
  <c r="D119" i="9"/>
  <c r="AD126" i="47"/>
  <c r="D126" i="47"/>
  <c r="D126" i="9"/>
  <c r="AD254" i="47"/>
  <c r="D254" i="47"/>
  <c r="D254" i="9"/>
  <c r="AD115" i="47"/>
  <c r="D115" i="47"/>
  <c r="D115" i="9"/>
  <c r="AD250" i="47"/>
  <c r="D250" i="47"/>
  <c r="D250" i="9"/>
  <c r="BI79" i="12"/>
  <c r="I79" i="12"/>
  <c r="BI81" i="12"/>
  <c r="I81" i="12"/>
  <c r="BI85" i="12"/>
  <c r="I85" i="12"/>
  <c r="BI78" i="12"/>
  <c r="I78" i="12"/>
  <c r="BI84" i="12"/>
  <c r="I84" i="12"/>
  <c r="AD112" i="47"/>
  <c r="D112" i="47"/>
  <c r="D112" i="9"/>
  <c r="BI83" i="12"/>
  <c r="I83" i="12"/>
  <c r="AD232" i="47"/>
  <c r="D232" i="47"/>
  <c r="D232" i="9"/>
  <c r="BI86" i="12"/>
  <c r="I86" i="12"/>
  <c r="BI77" i="12"/>
  <c r="I77" i="12"/>
  <c r="BI82" i="12"/>
  <c r="I82" i="12"/>
  <c r="AD227" i="47"/>
  <c r="D227" i="47"/>
  <c r="D227" i="9"/>
  <c r="AD129" i="47"/>
  <c r="D129" i="47"/>
  <c r="D129" i="9"/>
  <c r="AD249" i="47"/>
  <c r="D249" i="47"/>
  <c r="D249" i="9"/>
  <c r="AD130" i="47"/>
  <c r="D130" i="47"/>
  <c r="D130" i="9"/>
  <c r="AD228" i="47"/>
  <c r="D228" i="47"/>
  <c r="D228" i="9"/>
  <c r="AD246" i="47"/>
  <c r="D246" i="47"/>
  <c r="D246" i="9"/>
  <c r="AD127" i="47"/>
  <c r="D127" i="47"/>
  <c r="D127" i="9"/>
  <c r="AD141" i="47"/>
  <c r="D141" i="47"/>
  <c r="D141" i="9"/>
  <c r="AD256" i="47"/>
  <c r="D256" i="47"/>
  <c r="D256" i="9"/>
  <c r="AD253" i="47"/>
  <c r="D253" i="47"/>
  <c r="D253" i="9"/>
  <c r="AD241" i="47"/>
  <c r="D241" i="47"/>
  <c r="D241" i="9"/>
  <c r="AD113" i="47"/>
  <c r="D113" i="47"/>
  <c r="D113" i="9"/>
  <c r="AD116" i="47"/>
  <c r="D116" i="47"/>
  <c r="D116" i="9"/>
  <c r="AX11" i="12"/>
  <c r="AY11" i="12"/>
  <c r="AD230" i="47"/>
  <c r="D230" i="47"/>
  <c r="D230" i="9"/>
  <c r="AD111" i="47"/>
  <c r="D111" i="47"/>
  <c r="D111" i="9"/>
  <c r="AD134" i="47"/>
  <c r="D134" i="47"/>
  <c r="D134" i="9"/>
  <c r="AD135" i="47"/>
  <c r="D135" i="47"/>
  <c r="D135" i="9"/>
  <c r="AD138" i="47"/>
  <c r="D138" i="47"/>
  <c r="D138" i="9"/>
  <c r="AX13" i="12"/>
  <c r="AD231" i="47"/>
  <c r="D231" i="47"/>
  <c r="D231" i="9"/>
  <c r="AD226" i="47"/>
  <c r="D226" i="47"/>
  <c r="D226" i="9"/>
  <c r="AD245" i="47"/>
  <c r="D245" i="47"/>
  <c r="D245" i="9"/>
  <c r="AD131" i="47"/>
  <c r="D131" i="47"/>
  <c r="D131" i="9"/>
  <c r="AD117" i="47"/>
  <c r="D117" i="47"/>
  <c r="D117" i="9"/>
  <c r="AD242" i="47"/>
  <c r="D242" i="47"/>
  <c r="D242" i="9"/>
  <c r="AD244" i="47"/>
  <c r="D244" i="47"/>
  <c r="D244" i="9"/>
  <c r="BI76" i="12"/>
  <c r="I76" i="12"/>
  <c r="AD139" i="47"/>
  <c r="D139" i="47"/>
  <c r="D139" i="9"/>
  <c r="BI80" i="12"/>
  <c r="I80" i="12"/>
  <c r="AD133" i="47"/>
  <c r="D133" i="47"/>
  <c r="D133" i="9"/>
  <c r="AD251" i="47"/>
  <c r="D251" i="47"/>
  <c r="D251" i="9"/>
  <c r="CD4" i="12"/>
  <c r="AD233" i="47"/>
  <c r="D233" i="47"/>
  <c r="D233" i="9"/>
  <c r="AD132" i="47"/>
  <c r="D132" i="47"/>
  <c r="D132" i="9"/>
  <c r="AD128" i="47"/>
  <c r="D128" i="47"/>
  <c r="D128" i="9"/>
  <c r="AD136" i="47"/>
  <c r="D136" i="47"/>
  <c r="D136" i="9"/>
  <c r="AD114" i="47"/>
  <c r="D114" i="47"/>
  <c r="D114" i="9"/>
  <c r="BI87" i="12"/>
  <c r="I87" i="12"/>
  <c r="AD255" i="47"/>
  <c r="AD247" i="47"/>
  <c r="D247" i="47"/>
  <c r="D247" i="9"/>
  <c r="AD229" i="47"/>
  <c r="D229" i="47"/>
  <c r="D229" i="9"/>
  <c r="AD142" i="47"/>
  <c r="D142" i="47"/>
  <c r="D142" i="9"/>
  <c r="AD243" i="47"/>
  <c r="D243" i="47"/>
  <c r="D243" i="9"/>
  <c r="AD109" i="47"/>
  <c r="D109" i="47"/>
  <c r="D109" i="9"/>
  <c r="AD257" i="47"/>
  <c r="D257" i="47"/>
  <c r="D257" i="9"/>
  <c r="CD5" i="12"/>
  <c r="AD137" i="47"/>
  <c r="D137" i="47"/>
  <c r="D137" i="9"/>
  <c r="AE130" i="47"/>
  <c r="AD224" i="47"/>
  <c r="D224" i="47"/>
  <c r="D224" i="9"/>
  <c r="AD140" i="47"/>
  <c r="D140" i="47"/>
  <c r="D140" i="9"/>
  <c r="AD252" i="47"/>
  <c r="D252" i="47"/>
  <c r="D252" i="9"/>
  <c r="AD118" i="47"/>
  <c r="D118" i="47"/>
  <c r="D118" i="9"/>
  <c r="ED58" i="12"/>
  <c r="DT58" i="45"/>
  <c r="BC46" i="12" a="1"/>
  <c r="BC46" i="12"/>
  <c r="BC47" i="12" a="1"/>
  <c r="BC47" i="12"/>
  <c r="AD121" i="47"/>
  <c r="D121" i="47"/>
  <c r="D121" i="9"/>
  <c r="AX47" i="12" a="1"/>
  <c r="AX47" i="12"/>
  <c r="AX47" i="45" a="1"/>
  <c r="AX47" i="45"/>
  <c r="AD236" i="47"/>
  <c r="D236" i="47"/>
  <c r="D236" i="9"/>
  <c r="AX46" i="12" a="1"/>
  <c r="AX46" i="12"/>
  <c r="AX46" i="45" a="1"/>
  <c r="AX46" i="45"/>
  <c r="AD123" i="47"/>
  <c r="AD237" i="47"/>
  <c r="AD235" i="47"/>
  <c r="AD122" i="47"/>
  <c r="AD120" i="47"/>
  <c r="AD238" i="47"/>
  <c r="DR53" i="12"/>
  <c r="DU53" i="12"/>
  <c r="DQ53" i="12"/>
  <c r="AE131" i="47"/>
  <c r="E131" i="47"/>
  <c r="E131" i="9"/>
  <c r="DQ57" i="12"/>
  <c r="AE135" i="47"/>
  <c r="AF135" i="47"/>
  <c r="F135" i="47"/>
  <c r="F135" i="9"/>
  <c r="DU100" i="12"/>
  <c r="EA100" i="12"/>
  <c r="DV53" i="12"/>
  <c r="AE246" i="47"/>
  <c r="AF246" i="47"/>
  <c r="F246" i="47"/>
  <c r="F246" i="9"/>
  <c r="CZ103" i="12"/>
  <c r="DY53" i="12"/>
  <c r="CJ103" i="12"/>
  <c r="DT53" i="12"/>
  <c r="DZ53" i="12"/>
  <c r="DQ100" i="12"/>
  <c r="DY100" i="12"/>
  <c r="DS53" i="12"/>
  <c r="ED53" i="12"/>
  <c r="EC53" i="12"/>
  <c r="EA53" i="12"/>
  <c r="DR37" i="12"/>
  <c r="DU57" i="12"/>
  <c r="DX53" i="12"/>
  <c r="DS100" i="12"/>
  <c r="E102" i="45"/>
  <c r="E98" i="45"/>
  <c r="E99" i="45"/>
  <c r="E101" i="45"/>
  <c r="E97" i="45"/>
  <c r="E100" i="45"/>
  <c r="DR100" i="12"/>
  <c r="DW53" i="12"/>
  <c r="EB53" i="12"/>
  <c r="AE365" i="47"/>
  <c r="CO103" i="12"/>
  <c r="DX100" i="12"/>
  <c r="DM103" i="12"/>
  <c r="BR103" i="12"/>
  <c r="DW37" i="12"/>
  <c r="DX37" i="12"/>
  <c r="DV57" i="12"/>
  <c r="AE250" i="47"/>
  <c r="E250" i="47"/>
  <c r="E250" i="9"/>
  <c r="DY37" i="12"/>
  <c r="DW57" i="12"/>
  <c r="DX57" i="12"/>
  <c r="DS57" i="12"/>
  <c r="DX46" i="45"/>
  <c r="ED57" i="12"/>
  <c r="ED100" i="12"/>
  <c r="DV100" i="12"/>
  <c r="DT100" i="12"/>
  <c r="CD103" i="12"/>
  <c r="BX103" i="12"/>
  <c r="CS103" i="12"/>
  <c r="CG103" i="12"/>
  <c r="DY57" i="12"/>
  <c r="DH103" i="12"/>
  <c r="CI103" i="12"/>
  <c r="DW100" i="12"/>
  <c r="DZ100" i="12"/>
  <c r="EC57" i="12"/>
  <c r="BS103" i="12"/>
  <c r="CR103" i="12"/>
  <c r="CH103" i="12"/>
  <c r="BV103" i="12"/>
  <c r="EA57" i="12"/>
  <c r="DT57" i="12"/>
  <c r="DG103" i="12"/>
  <c r="DZ37" i="12"/>
  <c r="DK103" i="12"/>
  <c r="DT46" i="45"/>
  <c r="EA37" i="12"/>
  <c r="BM103" i="12"/>
  <c r="DA103" i="12"/>
  <c r="DR57" i="12"/>
  <c r="DU97" i="12"/>
  <c r="DT37" i="12"/>
  <c r="CC103" i="12"/>
  <c r="DQ46" i="45"/>
  <c r="DE103" i="12"/>
  <c r="DD103" i="12"/>
  <c r="EC37" i="12"/>
  <c r="DI103" i="12"/>
  <c r="DZ57" i="12"/>
  <c r="DW46" i="45"/>
  <c r="EA97" i="12"/>
  <c r="BW103" i="12"/>
  <c r="CM103" i="12"/>
  <c r="BT103" i="12"/>
  <c r="CA103" i="12"/>
  <c r="DU37" i="12"/>
  <c r="DZ99" i="12"/>
  <c r="DR48" i="45"/>
  <c r="BY103" i="12"/>
  <c r="CP103" i="12"/>
  <c r="DR46" i="45"/>
  <c r="BN103" i="12"/>
  <c r="CK103" i="12"/>
  <c r="DF103" i="12"/>
  <c r="DP46" i="45"/>
  <c r="DS97" i="12"/>
  <c r="CW103" i="12"/>
  <c r="DY97" i="12"/>
  <c r="EB57" i="12"/>
  <c r="AO369" i="47"/>
  <c r="H369" i="47"/>
  <c r="H369" i="9"/>
  <c r="DN103" i="12"/>
  <c r="DY46" i="45"/>
  <c r="DZ46" i="45"/>
  <c r="DV46" i="45"/>
  <c r="DR97" i="12"/>
  <c r="ED97" i="12"/>
  <c r="DV97" i="12"/>
  <c r="DT97" i="12"/>
  <c r="DQ43" i="45"/>
  <c r="DS37" i="12"/>
  <c r="EB37" i="12"/>
  <c r="AO349" i="47"/>
  <c r="DB103" i="12"/>
  <c r="DW97" i="12"/>
  <c r="BO103" i="12"/>
  <c r="DO103" i="12"/>
  <c r="CB103" i="12"/>
  <c r="DL103" i="12"/>
  <c r="DV37" i="12"/>
  <c r="AE230" i="47"/>
  <c r="AF230" i="47"/>
  <c r="F230" i="47"/>
  <c r="F230" i="9"/>
  <c r="EB46" i="45"/>
  <c r="CF103" i="12"/>
  <c r="CN103" i="12"/>
  <c r="DJ103" i="12"/>
  <c r="DP103" i="12"/>
  <c r="DX97" i="12"/>
  <c r="DZ97" i="12"/>
  <c r="DQ97" i="12"/>
  <c r="DY98" i="12"/>
  <c r="CV103" i="12"/>
  <c r="CT103" i="12"/>
  <c r="DC103" i="12"/>
  <c r="DS98" i="12"/>
  <c r="CX103" i="12"/>
  <c r="EA46" i="45"/>
  <c r="DU46" i="45"/>
  <c r="DS46" i="45"/>
  <c r="DZ98" i="12"/>
  <c r="DO46" i="45"/>
  <c r="DU43" i="12"/>
  <c r="BQ103" i="12"/>
  <c r="DU98" i="12"/>
  <c r="CL103" i="12"/>
  <c r="EA51" i="12"/>
  <c r="DZ34" i="12"/>
  <c r="BZ103" i="12"/>
  <c r="ED98" i="12"/>
  <c r="BU103" i="12"/>
  <c r="BP103" i="12"/>
  <c r="EA98" i="12"/>
  <c r="BH30" i="45"/>
  <c r="E66" i="45"/>
  <c r="AZ12" i="45"/>
  <c r="AN371" i="47"/>
  <c r="G371" i="47"/>
  <c r="G371" i="9"/>
  <c r="AN363" i="47"/>
  <c r="AN345" i="47"/>
  <c r="G345" i="47"/>
  <c r="G345" i="9"/>
  <c r="AN370" i="47"/>
  <c r="G370" i="47"/>
  <c r="G370" i="9"/>
  <c r="AN351" i="47"/>
  <c r="G351" i="47"/>
  <c r="G351" i="9"/>
  <c r="AN346" i="47"/>
  <c r="G346" i="47"/>
  <c r="G346" i="9"/>
  <c r="AN354" i="47"/>
  <c r="AN361" i="47"/>
  <c r="G361" i="47"/>
  <c r="G361" i="9"/>
  <c r="AN360" i="47"/>
  <c r="AN352" i="47"/>
  <c r="G352" i="47"/>
  <c r="G352" i="9"/>
  <c r="AN359" i="47"/>
  <c r="AN374" i="47"/>
  <c r="G374" i="47"/>
  <c r="G374" i="9"/>
  <c r="AN362" i="47"/>
  <c r="G362" i="47"/>
  <c r="G362" i="9"/>
  <c r="AN367" i="47"/>
  <c r="AN349" i="47"/>
  <c r="G349" i="47"/>
  <c r="G349" i="9"/>
  <c r="AN348" i="47"/>
  <c r="G348" i="47"/>
  <c r="G348" i="9"/>
  <c r="AN357" i="47"/>
  <c r="G357" i="47"/>
  <c r="G357" i="9"/>
  <c r="AN369" i="47"/>
  <c r="G369" i="47"/>
  <c r="G369" i="9"/>
  <c r="AN364" i="47"/>
  <c r="AN355" i="47"/>
  <c r="G355" i="47"/>
  <c r="G355" i="9"/>
  <c r="AN353" i="47"/>
  <c r="AN375" i="47"/>
  <c r="G375" i="47"/>
  <c r="G375" i="9"/>
  <c r="AN347" i="47"/>
  <c r="G347" i="47"/>
  <c r="G347" i="9"/>
  <c r="AN358" i="47"/>
  <c r="AN365" i="47"/>
  <c r="G365" i="47"/>
  <c r="G365" i="9"/>
  <c r="AN356" i="47"/>
  <c r="G356" i="47"/>
  <c r="G356" i="9"/>
  <c r="AN350" i="47"/>
  <c r="G350" i="47"/>
  <c r="G350" i="9"/>
  <c r="AN341" i="47"/>
  <c r="G341" i="47"/>
  <c r="G341" i="9"/>
  <c r="AN368" i="47"/>
  <c r="G368" i="47"/>
  <c r="G368" i="9"/>
  <c r="AN373" i="47"/>
  <c r="G373" i="47"/>
  <c r="G373" i="9"/>
  <c r="AN366" i="47"/>
  <c r="G366" i="47"/>
  <c r="G366" i="9"/>
  <c r="AN342" i="47"/>
  <c r="G342" i="47"/>
  <c r="G342" i="9"/>
  <c r="BF31" i="45"/>
  <c r="AN372" i="47"/>
  <c r="G372" i="47"/>
  <c r="G372" i="9"/>
  <c r="DQ98" i="12"/>
  <c r="CY103" i="12"/>
  <c r="CQ103" i="12"/>
  <c r="DX98" i="12"/>
  <c r="DV98" i="12"/>
  <c r="AO370" i="47"/>
  <c r="AE370" i="47"/>
  <c r="AO364" i="47"/>
  <c r="H364" i="47"/>
  <c r="H364" i="9"/>
  <c r="AE364" i="47"/>
  <c r="AF364" i="47"/>
  <c r="F364" i="47"/>
  <c r="F364" i="9"/>
  <c r="AO375" i="47"/>
  <c r="AE375" i="47"/>
  <c r="DW98" i="12"/>
  <c r="AY12" i="45"/>
  <c r="AX12" i="45"/>
  <c r="AX16" i="45"/>
  <c r="AY16" i="45"/>
  <c r="CI84" i="12"/>
  <c r="CI85" i="12"/>
  <c r="CH78" i="12"/>
  <c r="CI86" i="12"/>
  <c r="CI83" i="12"/>
  <c r="CI81" i="12"/>
  <c r="CH83" i="12"/>
  <c r="CI82" i="12"/>
  <c r="CI76" i="12"/>
  <c r="CH81" i="12"/>
  <c r="CH85" i="12"/>
  <c r="CH79" i="12"/>
  <c r="CH77" i="12"/>
  <c r="CI77" i="12"/>
  <c r="CH80" i="12"/>
  <c r="CI79" i="12"/>
  <c r="CH76" i="12"/>
  <c r="CH86" i="12"/>
  <c r="CI78" i="12"/>
  <c r="CH82" i="12"/>
  <c r="CH84" i="12"/>
  <c r="CI80" i="12"/>
  <c r="CI87" i="12"/>
  <c r="CH87" i="12"/>
  <c r="DR98" i="12"/>
  <c r="CU103" i="12"/>
  <c r="DT98" i="12"/>
  <c r="CE103" i="12"/>
  <c r="EA48" i="45"/>
  <c r="EA50" i="45"/>
  <c r="DZ42" i="45"/>
  <c r="EA57" i="45"/>
  <c r="DZ56" i="45"/>
  <c r="DZ57" i="45"/>
  <c r="EA41" i="45"/>
  <c r="DZ33" i="45"/>
  <c r="EA51" i="45"/>
  <c r="EA36" i="45"/>
  <c r="DZ60" i="45"/>
  <c r="EA42" i="45"/>
  <c r="EA49" i="45"/>
  <c r="EA59" i="45"/>
  <c r="DZ49" i="45"/>
  <c r="EA40" i="45"/>
  <c r="DZ36" i="45"/>
  <c r="DZ38" i="45"/>
  <c r="DZ54" i="45"/>
  <c r="DZ64" i="45"/>
  <c r="DZ39" i="45"/>
  <c r="EA56" i="45"/>
  <c r="DZ51" i="45"/>
  <c r="EA38" i="45"/>
  <c r="EA55" i="45"/>
  <c r="EA34" i="45"/>
  <c r="EA61" i="45"/>
  <c r="DZ52" i="45"/>
  <c r="DZ40" i="45"/>
  <c r="DZ48" i="45"/>
  <c r="DZ34" i="45"/>
  <c r="DZ50" i="45"/>
  <c r="DZ43" i="45"/>
  <c r="DZ61" i="45"/>
  <c r="EA60" i="45"/>
  <c r="DZ45" i="45"/>
  <c r="DZ37" i="45"/>
  <c r="DZ35" i="45"/>
  <c r="EA45" i="45"/>
  <c r="DZ62" i="45"/>
  <c r="EA35" i="45"/>
  <c r="EA64" i="45"/>
  <c r="EA33" i="45"/>
  <c r="EA62" i="45"/>
  <c r="EA54" i="45"/>
  <c r="DZ55" i="45"/>
  <c r="EA44" i="45"/>
  <c r="DZ41" i="45"/>
  <c r="EA52" i="45"/>
  <c r="DZ47" i="45"/>
  <c r="EA47" i="45"/>
  <c r="EA37" i="45"/>
  <c r="EA39" i="45"/>
  <c r="DZ44" i="45"/>
  <c r="EA43" i="45"/>
  <c r="DZ59" i="45"/>
  <c r="BA40" i="34"/>
  <c r="AZ40" i="34"/>
  <c r="BA46" i="34"/>
  <c r="AZ46" i="34"/>
  <c r="BK31" i="45"/>
  <c r="BJ31" i="45"/>
  <c r="BI31" i="45"/>
  <c r="EC51" i="12"/>
  <c r="EB48" i="12"/>
  <c r="EC41" i="12"/>
  <c r="EC64" i="12"/>
  <c r="EC59" i="12"/>
  <c r="EC54" i="12"/>
  <c r="EC44" i="12"/>
  <c r="EB41" i="12"/>
  <c r="EC49" i="12"/>
  <c r="EB34" i="12"/>
  <c r="EB50" i="12"/>
  <c r="AY40" i="34"/>
  <c r="EC42" i="12"/>
  <c r="EC38" i="12"/>
  <c r="EB40" i="12"/>
  <c r="EC39" i="12"/>
  <c r="EB46" i="12"/>
  <c r="EC60" i="12"/>
  <c r="EC36" i="12"/>
  <c r="AY46" i="34"/>
  <c r="AU40" i="34"/>
  <c r="EC46" i="12"/>
  <c r="EC48" i="12"/>
  <c r="EB60" i="12"/>
  <c r="EB51" i="12"/>
  <c r="EB36" i="12"/>
  <c r="EB64" i="12"/>
  <c r="EB59" i="12"/>
  <c r="AQ46" i="34"/>
  <c r="AW40" i="34"/>
  <c r="EB44" i="12"/>
  <c r="EB33" i="12"/>
  <c r="AT40" i="34"/>
  <c r="AR40" i="34"/>
  <c r="AQ40" i="34"/>
  <c r="EB42" i="12"/>
  <c r="EB38" i="12"/>
  <c r="EB62" i="12"/>
  <c r="EC40" i="12"/>
  <c r="EB39" i="12"/>
  <c r="EB43" i="12"/>
  <c r="AR46" i="34"/>
  <c r="EB56" i="12"/>
  <c r="AO40" i="34"/>
  <c r="EC62" i="12"/>
  <c r="EC43" i="12"/>
  <c r="EC55" i="12"/>
  <c r="AP46" i="34"/>
  <c r="AX46" i="34"/>
  <c r="AU46" i="34"/>
  <c r="AS46" i="34"/>
  <c r="EB49" i="12"/>
  <c r="EC34" i="12"/>
  <c r="EC50" i="12"/>
  <c r="EC61" i="12"/>
  <c r="EC56" i="12"/>
  <c r="AN40" i="34"/>
  <c r="AP40" i="34"/>
  <c r="AV40" i="34"/>
  <c r="EB35" i="12"/>
  <c r="EC45" i="12"/>
  <c r="EB47" i="12"/>
  <c r="EB61" i="12"/>
  <c r="AX40" i="34"/>
  <c r="EB54" i="12"/>
  <c r="EB55" i="12"/>
  <c r="AT46" i="34"/>
  <c r="AO46" i="34"/>
  <c r="AN46" i="34"/>
  <c r="AW46" i="34"/>
  <c r="AV46" i="34"/>
  <c r="EC33" i="12"/>
  <c r="AS40" i="34"/>
  <c r="EC35" i="12"/>
  <c r="EB45" i="12"/>
  <c r="EC47" i="12"/>
  <c r="AY31" i="45"/>
  <c r="BG31" i="45"/>
  <c r="AZ31" i="45"/>
  <c r="BH31" i="45"/>
  <c r="BD31" i="45"/>
  <c r="BC31" i="45"/>
  <c r="BE31" i="45"/>
  <c r="BA31" i="45"/>
  <c r="BB31" i="45"/>
  <c r="DX34" i="45"/>
  <c r="DX36" i="45"/>
  <c r="DW47" i="45"/>
  <c r="DR36" i="45"/>
  <c r="DY61" i="45"/>
  <c r="DO37" i="45"/>
  <c r="EB57" i="45"/>
  <c r="DQ48" i="45"/>
  <c r="DY43" i="45"/>
  <c r="EB50" i="45"/>
  <c r="DO52" i="45"/>
  <c r="DU36" i="45"/>
  <c r="DP47" i="45"/>
  <c r="DS34" i="45"/>
  <c r="DY40" i="45"/>
  <c r="DX43" i="45"/>
  <c r="DU47" i="45"/>
  <c r="DP34" i="45"/>
  <c r="DP61" i="45"/>
  <c r="DR62" i="45"/>
  <c r="DQ34" i="45"/>
  <c r="DW61" i="45"/>
  <c r="DU48" i="45"/>
  <c r="DW43" i="45"/>
  <c r="AX31" i="45"/>
  <c r="DX39" i="45"/>
  <c r="DV39" i="45"/>
  <c r="DW39" i="45"/>
  <c r="DS36" i="45"/>
  <c r="DY36" i="45"/>
  <c r="DQ47" i="45"/>
  <c r="DR47" i="45"/>
  <c r="DY47" i="45"/>
  <c r="DW62" i="45"/>
  <c r="DW34" i="45"/>
  <c r="DP40" i="45"/>
  <c r="DR33" i="45"/>
  <c r="DP39" i="45"/>
  <c r="DP36" i="45"/>
  <c r="DY62" i="45"/>
  <c r="DQ62" i="45"/>
  <c r="DR50" i="45"/>
  <c r="DP48" i="45"/>
  <c r="DU44" i="45"/>
  <c r="DV43" i="45"/>
  <c r="DU39" i="45"/>
  <c r="DU51" i="45"/>
  <c r="DP51" i="45"/>
  <c r="DQ51" i="45"/>
  <c r="DW36" i="45"/>
  <c r="DP62" i="45"/>
  <c r="DX62" i="45"/>
  <c r="DS62" i="45"/>
  <c r="DY54" i="45"/>
  <c r="DQ54" i="45"/>
  <c r="DV34" i="45"/>
  <c r="DQ40" i="45"/>
  <c r="DW40" i="45"/>
  <c r="DS50" i="45"/>
  <c r="DU61" i="45"/>
  <c r="DQ61" i="45"/>
  <c r="DW33" i="45"/>
  <c r="DQ33" i="45"/>
  <c r="DU56" i="45"/>
  <c r="DS48" i="45"/>
  <c r="DX48" i="45"/>
  <c r="DT44" i="45"/>
  <c r="DR44" i="45"/>
  <c r="DW60" i="45"/>
  <c r="DY60" i="45"/>
  <c r="DS60" i="45"/>
  <c r="DR57" i="45"/>
  <c r="DX45" i="45"/>
  <c r="DW49" i="45"/>
  <c r="DY49" i="45"/>
  <c r="DU49" i="45"/>
  <c r="DS43" i="45"/>
  <c r="DY55" i="45"/>
  <c r="DR55" i="45"/>
  <c r="DX52" i="45"/>
  <c r="DX59" i="45"/>
  <c r="DX54" i="45"/>
  <c r="DP56" i="45"/>
  <c r="DX35" i="45"/>
  <c r="DY35" i="45"/>
  <c r="DU35" i="45"/>
  <c r="DV42" i="45"/>
  <c r="DQ41" i="45"/>
  <c r="DW41" i="45"/>
  <c r="DV41" i="45"/>
  <c r="DW57" i="45"/>
  <c r="DP57" i="45"/>
  <c r="DP45" i="45"/>
  <c r="DV38" i="45"/>
  <c r="DR38" i="45"/>
  <c r="DP38" i="45"/>
  <c r="DU37" i="45"/>
  <c r="DQ37" i="45"/>
  <c r="DP64" i="45"/>
  <c r="DW64" i="45"/>
  <c r="DU64" i="45"/>
  <c r="DQ52" i="45"/>
  <c r="DS39" i="45"/>
  <c r="DQ39" i="45"/>
  <c r="DS51" i="45"/>
  <c r="DW51" i="45"/>
  <c r="DY51" i="45"/>
  <c r="DV36" i="45"/>
  <c r="DS47" i="45"/>
  <c r="DV62" i="45"/>
  <c r="DU54" i="45"/>
  <c r="DS54" i="45"/>
  <c r="DR34" i="45"/>
  <c r="DY34" i="45"/>
  <c r="DX40" i="45"/>
  <c r="DS40" i="45"/>
  <c r="DP50" i="45"/>
  <c r="DW50" i="45"/>
  <c r="DS61" i="45"/>
  <c r="DV33" i="45"/>
  <c r="DP33" i="45"/>
  <c r="DY56" i="45"/>
  <c r="DW56" i="45"/>
  <c r="DR35" i="45"/>
  <c r="DY48" i="45"/>
  <c r="DP44" i="45"/>
  <c r="DW44" i="45"/>
  <c r="DX44" i="45"/>
  <c r="DR60" i="45"/>
  <c r="DX60" i="45"/>
  <c r="DW42" i="45"/>
  <c r="DX42" i="45"/>
  <c r="DQ42" i="45"/>
  <c r="DS41" i="45"/>
  <c r="DP41" i="45"/>
  <c r="DU57" i="45"/>
  <c r="DR45" i="45"/>
  <c r="DQ45" i="45"/>
  <c r="DS45" i="45"/>
  <c r="DR49" i="45"/>
  <c r="DV49" i="45"/>
  <c r="DX38" i="45"/>
  <c r="DS38" i="45"/>
  <c r="DR43" i="45"/>
  <c r="DU43" i="45"/>
  <c r="DS55" i="45"/>
  <c r="DQ55" i="45"/>
  <c r="DY37" i="45"/>
  <c r="DS37" i="45"/>
  <c r="DV64" i="45"/>
  <c r="DR64" i="45"/>
  <c r="DS64" i="45"/>
  <c r="DU52" i="45"/>
  <c r="DR52" i="45"/>
  <c r="DY52" i="45"/>
  <c r="DS59" i="45"/>
  <c r="DQ59" i="45"/>
  <c r="DW59" i="45"/>
  <c r="DU50" i="45"/>
  <c r="DX51" i="45"/>
  <c r="DR54" i="45"/>
  <c r="DP54" i="45"/>
  <c r="DU40" i="45"/>
  <c r="DQ50" i="45"/>
  <c r="DV50" i="45"/>
  <c r="DX61" i="45"/>
  <c r="DV61" i="45"/>
  <c r="DS33" i="45"/>
  <c r="DS56" i="45"/>
  <c r="DX56" i="45"/>
  <c r="DV56" i="45"/>
  <c r="DP35" i="45"/>
  <c r="DW35" i="45"/>
  <c r="DV48" i="45"/>
  <c r="DS44" i="45"/>
  <c r="DY44" i="45"/>
  <c r="DQ44" i="45"/>
  <c r="DP60" i="45"/>
  <c r="DR42" i="45"/>
  <c r="DY42" i="45"/>
  <c r="DY41" i="45"/>
  <c r="DX41" i="45"/>
  <c r="DX57" i="45"/>
  <c r="DQ57" i="45"/>
  <c r="DY45" i="45"/>
  <c r="DU45" i="45"/>
  <c r="DX49" i="45"/>
  <c r="DQ38" i="45"/>
  <c r="DY38" i="45"/>
  <c r="DP43" i="45"/>
  <c r="DW55" i="45"/>
  <c r="DX55" i="45"/>
  <c r="DU55" i="45"/>
  <c r="DV37" i="45"/>
  <c r="DR37" i="45"/>
  <c r="DX37" i="45"/>
  <c r="DY64" i="45"/>
  <c r="DX64" i="45"/>
  <c r="DW52" i="45"/>
  <c r="DY59" i="45"/>
  <c r="DP59" i="45"/>
  <c r="DX50" i="45"/>
  <c r="DY39" i="45"/>
  <c r="DR39" i="45"/>
  <c r="DR51" i="45"/>
  <c r="DV51" i="45"/>
  <c r="DQ36" i="45"/>
  <c r="DV47" i="45"/>
  <c r="DX47" i="45"/>
  <c r="DU62" i="45"/>
  <c r="DW54" i="45"/>
  <c r="DV54" i="45"/>
  <c r="DU34" i="45"/>
  <c r="DV40" i="45"/>
  <c r="DR40" i="45"/>
  <c r="DY50" i="45"/>
  <c r="DR61" i="45"/>
  <c r="DY33" i="45"/>
  <c r="DX33" i="45"/>
  <c r="DU33" i="45"/>
  <c r="DQ56" i="45"/>
  <c r="DR56" i="45"/>
  <c r="DS35" i="45"/>
  <c r="DV35" i="45"/>
  <c r="DQ35" i="45"/>
  <c r="DW48" i="45"/>
  <c r="DV44" i="45"/>
  <c r="DV60" i="45"/>
  <c r="DQ60" i="45"/>
  <c r="DU60" i="45"/>
  <c r="DS42" i="45"/>
  <c r="DP42" i="45"/>
  <c r="DU42" i="45"/>
  <c r="DR41" i="45"/>
  <c r="DU41" i="45"/>
  <c r="DV57" i="45"/>
  <c r="DS57" i="45"/>
  <c r="DY57" i="45"/>
  <c r="DV45" i="45"/>
  <c r="DW45" i="45"/>
  <c r="DQ49" i="45"/>
  <c r="DS49" i="45"/>
  <c r="DP49" i="45"/>
  <c r="DW38" i="45"/>
  <c r="DU38" i="45"/>
  <c r="DP55" i="45"/>
  <c r="DV55" i="45"/>
  <c r="DP37" i="45"/>
  <c r="DW37" i="45"/>
  <c r="DQ64" i="45"/>
  <c r="DS52" i="45"/>
  <c r="DV52" i="45"/>
  <c r="DP52" i="45"/>
  <c r="DV59" i="45"/>
  <c r="DU59" i="45"/>
  <c r="DR59" i="45"/>
  <c r="BY76" i="12"/>
  <c r="CC76" i="12"/>
  <c r="CG76" i="12"/>
  <c r="BZ77" i="12"/>
  <c r="CD77" i="12"/>
  <c r="CJ77" i="12"/>
  <c r="CA78" i="12"/>
  <c r="CE78" i="12"/>
  <c r="BX79" i="12"/>
  <c r="CB79" i="12"/>
  <c r="L79" i="12"/>
  <c r="CF79" i="12"/>
  <c r="BY80" i="12"/>
  <c r="CC80" i="12"/>
  <c r="CG80" i="12"/>
  <c r="BZ81" i="12"/>
  <c r="CD81" i="12"/>
  <c r="CJ81" i="12"/>
  <c r="CA82" i="12"/>
  <c r="CE82" i="12"/>
  <c r="BX83" i="12"/>
  <c r="CB83" i="12"/>
  <c r="L83" i="12"/>
  <c r="CF83" i="12"/>
  <c r="BY84" i="12"/>
  <c r="CC84" i="12"/>
  <c r="CG84" i="12"/>
  <c r="BZ85" i="12"/>
  <c r="CD85" i="12"/>
  <c r="CJ85" i="12"/>
  <c r="CA86" i="12"/>
  <c r="CE86" i="12"/>
  <c r="BX87" i="12"/>
  <c r="CB87" i="12"/>
  <c r="L87" i="12"/>
  <c r="CF87" i="12"/>
  <c r="CA76" i="12"/>
  <c r="CB77" i="12"/>
  <c r="L77" i="12"/>
  <c r="BY78" i="12"/>
  <c r="CG78" i="12"/>
  <c r="CD79" i="12"/>
  <c r="CA80" i="12"/>
  <c r="BX81" i="12"/>
  <c r="CF81" i="12"/>
  <c r="CC82" i="12"/>
  <c r="BZ83" i="12"/>
  <c r="CJ83" i="12"/>
  <c r="CE84" i="12"/>
  <c r="CB85" i="12"/>
  <c r="L85" i="12"/>
  <c r="BY86" i="12"/>
  <c r="CG86" i="12"/>
  <c r="CD87" i="12"/>
  <c r="BZ76" i="12"/>
  <c r="CD76" i="12"/>
  <c r="CJ76" i="12"/>
  <c r="CA77" i="12"/>
  <c r="CE77" i="12"/>
  <c r="BX78" i="12"/>
  <c r="CB78" i="12"/>
  <c r="L78" i="12"/>
  <c r="CF78" i="12"/>
  <c r="BY79" i="12"/>
  <c r="CC79" i="12"/>
  <c r="CG79" i="12"/>
  <c r="BZ80" i="12"/>
  <c r="CD80" i="12"/>
  <c r="CJ80" i="12"/>
  <c r="CA81" i="12"/>
  <c r="CE81" i="12"/>
  <c r="BX82" i="12"/>
  <c r="CB82" i="12"/>
  <c r="L82" i="12"/>
  <c r="CF82" i="12"/>
  <c r="BY83" i="12"/>
  <c r="CC83" i="12"/>
  <c r="CG83" i="12"/>
  <c r="BZ84" i="12"/>
  <c r="CD84" i="12"/>
  <c r="CJ84" i="12"/>
  <c r="CA85" i="12"/>
  <c r="CE85" i="12"/>
  <c r="BX86" i="12"/>
  <c r="CB86" i="12"/>
  <c r="L86" i="12"/>
  <c r="CF86" i="12"/>
  <c r="BY87" i="12"/>
  <c r="CC87" i="12"/>
  <c r="CG87" i="12"/>
  <c r="CE76" i="12"/>
  <c r="BX77" i="12"/>
  <c r="CF77" i="12"/>
  <c r="CC78" i="12"/>
  <c r="BZ79" i="12"/>
  <c r="CJ79" i="12"/>
  <c r="CE80" i="12"/>
  <c r="CB81" i="12"/>
  <c r="L81" i="12"/>
  <c r="BY82" i="12"/>
  <c r="CG82" i="12"/>
  <c r="CD83" i="12"/>
  <c r="CA84" i="12"/>
  <c r="BX85" i="12"/>
  <c r="CF85" i="12"/>
  <c r="CC86" i="12"/>
  <c r="BZ87" i="12"/>
  <c r="CJ87" i="12"/>
  <c r="CB76" i="12"/>
  <c r="L76" i="12"/>
  <c r="CG77" i="12"/>
  <c r="CA79" i="12"/>
  <c r="CF80" i="12"/>
  <c r="BZ82" i="12"/>
  <c r="CE83" i="12"/>
  <c r="BY85" i="12"/>
  <c r="CD86" i="12"/>
  <c r="CD78" i="12"/>
  <c r="CC81" i="12"/>
  <c r="CB84" i="12"/>
  <c r="L84" i="12"/>
  <c r="CA87" i="12"/>
  <c r="BX76" i="12"/>
  <c r="CJ78" i="12"/>
  <c r="CG81" i="12"/>
  <c r="CF84" i="12"/>
  <c r="CE87" i="12"/>
  <c r="CF76" i="12"/>
  <c r="BZ78" i="12"/>
  <c r="CE79" i="12"/>
  <c r="BY81" i="12"/>
  <c r="CD82" i="12"/>
  <c r="BX84" i="12"/>
  <c r="CC85" i="12"/>
  <c r="CJ86" i="12"/>
  <c r="BY77" i="12"/>
  <c r="BX80" i="12"/>
  <c r="CJ82" i="12"/>
  <c r="CG85" i="12"/>
  <c r="CC77" i="12"/>
  <c r="CB80" i="12"/>
  <c r="L80" i="12"/>
  <c r="CA83" i="12"/>
  <c r="BZ86" i="12"/>
  <c r="DQ46" i="12"/>
  <c r="AE124" i="47"/>
  <c r="E124" i="47"/>
  <c r="E124" i="9"/>
  <c r="EB48" i="45"/>
  <c r="EB54" i="45"/>
  <c r="DS34" i="12"/>
  <c r="DR34" i="12"/>
  <c r="EA49" i="12"/>
  <c r="DW43" i="12"/>
  <c r="DT43" i="12"/>
  <c r="DW64" i="12"/>
  <c r="DU54" i="12"/>
  <c r="DT64" i="12"/>
  <c r="DU64" i="12"/>
  <c r="DT51" i="12"/>
  <c r="DY50" i="12"/>
  <c r="DY44" i="12"/>
  <c r="DW51" i="12"/>
  <c r="DX34" i="12"/>
  <c r="DZ43" i="12"/>
  <c r="DS43" i="12"/>
  <c r="DS50" i="12"/>
  <c r="DT54" i="12"/>
  <c r="DX51" i="12"/>
  <c r="DS51" i="12"/>
  <c r="DU49" i="12"/>
  <c r="DY49" i="12"/>
  <c r="EA43" i="12"/>
  <c r="DU50" i="12"/>
  <c r="DZ64" i="12"/>
  <c r="DS64" i="12"/>
  <c r="DW54" i="12"/>
  <c r="DS35" i="12"/>
  <c r="DR44" i="12"/>
  <c r="DZ44" i="12"/>
  <c r="DT33" i="12"/>
  <c r="DZ33" i="12"/>
  <c r="DT61" i="12"/>
  <c r="EA61" i="12"/>
  <c r="DZ42" i="12"/>
  <c r="DT42" i="12"/>
  <c r="DS42" i="12"/>
  <c r="DX38" i="12"/>
  <c r="DW38" i="12"/>
  <c r="DW39" i="12"/>
  <c r="DX39" i="12"/>
  <c r="DY56" i="12"/>
  <c r="DT56" i="12"/>
  <c r="DR59" i="12"/>
  <c r="EA59" i="12"/>
  <c r="DX55" i="12"/>
  <c r="DW55" i="12"/>
  <c r="DU36" i="12"/>
  <c r="DU48" i="12"/>
  <c r="DZ48" i="12"/>
  <c r="DT60" i="12"/>
  <c r="DU60" i="12"/>
  <c r="DW62" i="12"/>
  <c r="DR46" i="12"/>
  <c r="DS41" i="12"/>
  <c r="DY41" i="12"/>
  <c r="DS45" i="12"/>
  <c r="DX45" i="12"/>
  <c r="DS54" i="12"/>
  <c r="DR51" i="12"/>
  <c r="DU34" i="12"/>
  <c r="EA50" i="12"/>
  <c r="DX50" i="12"/>
  <c r="DR64" i="12"/>
  <c r="DX54" i="12"/>
  <c r="DY54" i="12"/>
  <c r="DY35" i="12"/>
  <c r="EA33" i="12"/>
  <c r="DU35" i="12"/>
  <c r="DT44" i="12"/>
  <c r="DX56" i="12"/>
  <c r="DZ55" i="12"/>
  <c r="DZ36" i="12"/>
  <c r="DS48" i="12"/>
  <c r="DX40" i="12"/>
  <c r="DY40" i="12"/>
  <c r="DT62" i="12"/>
  <c r="DS46" i="12"/>
  <c r="DW47" i="12"/>
  <c r="DU47" i="12"/>
  <c r="DT41" i="12"/>
  <c r="DY51" i="12"/>
  <c r="DZ51" i="12"/>
  <c r="DS49" i="12"/>
  <c r="DX49" i="12"/>
  <c r="DW49" i="12"/>
  <c r="DY34" i="12"/>
  <c r="DR43" i="12"/>
  <c r="DY43" i="12"/>
  <c r="DW50" i="12"/>
  <c r="DR50" i="12"/>
  <c r="EA64" i="12"/>
  <c r="DZ54" i="12"/>
  <c r="DT35" i="12"/>
  <c r="DR35" i="12"/>
  <c r="DX35" i="12"/>
  <c r="DX44" i="12"/>
  <c r="DS44" i="12"/>
  <c r="DS33" i="12"/>
  <c r="DU33" i="12"/>
  <c r="DR61" i="12"/>
  <c r="DS61" i="12"/>
  <c r="DU42" i="12"/>
  <c r="DW42" i="12"/>
  <c r="EA38" i="12"/>
  <c r="DZ38" i="12"/>
  <c r="DS39" i="12"/>
  <c r="DY39" i="12"/>
  <c r="EA56" i="12"/>
  <c r="DS56" i="12"/>
  <c r="DY59" i="12"/>
  <c r="DS59" i="12"/>
  <c r="DR55" i="12"/>
  <c r="DY55" i="12"/>
  <c r="EA36" i="12"/>
  <c r="DR36" i="12"/>
  <c r="DR48" i="12"/>
  <c r="DW48" i="12"/>
  <c r="DZ60" i="12"/>
  <c r="DS60" i="12"/>
  <c r="DT40" i="12"/>
  <c r="EA40" i="12"/>
  <c r="DR62" i="12"/>
  <c r="DZ62" i="12"/>
  <c r="DY46" i="12"/>
  <c r="DW46" i="12"/>
  <c r="DZ46" i="12"/>
  <c r="DY47" i="12"/>
  <c r="DR47" i="12"/>
  <c r="DZ41" i="12"/>
  <c r="DW41" i="12"/>
  <c r="EA45" i="12"/>
  <c r="DY45" i="12"/>
  <c r="DU51" i="12"/>
  <c r="DZ49" i="12"/>
  <c r="DR49" i="12"/>
  <c r="DT34" i="12"/>
  <c r="DX43" i="12"/>
  <c r="DY64" i="12"/>
  <c r="DZ35" i="12"/>
  <c r="DW44" i="12"/>
  <c r="EA44" i="12"/>
  <c r="DR33" i="12"/>
  <c r="DX33" i="12"/>
  <c r="DX61" i="12"/>
  <c r="DY61" i="12"/>
  <c r="EA42" i="12"/>
  <c r="DX42" i="12"/>
  <c r="DS38" i="12"/>
  <c r="DT38" i="12"/>
  <c r="DR39" i="12"/>
  <c r="DU39" i="12"/>
  <c r="DT39" i="12"/>
  <c r="DU56" i="12"/>
  <c r="DW56" i="12"/>
  <c r="DT59" i="12"/>
  <c r="DX59" i="12"/>
  <c r="EA55" i="12"/>
  <c r="DT55" i="12"/>
  <c r="DX36" i="12"/>
  <c r="DW36" i="12"/>
  <c r="DS36" i="12"/>
  <c r="EA48" i="12"/>
  <c r="DY48" i="12"/>
  <c r="EA60" i="12"/>
  <c r="DR60" i="12"/>
  <c r="DW40" i="12"/>
  <c r="DZ40" i="12"/>
  <c r="DY62" i="12"/>
  <c r="EA62" i="12"/>
  <c r="DT46" i="12"/>
  <c r="EA46" i="12"/>
  <c r="DS47" i="12"/>
  <c r="DT47" i="12"/>
  <c r="EA47" i="12"/>
  <c r="DU41" i="12"/>
  <c r="DX41" i="12"/>
  <c r="DW45" i="12"/>
  <c r="DZ45" i="12"/>
  <c r="DT49" i="12"/>
  <c r="EA34" i="12"/>
  <c r="DW34" i="12"/>
  <c r="DZ50" i="12"/>
  <c r="DT50" i="12"/>
  <c r="DX64" i="12"/>
  <c r="EA54" i="12"/>
  <c r="DR54" i="12"/>
  <c r="EA35" i="12"/>
  <c r="DW35" i="12"/>
  <c r="DU44" i="12"/>
  <c r="DW33" i="12"/>
  <c r="DY33" i="12"/>
  <c r="DU61" i="12"/>
  <c r="DZ61" i="12"/>
  <c r="DW61" i="12"/>
  <c r="DR42" i="12"/>
  <c r="DY42" i="12"/>
  <c r="DR38" i="12"/>
  <c r="DY38" i="12"/>
  <c r="DU38" i="12"/>
  <c r="EA39" i="12"/>
  <c r="DZ39" i="12"/>
  <c r="DZ56" i="12"/>
  <c r="DR56" i="12"/>
  <c r="DZ59" i="12"/>
  <c r="DU59" i="12"/>
  <c r="DW59" i="12"/>
  <c r="DS55" i="12"/>
  <c r="DU55" i="12"/>
  <c r="DT36" i="12"/>
  <c r="DY36" i="12"/>
  <c r="DX48" i="12"/>
  <c r="DT48" i="12"/>
  <c r="DW60" i="12"/>
  <c r="DX60" i="12"/>
  <c r="DY60" i="12"/>
  <c r="DR40" i="12"/>
  <c r="DU40" i="12"/>
  <c r="DS40" i="12"/>
  <c r="DS62" i="12"/>
  <c r="DX62" i="12"/>
  <c r="DU62" i="12"/>
  <c r="DX46" i="12"/>
  <c r="DU46" i="12"/>
  <c r="DX47" i="12"/>
  <c r="DZ47" i="12"/>
  <c r="DR41" i="12"/>
  <c r="EA41" i="12"/>
  <c r="DR45" i="12"/>
  <c r="DU45" i="12"/>
  <c r="DT45" i="12"/>
  <c r="ED46" i="12"/>
  <c r="DV46" i="12"/>
  <c r="AE239" i="47"/>
  <c r="E239" i="47"/>
  <c r="E239" i="9"/>
  <c r="AV31" i="12"/>
  <c r="G31" i="12"/>
  <c r="AN135" i="47"/>
  <c r="G135" i="47"/>
  <c r="G135" i="9"/>
  <c r="AU31" i="12"/>
  <c r="EB37" i="45"/>
  <c r="DT51" i="45"/>
  <c r="DT37" i="45"/>
  <c r="EB51" i="45"/>
  <c r="DT57" i="45"/>
  <c r="EB39" i="45"/>
  <c r="DO57" i="45"/>
  <c r="EB52" i="45"/>
  <c r="DT48" i="45"/>
  <c r="DT39" i="45"/>
  <c r="DO43" i="45"/>
  <c r="DO44" i="45"/>
  <c r="DT52" i="45"/>
  <c r="DO48" i="45"/>
  <c r="DO51" i="45"/>
  <c r="DT54" i="45"/>
  <c r="DO50" i="45"/>
  <c r="ED51" i="12"/>
  <c r="EB44" i="45"/>
  <c r="DT41" i="45"/>
  <c r="DV51" i="12"/>
  <c r="AE244" i="47"/>
  <c r="AF244" i="47"/>
  <c r="F244" i="47"/>
  <c r="F244" i="9"/>
  <c r="DV45" i="12"/>
  <c r="AE238" i="47"/>
  <c r="E238" i="47"/>
  <c r="E238" i="9"/>
  <c r="DO54" i="45"/>
  <c r="ED44" i="12"/>
  <c r="EB56" i="45"/>
  <c r="AN224" i="47"/>
  <c r="G224" i="47"/>
  <c r="G224" i="9"/>
  <c r="AN141" i="47"/>
  <c r="G141" i="47"/>
  <c r="G141" i="9"/>
  <c r="DQ35" i="12"/>
  <c r="AE113" i="47"/>
  <c r="AF113" i="47"/>
  <c r="F113" i="47"/>
  <c r="F113" i="9"/>
  <c r="AN136" i="47"/>
  <c r="G136" i="47"/>
  <c r="G136" i="9"/>
  <c r="AN257" i="47"/>
  <c r="G257" i="47"/>
  <c r="G257" i="9"/>
  <c r="AN228" i="47"/>
  <c r="G228" i="47"/>
  <c r="G228" i="9"/>
  <c r="AO245" i="47"/>
  <c r="H245" i="47"/>
  <c r="H245" i="9"/>
  <c r="AO130" i="47"/>
  <c r="H130" i="47"/>
  <c r="H130" i="9"/>
  <c r="AN109" i="47"/>
  <c r="G109" i="47"/>
  <c r="G109" i="9"/>
  <c r="AN120" i="47"/>
  <c r="G120" i="47"/>
  <c r="AN235" i="47"/>
  <c r="G235" i="47"/>
  <c r="AN230" i="47"/>
  <c r="G230" i="47"/>
  <c r="G230" i="9"/>
  <c r="DO64" i="45"/>
  <c r="DT61" i="45"/>
  <c r="DT50" i="45"/>
  <c r="DO35" i="45"/>
  <c r="M31" i="12"/>
  <c r="L31" i="12"/>
  <c r="K31" i="12"/>
  <c r="J31" i="12"/>
  <c r="AX14" i="12"/>
  <c r="AY14" i="12"/>
  <c r="CB7" i="12"/>
  <c r="DV34" i="12"/>
  <c r="AE227" i="47"/>
  <c r="AF227" i="47"/>
  <c r="F227" i="47"/>
  <c r="F227" i="9"/>
  <c r="DO41" i="45"/>
  <c r="DQ39" i="12"/>
  <c r="DV48" i="12"/>
  <c r="AE241" i="47"/>
  <c r="E241" i="47"/>
  <c r="E241" i="9"/>
  <c r="DQ60" i="12"/>
  <c r="AE138" i="47"/>
  <c r="AF138" i="47"/>
  <c r="F138" i="47"/>
  <c r="F138" i="9"/>
  <c r="DQ40" i="12"/>
  <c r="AE118" i="47"/>
  <c r="AF118" i="47"/>
  <c r="F118" i="47"/>
  <c r="F118" i="9"/>
  <c r="EB61" i="45"/>
  <c r="AN137" i="47"/>
  <c r="G137" i="47"/>
  <c r="G137" i="9"/>
  <c r="DV60" i="12"/>
  <c r="DQ44" i="12"/>
  <c r="DT43" i="45"/>
  <c r="AN236" i="47"/>
  <c r="G236" i="47"/>
  <c r="G236" i="9"/>
  <c r="AN229" i="47"/>
  <c r="G229" i="47"/>
  <c r="G229" i="9"/>
  <c r="AX15" i="12"/>
  <c r="AY15" i="12"/>
  <c r="AO136" i="47"/>
  <c r="ED34" i="12"/>
  <c r="EB64" i="45"/>
  <c r="DV39" i="12"/>
  <c r="AE232" i="47"/>
  <c r="AF232" i="47"/>
  <c r="F232" i="47"/>
  <c r="F232" i="9"/>
  <c r="E66" i="47"/>
  <c r="E66" i="9"/>
  <c r="AN134" i="47"/>
  <c r="G134" i="47"/>
  <c r="G134" i="9"/>
  <c r="AN242" i="47"/>
  <c r="G242" i="47"/>
  <c r="G242" i="9"/>
  <c r="AN254" i="47"/>
  <c r="G254" i="47"/>
  <c r="G254" i="9"/>
  <c r="EB35" i="45"/>
  <c r="DO60" i="45"/>
  <c r="EB62" i="45"/>
  <c r="EB59" i="45"/>
  <c r="DT64" i="45"/>
  <c r="ED35" i="12"/>
  <c r="EB38" i="45"/>
  <c r="EB41" i="45"/>
  <c r="ED39" i="12"/>
  <c r="ED48" i="12"/>
  <c r="DO59" i="45"/>
  <c r="ED40" i="12"/>
  <c r="ED45" i="12"/>
  <c r="DO39" i="45"/>
  <c r="EB43" i="45"/>
  <c r="DO56" i="45"/>
  <c r="AO135" i="47"/>
  <c r="DQ34" i="12"/>
  <c r="DV35" i="12"/>
  <c r="ED60" i="12"/>
  <c r="DT59" i="45"/>
  <c r="DV40" i="12"/>
  <c r="AE233" i="47"/>
  <c r="E233" i="47"/>
  <c r="E233" i="9"/>
  <c r="DQ45" i="12"/>
  <c r="AE123" i="47"/>
  <c r="E123" i="47"/>
  <c r="E123" i="9"/>
  <c r="DV44" i="12"/>
  <c r="DT56" i="45"/>
  <c r="AN238" i="47"/>
  <c r="G238" i="47"/>
  <c r="G238" i="9"/>
  <c r="AN122" i="47"/>
  <c r="G122" i="47"/>
  <c r="G122" i="9"/>
  <c r="AN123" i="47"/>
  <c r="G123" i="47"/>
  <c r="G123" i="9"/>
  <c r="AN140" i="47"/>
  <c r="G140" i="47"/>
  <c r="G140" i="9"/>
  <c r="AN108" i="47"/>
  <c r="G108" i="47"/>
  <c r="G108" i="9"/>
  <c r="AN132" i="47"/>
  <c r="G132" i="47"/>
  <c r="G132" i="9"/>
  <c r="AN243" i="47"/>
  <c r="G243" i="47"/>
  <c r="G243" i="9"/>
  <c r="AN251" i="47"/>
  <c r="G251" i="47"/>
  <c r="G251" i="9"/>
  <c r="AN255" i="47"/>
  <c r="G255" i="47"/>
  <c r="G255" i="9"/>
  <c r="AO141" i="47"/>
  <c r="AN119" i="47"/>
  <c r="G119" i="47"/>
  <c r="G119" i="9"/>
  <c r="AN244" i="47"/>
  <c r="AN131" i="47"/>
  <c r="G131" i="47"/>
  <c r="G131" i="9"/>
  <c r="AN250" i="47"/>
  <c r="AN253" i="47"/>
  <c r="G253" i="47"/>
  <c r="G253" i="9"/>
  <c r="AN246" i="47"/>
  <c r="DT35" i="45"/>
  <c r="AN237" i="47"/>
  <c r="G237" i="47"/>
  <c r="G237" i="9"/>
  <c r="AN121" i="47"/>
  <c r="G121" i="47"/>
  <c r="G121" i="9"/>
  <c r="AN118" i="47"/>
  <c r="G118" i="47"/>
  <c r="G118" i="9"/>
  <c r="AN114" i="47"/>
  <c r="G114" i="47"/>
  <c r="G114" i="9"/>
  <c r="AN128" i="47"/>
  <c r="G128" i="47"/>
  <c r="G128" i="9"/>
  <c r="AN233" i="47"/>
  <c r="G233" i="47"/>
  <c r="G233" i="9"/>
  <c r="AN247" i="47"/>
  <c r="G247" i="47"/>
  <c r="G247" i="9"/>
  <c r="AN142" i="47"/>
  <c r="G142" i="47"/>
  <c r="G142" i="9"/>
  <c r="E180" i="47"/>
  <c r="E180" i="9"/>
  <c r="AN252" i="47"/>
  <c r="G252" i="47"/>
  <c r="G252" i="9"/>
  <c r="AN116" i="47"/>
  <c r="G116" i="47"/>
  <c r="G116" i="9"/>
  <c r="AN126" i="47"/>
  <c r="G126" i="47"/>
  <c r="G126" i="9"/>
  <c r="AN245" i="47"/>
  <c r="G245" i="47"/>
  <c r="G245" i="9"/>
  <c r="AN117" i="47"/>
  <c r="G117" i="47"/>
  <c r="G117" i="9"/>
  <c r="AN223" i="47"/>
  <c r="G223" i="47"/>
  <c r="G223" i="9"/>
  <c r="AN249" i="47"/>
  <c r="G249" i="47"/>
  <c r="G249" i="9"/>
  <c r="AN138" i="47"/>
  <c r="G138" i="47"/>
  <c r="G138" i="9"/>
  <c r="AN127" i="47"/>
  <c r="G127" i="47"/>
  <c r="G127" i="9"/>
  <c r="AN112" i="47"/>
  <c r="G112" i="47"/>
  <c r="G112" i="9"/>
  <c r="DT62" i="45"/>
  <c r="DQ49" i="12"/>
  <c r="EB60" i="45"/>
  <c r="DO62" i="45"/>
  <c r="DQ50" i="12"/>
  <c r="ED64" i="12"/>
  <c r="DO55" i="45"/>
  <c r="EB33" i="45"/>
  <c r="ED54" i="12"/>
  <c r="DQ33" i="12"/>
  <c r="DQ61" i="12"/>
  <c r="DQ36" i="12"/>
  <c r="EB45" i="45"/>
  <c r="DQ43" i="12"/>
  <c r="ED56" i="12"/>
  <c r="DQ59" i="12"/>
  <c r="ED55" i="12"/>
  <c r="DT34" i="45"/>
  <c r="EB36" i="45"/>
  <c r="DT47" i="45"/>
  <c r="EB42" i="45"/>
  <c r="ED42" i="12"/>
  <c r="ED38" i="12"/>
  <c r="EB40" i="45"/>
  <c r="DQ51" i="12"/>
  <c r="DT60" i="45"/>
  <c r="DQ41" i="12"/>
  <c r="DV64" i="12"/>
  <c r="AE257" i="47"/>
  <c r="E257" i="47"/>
  <c r="E257" i="9"/>
  <c r="DT55" i="45"/>
  <c r="DQ54" i="12"/>
  <c r="DV33" i="12"/>
  <c r="AE226" i="47"/>
  <c r="E226" i="47"/>
  <c r="E226" i="9"/>
  <c r="ED36" i="12"/>
  <c r="DO45" i="45"/>
  <c r="EB49" i="45"/>
  <c r="DV56" i="12"/>
  <c r="AE249" i="47"/>
  <c r="AF249" i="47"/>
  <c r="F249" i="47"/>
  <c r="F249" i="9"/>
  <c r="DV59" i="12"/>
  <c r="AE252" i="47"/>
  <c r="E252" i="47"/>
  <c r="E252" i="9"/>
  <c r="DV47" i="12"/>
  <c r="DT36" i="45"/>
  <c r="DO47" i="45"/>
  <c r="EB34" i="45"/>
  <c r="DV38" i="12"/>
  <c r="DO61" i="45"/>
  <c r="DV62" i="12"/>
  <c r="DT40" i="45"/>
  <c r="DV49" i="12"/>
  <c r="AE242" i="47"/>
  <c r="E242" i="47"/>
  <c r="E242" i="9"/>
  <c r="ED41" i="12"/>
  <c r="DT38" i="45"/>
  <c r="ED50" i="12"/>
  <c r="DQ48" i="12"/>
  <c r="DQ64" i="12"/>
  <c r="DQ62" i="12"/>
  <c r="DO33" i="45"/>
  <c r="DV54" i="12"/>
  <c r="ED49" i="12"/>
  <c r="ED61" i="12"/>
  <c r="DT45" i="45"/>
  <c r="ED43" i="12"/>
  <c r="DT49" i="45"/>
  <c r="DQ56" i="12"/>
  <c r="DV55" i="12"/>
  <c r="AE248" i="47"/>
  <c r="AF248" i="47"/>
  <c r="F248" i="47"/>
  <c r="F248" i="9"/>
  <c r="DO34" i="45"/>
  <c r="DQ47" i="12"/>
  <c r="DT42" i="45"/>
  <c r="DV42" i="12"/>
  <c r="DQ38" i="12"/>
  <c r="ED62" i="12"/>
  <c r="AO256" i="47"/>
  <c r="H256" i="47"/>
  <c r="H256" i="9"/>
  <c r="DV41" i="12"/>
  <c r="DO38" i="45"/>
  <c r="DV50" i="12"/>
  <c r="EB55" i="45"/>
  <c r="DT33" i="45"/>
  <c r="ED33" i="12"/>
  <c r="DV61" i="12"/>
  <c r="AE254" i="47"/>
  <c r="AF254" i="47"/>
  <c r="F254" i="47"/>
  <c r="F254" i="9"/>
  <c r="DV36" i="12"/>
  <c r="DV43" i="12"/>
  <c r="DO49" i="45"/>
  <c r="ED59" i="12"/>
  <c r="DQ55" i="12"/>
  <c r="ED47" i="12"/>
  <c r="DO36" i="45"/>
  <c r="EB47" i="45"/>
  <c r="DO42" i="45"/>
  <c r="DQ42" i="12"/>
  <c r="DO40" i="45"/>
  <c r="J30" i="12"/>
  <c r="AV30" i="12"/>
  <c r="G30" i="12"/>
  <c r="AU30" i="12"/>
  <c r="AE136" i="47"/>
  <c r="AF136" i="47"/>
  <c r="F136" i="47"/>
  <c r="F136" i="9"/>
  <c r="AO251" i="47"/>
  <c r="H251" i="47"/>
  <c r="H251" i="9"/>
  <c r="AF130" i="47"/>
  <c r="F130" i="47"/>
  <c r="F130" i="9"/>
  <c r="E130" i="47"/>
  <c r="E130" i="9"/>
  <c r="D255" i="47"/>
  <c r="D255" i="9"/>
  <c r="AF256" i="47"/>
  <c r="F256" i="47"/>
  <c r="F256" i="9"/>
  <c r="E256" i="47"/>
  <c r="E256" i="9"/>
  <c r="AN232" i="47"/>
  <c r="AN115" i="47"/>
  <c r="G115" i="47"/>
  <c r="G115" i="9"/>
  <c r="AN113" i="47"/>
  <c r="G113" i="47"/>
  <c r="G113" i="9"/>
  <c r="AN111" i="47"/>
  <c r="G111" i="47"/>
  <c r="G111" i="9"/>
  <c r="AN227" i="47"/>
  <c r="AF251" i="47"/>
  <c r="F251" i="47"/>
  <c r="F251" i="9"/>
  <c r="AF115" i="47"/>
  <c r="F115" i="47"/>
  <c r="F115" i="9"/>
  <c r="AN256" i="47"/>
  <c r="AN226" i="47"/>
  <c r="AN231" i="47"/>
  <c r="AN130" i="47"/>
  <c r="G130" i="47"/>
  <c r="G130" i="9"/>
  <c r="AN248" i="47"/>
  <c r="AN129" i="47"/>
  <c r="G129" i="47"/>
  <c r="G129" i="9"/>
  <c r="E141" i="47"/>
  <c r="E141" i="9"/>
  <c r="AF141" i="47"/>
  <c r="F141" i="47"/>
  <c r="F141" i="9"/>
  <c r="E245" i="47"/>
  <c r="E245" i="9"/>
  <c r="AF245" i="47"/>
  <c r="F245" i="47"/>
  <c r="F245" i="9"/>
  <c r="BW84" i="12"/>
  <c r="K84" i="12"/>
  <c r="BW80" i="12"/>
  <c r="K80" i="12"/>
  <c r="BW76" i="12"/>
  <c r="K76" i="12"/>
  <c r="BW78" i="12"/>
  <c r="K78" i="12"/>
  <c r="BW82" i="12"/>
  <c r="K82" i="12"/>
  <c r="BW81" i="12"/>
  <c r="K81" i="12"/>
  <c r="BW86" i="12"/>
  <c r="K86" i="12"/>
  <c r="BW83" i="12"/>
  <c r="K83" i="12"/>
  <c r="BW87" i="12"/>
  <c r="K87" i="12"/>
  <c r="BW77" i="12"/>
  <c r="K77" i="12"/>
  <c r="BW79" i="12"/>
  <c r="K79" i="12"/>
  <c r="BW85" i="12"/>
  <c r="K85" i="12"/>
  <c r="AN133" i="47"/>
  <c r="G133" i="47"/>
  <c r="G133" i="9"/>
  <c r="AO115" i="47"/>
  <c r="AN139" i="47"/>
  <c r="G139" i="47"/>
  <c r="G139" i="9"/>
  <c r="AN241" i="47"/>
  <c r="AN234" i="47"/>
  <c r="D237" i="47"/>
  <c r="D237" i="9"/>
  <c r="AN125" i="47"/>
  <c r="G125" i="47"/>
  <c r="G125" i="9"/>
  <c r="AD125" i="47"/>
  <c r="D125" i="47"/>
  <c r="D125" i="9"/>
  <c r="AD239" i="47"/>
  <c r="D239" i="47"/>
  <c r="D239" i="9"/>
  <c r="AN239" i="47"/>
  <c r="D120" i="47"/>
  <c r="D122" i="47"/>
  <c r="D122" i="9"/>
  <c r="D235" i="47"/>
  <c r="D123" i="47"/>
  <c r="D123" i="9"/>
  <c r="AN240" i="47"/>
  <c r="AD240" i="47"/>
  <c r="D240" i="47"/>
  <c r="D240" i="9"/>
  <c r="D238" i="47"/>
  <c r="D238" i="9"/>
  <c r="AN124" i="47"/>
  <c r="AD124" i="47"/>
  <c r="AZ30" i="45"/>
  <c r="E135" i="47"/>
  <c r="E135" i="9"/>
  <c r="BB30" i="45"/>
  <c r="AX30" i="45"/>
  <c r="AF131" i="47"/>
  <c r="F131" i="47"/>
  <c r="F131" i="9"/>
  <c r="BE30" i="45"/>
  <c r="BC30" i="45"/>
  <c r="BI30" i="45"/>
  <c r="BG30" i="45"/>
  <c r="BJ30" i="45"/>
  <c r="AO131" i="47"/>
  <c r="AP131" i="47"/>
  <c r="I131" i="47"/>
  <c r="I131" i="9"/>
  <c r="E246" i="47"/>
  <c r="E246" i="9"/>
  <c r="AO246" i="47"/>
  <c r="H246" i="47"/>
  <c r="H246" i="9"/>
  <c r="BK30" i="45"/>
  <c r="AY30" i="45"/>
  <c r="BF30" i="45"/>
  <c r="AO250" i="47"/>
  <c r="H250" i="47"/>
  <c r="H250" i="9"/>
  <c r="AO365" i="47"/>
  <c r="BA30" i="45"/>
  <c r="BD30" i="45"/>
  <c r="AP66" i="45"/>
  <c r="AT66" i="45"/>
  <c r="AU66" i="45"/>
  <c r="AF250" i="47"/>
  <c r="F250" i="47"/>
  <c r="F250" i="9"/>
  <c r="ED103" i="12"/>
  <c r="DU103" i="12"/>
  <c r="BS108" i="12"/>
  <c r="BM108" i="12"/>
  <c r="DS103" i="12"/>
  <c r="BQ108" i="12"/>
  <c r="BU108" i="12"/>
  <c r="BX108" i="12"/>
  <c r="DV103" i="12"/>
  <c r="EA103" i="12"/>
  <c r="BW108" i="12"/>
  <c r="BN108" i="12"/>
  <c r="AE369" i="47"/>
  <c r="E369" i="47"/>
  <c r="E369" i="9"/>
  <c r="DZ103" i="12"/>
  <c r="BT108" i="12"/>
  <c r="DY103" i="12"/>
  <c r="BP108" i="12"/>
  <c r="BY108" i="12"/>
  <c r="AE349" i="47"/>
  <c r="E230" i="47"/>
  <c r="E230" i="9"/>
  <c r="BV108" i="12"/>
  <c r="DW103" i="12"/>
  <c r="BZ108" i="12"/>
  <c r="BR108" i="12"/>
  <c r="DQ103" i="12"/>
  <c r="DX103" i="12"/>
  <c r="DT103" i="12"/>
  <c r="AO230" i="47"/>
  <c r="H230" i="47"/>
  <c r="H230" i="9"/>
  <c r="DR103" i="12"/>
  <c r="BO108" i="12"/>
  <c r="E364" i="47"/>
  <c r="E364" i="9"/>
  <c r="AO347" i="47"/>
  <c r="AE347" i="47"/>
  <c r="AO361" i="47"/>
  <c r="H361" i="47"/>
  <c r="H361" i="9"/>
  <c r="AE361" i="47"/>
  <c r="E361" i="47"/>
  <c r="E361" i="9"/>
  <c r="AO351" i="47"/>
  <c r="AE351" i="47"/>
  <c r="AO345" i="47"/>
  <c r="AE345" i="47"/>
  <c r="AO372" i="47"/>
  <c r="AE372" i="47"/>
  <c r="AO373" i="47"/>
  <c r="H373" i="47"/>
  <c r="H373" i="9"/>
  <c r="AE373" i="47"/>
  <c r="AF373" i="47"/>
  <c r="F373" i="47"/>
  <c r="F373" i="9"/>
  <c r="AO356" i="47"/>
  <c r="H356" i="47"/>
  <c r="H356" i="9"/>
  <c r="AE356" i="47"/>
  <c r="AF356" i="47"/>
  <c r="F356" i="47"/>
  <c r="F356" i="9"/>
  <c r="AO362" i="47"/>
  <c r="H362" i="47"/>
  <c r="H362" i="9"/>
  <c r="AE362" i="47"/>
  <c r="AF362" i="47"/>
  <c r="F362" i="47"/>
  <c r="F362" i="9"/>
  <c r="AO367" i="47"/>
  <c r="H367" i="47"/>
  <c r="H367" i="9"/>
  <c r="AE367" i="47"/>
  <c r="AO359" i="47"/>
  <c r="H359" i="47"/>
  <c r="H359" i="9"/>
  <c r="AE359" i="47"/>
  <c r="AO374" i="47"/>
  <c r="H374" i="47"/>
  <c r="H374" i="9"/>
  <c r="AE374" i="47"/>
  <c r="AO348" i="47"/>
  <c r="AP348" i="47"/>
  <c r="I348" i="47"/>
  <c r="I348" i="9"/>
  <c r="AE348" i="47"/>
  <c r="AO346" i="47"/>
  <c r="H346" i="47"/>
  <c r="H346" i="9"/>
  <c r="AE346" i="47"/>
  <c r="E346" i="47"/>
  <c r="E346" i="9"/>
  <c r="AO360" i="47"/>
  <c r="H360" i="47"/>
  <c r="H360" i="9"/>
  <c r="AE360" i="47"/>
  <c r="AO354" i="47"/>
  <c r="H354" i="47"/>
  <c r="H354" i="9"/>
  <c r="AE354" i="47"/>
  <c r="AO371" i="47"/>
  <c r="H371" i="47"/>
  <c r="H371" i="9"/>
  <c r="AE371" i="47"/>
  <c r="E371" i="47"/>
  <c r="E371" i="9"/>
  <c r="AO353" i="47"/>
  <c r="H353" i="47"/>
  <c r="H353" i="9"/>
  <c r="AE353" i="47"/>
  <c r="E353" i="47"/>
  <c r="E353" i="9"/>
  <c r="AO357" i="47"/>
  <c r="H357" i="47"/>
  <c r="H357" i="9"/>
  <c r="AE357" i="47"/>
  <c r="AF357" i="47"/>
  <c r="F357" i="47"/>
  <c r="F357" i="9"/>
  <c r="AO368" i="47"/>
  <c r="H368" i="47"/>
  <c r="H368" i="9"/>
  <c r="AE368" i="47"/>
  <c r="AO352" i="47"/>
  <c r="AE352" i="47"/>
  <c r="AO366" i="47"/>
  <c r="AE366" i="47"/>
  <c r="AO355" i="47"/>
  <c r="H355" i="47"/>
  <c r="H355" i="9"/>
  <c r="AE355" i="47"/>
  <c r="E355" i="47"/>
  <c r="E355" i="9"/>
  <c r="AO350" i="47"/>
  <c r="H350" i="47"/>
  <c r="H350" i="9"/>
  <c r="AE350" i="47"/>
  <c r="E350" i="47"/>
  <c r="E350" i="9"/>
  <c r="AO363" i="47"/>
  <c r="H363" i="47"/>
  <c r="H363" i="9"/>
  <c r="AE363" i="47"/>
  <c r="AO358" i="47"/>
  <c r="H358" i="47"/>
  <c r="H358" i="9"/>
  <c r="AE358" i="47"/>
  <c r="AF358" i="47"/>
  <c r="F358" i="47"/>
  <c r="F358" i="9"/>
  <c r="G97" i="45"/>
  <c r="AP97" i="45"/>
  <c r="AT97" i="45"/>
  <c r="BO97" i="45" a="1"/>
  <c r="BO97" i="45"/>
  <c r="G101" i="45"/>
  <c r="G99" i="45"/>
  <c r="AP99" i="45"/>
  <c r="AT99" i="45"/>
  <c r="AV99" i="45"/>
  <c r="G100" i="45"/>
  <c r="AP100" i="45"/>
  <c r="AT100" i="45"/>
  <c r="AV100" i="45"/>
  <c r="G102" i="45"/>
  <c r="AP102" i="45"/>
  <c r="AT102" i="45"/>
  <c r="AV102" i="45"/>
  <c r="G98" i="45"/>
  <c r="AP98" i="45"/>
  <c r="AT98" i="45"/>
  <c r="AV98" i="45"/>
  <c r="AO124" i="47"/>
  <c r="H124" i="47"/>
  <c r="H124" i="9"/>
  <c r="AP136" i="47"/>
  <c r="I136" i="47"/>
  <c r="I136" i="9"/>
  <c r="AO239" i="47"/>
  <c r="H239" i="47"/>
  <c r="H239" i="9"/>
  <c r="AP135" i="47"/>
  <c r="I135" i="47"/>
  <c r="I135" i="9"/>
  <c r="H135" i="47"/>
  <c r="H135" i="9"/>
  <c r="E138" i="47"/>
  <c r="E138" i="9"/>
  <c r="AO113" i="47"/>
  <c r="H113" i="47"/>
  <c r="H113" i="9"/>
  <c r="E113" i="47"/>
  <c r="E113" i="9"/>
  <c r="AF238" i="47"/>
  <c r="F238" i="47"/>
  <c r="F238" i="9"/>
  <c r="AF252" i="47"/>
  <c r="F252" i="47"/>
  <c r="F252" i="9"/>
  <c r="AO238" i="47"/>
  <c r="H238" i="47"/>
  <c r="H238" i="9"/>
  <c r="E244" i="47"/>
  <c r="E244" i="9"/>
  <c r="E249" i="47"/>
  <c r="E249" i="9"/>
  <c r="AP141" i="47"/>
  <c r="I141" i="47"/>
  <c r="I141" i="9"/>
  <c r="E118" i="47"/>
  <c r="E118" i="9"/>
  <c r="AF226" i="47"/>
  <c r="F226" i="47"/>
  <c r="F226" i="9"/>
  <c r="AO244" i="47"/>
  <c r="H244" i="47"/>
  <c r="H244" i="9"/>
  <c r="AO254" i="47"/>
  <c r="H254" i="47"/>
  <c r="H254" i="9"/>
  <c r="E227" i="47"/>
  <c r="E227" i="9"/>
  <c r="AO138" i="47"/>
  <c r="H138" i="47"/>
  <c r="H138" i="9"/>
  <c r="AO226" i="47"/>
  <c r="H226" i="47"/>
  <c r="H226" i="9"/>
  <c r="AO227" i="47"/>
  <c r="H227" i="47"/>
  <c r="H227" i="9"/>
  <c r="AO249" i="47"/>
  <c r="H249" i="47"/>
  <c r="H249" i="9"/>
  <c r="AP245" i="47"/>
  <c r="I245" i="47"/>
  <c r="I245" i="9"/>
  <c r="AF242" i="47"/>
  <c r="F242" i="47"/>
  <c r="F242" i="9"/>
  <c r="H136" i="47"/>
  <c r="H136" i="9"/>
  <c r="AX16" i="12"/>
  <c r="D297" i="47"/>
  <c r="D297" i="9"/>
  <c r="AO241" i="47"/>
  <c r="H241" i="47"/>
  <c r="H241" i="9"/>
  <c r="AO233" i="47"/>
  <c r="H233" i="47"/>
  <c r="H233" i="9"/>
  <c r="AF241" i="47"/>
  <c r="F241" i="47"/>
  <c r="F241" i="9"/>
  <c r="K30" i="12"/>
  <c r="E232" i="47"/>
  <c r="E232" i="9"/>
  <c r="M30" i="12"/>
  <c r="L30" i="12"/>
  <c r="AF233" i="47"/>
  <c r="F233" i="47"/>
  <c r="F233" i="9"/>
  <c r="AO232" i="47"/>
  <c r="H232" i="47"/>
  <c r="H232" i="9"/>
  <c r="AO253" i="47"/>
  <c r="H253" i="47"/>
  <c r="H253" i="9"/>
  <c r="AE253" i="47"/>
  <c r="G244" i="47"/>
  <c r="G244" i="9"/>
  <c r="AP246" i="47"/>
  <c r="I246" i="47"/>
  <c r="I246" i="9"/>
  <c r="AE122" i="47"/>
  <c r="AO122" i="47"/>
  <c r="H122" i="47"/>
  <c r="H122" i="9"/>
  <c r="AE117" i="47"/>
  <c r="AO117" i="47"/>
  <c r="AO118" i="47"/>
  <c r="H118" i="47"/>
  <c r="H118" i="9"/>
  <c r="AO242" i="47"/>
  <c r="H242" i="47"/>
  <c r="H242" i="9"/>
  <c r="D296" i="47"/>
  <c r="D296" i="9"/>
  <c r="E296" i="47"/>
  <c r="E296" i="9"/>
  <c r="G250" i="47"/>
  <c r="G250" i="9"/>
  <c r="H141" i="47"/>
  <c r="H141" i="9"/>
  <c r="E136" i="47"/>
  <c r="E136" i="9"/>
  <c r="E254" i="47"/>
  <c r="E254" i="9"/>
  <c r="AE112" i="47"/>
  <c r="AO112" i="47"/>
  <c r="AE237" i="47"/>
  <c r="AO237" i="47"/>
  <c r="AF123" i="47"/>
  <c r="F123" i="47"/>
  <c r="F123" i="9"/>
  <c r="AO123" i="47"/>
  <c r="AE228" i="47"/>
  <c r="AO228" i="47"/>
  <c r="G246" i="47"/>
  <c r="G246" i="9"/>
  <c r="E248" i="47"/>
  <c r="E248" i="9"/>
  <c r="AO248" i="47"/>
  <c r="H248" i="47"/>
  <c r="H248" i="9"/>
  <c r="AP369" i="47"/>
  <c r="I369" i="47"/>
  <c r="I369" i="9"/>
  <c r="AO257" i="47"/>
  <c r="H257" i="47"/>
  <c r="H257" i="9"/>
  <c r="AO252" i="47"/>
  <c r="H252" i="47"/>
  <c r="H252" i="9"/>
  <c r="AF257" i="47"/>
  <c r="F257" i="47"/>
  <c r="F257" i="9"/>
  <c r="AO133" i="47"/>
  <c r="H133" i="47"/>
  <c r="H133" i="9"/>
  <c r="AE133" i="47"/>
  <c r="AE229" i="47"/>
  <c r="AO229" i="47"/>
  <c r="AO134" i="47"/>
  <c r="AE134" i="47"/>
  <c r="AE140" i="47"/>
  <c r="AO140" i="47"/>
  <c r="AE255" i="47"/>
  <c r="AO255" i="47"/>
  <c r="AE119" i="47"/>
  <c r="AO119" i="47"/>
  <c r="AE137" i="47"/>
  <c r="AO137" i="47"/>
  <c r="AE114" i="47"/>
  <c r="AO114" i="47"/>
  <c r="AE243" i="47"/>
  <c r="AO243" i="47"/>
  <c r="AO125" i="47"/>
  <c r="H125" i="47"/>
  <c r="H125" i="9"/>
  <c r="AE125" i="47"/>
  <c r="E125" i="47"/>
  <c r="E125" i="9"/>
  <c r="AE142" i="47"/>
  <c r="AO142" i="47"/>
  <c r="AE132" i="47"/>
  <c r="AO132" i="47"/>
  <c r="AE139" i="47"/>
  <c r="AO139" i="47"/>
  <c r="H139" i="47"/>
  <c r="H139" i="9"/>
  <c r="AO116" i="47"/>
  <c r="AE116" i="47"/>
  <c r="AE247" i="47"/>
  <c r="AO247" i="47"/>
  <c r="AO126" i="47"/>
  <c r="AE126" i="47"/>
  <c r="AE231" i="47"/>
  <c r="AO231" i="47"/>
  <c r="H231" i="47"/>
  <c r="H231" i="9"/>
  <c r="AE240" i="47"/>
  <c r="E240" i="47"/>
  <c r="E240" i="9"/>
  <c r="AO240" i="47"/>
  <c r="H240" i="47"/>
  <c r="H240" i="9"/>
  <c r="AE129" i="47"/>
  <c r="AO129" i="47"/>
  <c r="H129" i="47"/>
  <c r="H129" i="9"/>
  <c r="AE121" i="47"/>
  <c r="AO121" i="47"/>
  <c r="AO111" i="47"/>
  <c r="H111" i="47"/>
  <c r="H111" i="9"/>
  <c r="AE111" i="47"/>
  <c r="AE127" i="47"/>
  <c r="AO127" i="47"/>
  <c r="AO120" i="47"/>
  <c r="AE120" i="47"/>
  <c r="AE236" i="47"/>
  <c r="AO236" i="47"/>
  <c r="AO234" i="47"/>
  <c r="H234" i="47"/>
  <c r="H234" i="9"/>
  <c r="AE234" i="47"/>
  <c r="AE235" i="47"/>
  <c r="AO235" i="47"/>
  <c r="AO128" i="47"/>
  <c r="AE128" i="47"/>
  <c r="AF239" i="47"/>
  <c r="F239" i="47"/>
  <c r="F239" i="9"/>
  <c r="AP251" i="47"/>
  <c r="I251" i="47"/>
  <c r="I251" i="9"/>
  <c r="G248" i="47"/>
  <c r="G248" i="9"/>
  <c r="G360" i="47"/>
  <c r="G360" i="9"/>
  <c r="G226" i="47"/>
  <c r="G226" i="9"/>
  <c r="G367" i="47"/>
  <c r="G367" i="9"/>
  <c r="G358" i="47"/>
  <c r="G358" i="9"/>
  <c r="G234" i="47"/>
  <c r="G234" i="9"/>
  <c r="H115" i="47"/>
  <c r="H115" i="9"/>
  <c r="AP115" i="47"/>
  <c r="I115" i="47"/>
  <c r="I115" i="9"/>
  <c r="G353" i="47"/>
  <c r="G353" i="9"/>
  <c r="G256" i="47"/>
  <c r="G256" i="9"/>
  <c r="AP256" i="47"/>
  <c r="I256" i="47"/>
  <c r="I256" i="9"/>
  <c r="G227" i="47"/>
  <c r="G227" i="9"/>
  <c r="AP364" i="47"/>
  <c r="I364" i="47"/>
  <c r="I364" i="9"/>
  <c r="G364" i="47"/>
  <c r="G364" i="9"/>
  <c r="G359" i="47"/>
  <c r="G359" i="9"/>
  <c r="AP130" i="47"/>
  <c r="I130" i="47"/>
  <c r="I130" i="9"/>
  <c r="G363" i="47"/>
  <c r="G363" i="9"/>
  <c r="G241" i="47"/>
  <c r="G241" i="9"/>
  <c r="G354" i="47"/>
  <c r="G354" i="9"/>
  <c r="G231" i="47"/>
  <c r="G231" i="9"/>
  <c r="G232" i="47"/>
  <c r="G232" i="9"/>
  <c r="G240" i="47"/>
  <c r="G240" i="9"/>
  <c r="G124" i="47"/>
  <c r="G124" i="9"/>
  <c r="G235" i="9"/>
  <c r="D235" i="9"/>
  <c r="G120" i="9"/>
  <c r="G239" i="47"/>
  <c r="G239" i="9"/>
  <c r="D124" i="47"/>
  <c r="D124" i="9"/>
  <c r="AF124" i="47"/>
  <c r="F124" i="47"/>
  <c r="F124" i="9"/>
  <c r="D120" i="9"/>
  <c r="H131" i="47"/>
  <c r="H131" i="9"/>
  <c r="AV66" i="45"/>
  <c r="G66" i="45"/>
  <c r="AP250" i="47"/>
  <c r="I250" i="47"/>
  <c r="I250" i="9"/>
  <c r="DF104" i="12"/>
  <c r="CZ104" i="12"/>
  <c r="CX104" i="12"/>
  <c r="CY104" i="12"/>
  <c r="AF369" i="47"/>
  <c r="F369" i="47"/>
  <c r="F369" i="9"/>
  <c r="DA104" i="12"/>
  <c r="AP230" i="47"/>
  <c r="I230" i="47"/>
  <c r="I230" i="9"/>
  <c r="BZ100" i="45" a="1"/>
  <c r="BZ100" i="45"/>
  <c r="H348" i="47"/>
  <c r="H348" i="9"/>
  <c r="E86" i="45"/>
  <c r="G86" i="45"/>
  <c r="AN86" i="45"/>
  <c r="AR86" i="45"/>
  <c r="BG86" i="45" a="1"/>
  <c r="BG86" i="45"/>
  <c r="E82" i="45"/>
  <c r="G82" i="45"/>
  <c r="AN82" i="45"/>
  <c r="AR82" i="45"/>
  <c r="BB82" i="45" a="1"/>
  <c r="BB82" i="45"/>
  <c r="E77" i="45"/>
  <c r="G77" i="45"/>
  <c r="AN77" i="45"/>
  <c r="AR77" i="45"/>
  <c r="BD77" i="45" a="1"/>
  <c r="BD77" i="45"/>
  <c r="E81" i="45"/>
  <c r="G81" i="45"/>
  <c r="AN81" i="45"/>
  <c r="AR81" i="45"/>
  <c r="AW81" i="45" a="1"/>
  <c r="AW81" i="45"/>
  <c r="E85" i="45"/>
  <c r="G85" i="45"/>
  <c r="AN85" i="45"/>
  <c r="AR85" i="45"/>
  <c r="BH85" i="45" a="1"/>
  <c r="BH85" i="45"/>
  <c r="E78" i="45"/>
  <c r="G78" i="45"/>
  <c r="AN78" i="45"/>
  <c r="AR78" i="45"/>
  <c r="AX78" i="45" a="1"/>
  <c r="AX78" i="45"/>
  <c r="E84" i="45"/>
  <c r="G84" i="45"/>
  <c r="AN84" i="45"/>
  <c r="AR84" i="45"/>
  <c r="BG84" i="45" a="1"/>
  <c r="BG84" i="45"/>
  <c r="E83" i="45"/>
  <c r="G83" i="45"/>
  <c r="AN83" i="45"/>
  <c r="AR83" i="45"/>
  <c r="BF83" i="45" a="1"/>
  <c r="BF83" i="45"/>
  <c r="E76" i="45"/>
  <c r="G76" i="45"/>
  <c r="AN76" i="45"/>
  <c r="AR76" i="45"/>
  <c r="BG76" i="45" a="1"/>
  <c r="BG76" i="45"/>
  <c r="E79" i="45"/>
  <c r="G79" i="45"/>
  <c r="AN79" i="45"/>
  <c r="AR79" i="45"/>
  <c r="BG79" i="45" a="1"/>
  <c r="BG79" i="45"/>
  <c r="E80" i="45"/>
  <c r="G80" i="45"/>
  <c r="AN80" i="45"/>
  <c r="AR80" i="45"/>
  <c r="BF80" i="45" a="1"/>
  <c r="BF80" i="45"/>
  <c r="CO102" i="45" a="1"/>
  <c r="CO102" i="45"/>
  <c r="AP363" i="47"/>
  <c r="I363" i="47"/>
  <c r="I363" i="9"/>
  <c r="BM102" i="45" a="1"/>
  <c r="BM102" i="45"/>
  <c r="BY102" i="45" a="1"/>
  <c r="BY102" i="45"/>
  <c r="DN102" i="45" a="1"/>
  <c r="DN102" i="45"/>
  <c r="CR97" i="45" a="1"/>
  <c r="CR97" i="45"/>
  <c r="DP98" i="45" a="1"/>
  <c r="DP98" i="45"/>
  <c r="DL98" i="45" a="1"/>
  <c r="DL98" i="45"/>
  <c r="CW98" i="45" a="1"/>
  <c r="CW98" i="45"/>
  <c r="DO98" i="45" a="1"/>
  <c r="DO98" i="45"/>
  <c r="AU98" i="45"/>
  <c r="BG98" i="45" a="1"/>
  <c r="BG98" i="45"/>
  <c r="CZ98" i="45" a="1"/>
  <c r="CZ98" i="45"/>
  <c r="CJ98" i="45" a="1"/>
  <c r="CJ98" i="45"/>
  <c r="BW98" i="45" a="1"/>
  <c r="BW98" i="45"/>
  <c r="CV98" i="45" a="1"/>
  <c r="CV98" i="45"/>
  <c r="DD98" i="45" a="1"/>
  <c r="DD98" i="45"/>
  <c r="CW100" i="45" a="1"/>
  <c r="CW100" i="45"/>
  <c r="DE100" i="45" a="1"/>
  <c r="DE100" i="45"/>
  <c r="BY100" i="45" a="1"/>
  <c r="BY100" i="45"/>
  <c r="CP100" i="45" a="1"/>
  <c r="CP100" i="45"/>
  <c r="DM102" i="45" a="1"/>
  <c r="DM102" i="45"/>
  <c r="DH102" i="45" a="1"/>
  <c r="DH102" i="45"/>
  <c r="CL102" i="45" a="1"/>
  <c r="CL102" i="45"/>
  <c r="CF102" i="45" a="1"/>
  <c r="CF102" i="45"/>
  <c r="AU102" i="45"/>
  <c r="BA102" i="45" a="1"/>
  <c r="BA102" i="45"/>
  <c r="CS102" i="45" a="1"/>
  <c r="CS102" i="45"/>
  <c r="CI102" i="45" a="1"/>
  <c r="CI102" i="45"/>
  <c r="CK97" i="45" a="1"/>
  <c r="CK97" i="45"/>
  <c r="CA102" i="45" a="1"/>
  <c r="CA102" i="45"/>
  <c r="BT102" i="45" a="1"/>
  <c r="BT102" i="45"/>
  <c r="CZ97" i="45" a="1"/>
  <c r="CZ97" i="45"/>
  <c r="E356" i="47"/>
  <c r="E356" i="9"/>
  <c r="AF361" i="47"/>
  <c r="F361" i="47"/>
  <c r="F361" i="9"/>
  <c r="AF353" i="47"/>
  <c r="F353" i="47"/>
  <c r="F353" i="9"/>
  <c r="AP368" i="47"/>
  <c r="I368" i="47"/>
  <c r="I368" i="9"/>
  <c r="AF355" i="47"/>
  <c r="F355" i="47"/>
  <c r="F355" i="9"/>
  <c r="AF346" i="47"/>
  <c r="F346" i="47"/>
  <c r="F346" i="9"/>
  <c r="E373" i="47"/>
  <c r="E373" i="9"/>
  <c r="AF371" i="47"/>
  <c r="F371" i="47"/>
  <c r="F371" i="9"/>
  <c r="E357" i="47"/>
  <c r="E357" i="9"/>
  <c r="E368" i="47"/>
  <c r="E368" i="9"/>
  <c r="AF368" i="47"/>
  <c r="F368" i="47"/>
  <c r="F368" i="9"/>
  <c r="AF350" i="47"/>
  <c r="F350" i="47"/>
  <c r="F350" i="9"/>
  <c r="E348" i="47"/>
  <c r="E348" i="9"/>
  <c r="AF348" i="47"/>
  <c r="F348" i="47"/>
  <c r="F348" i="9"/>
  <c r="E358" i="47"/>
  <c r="E358" i="9"/>
  <c r="AP374" i="47"/>
  <c r="I374" i="47"/>
  <c r="I374" i="9"/>
  <c r="AF363" i="47"/>
  <c r="F363" i="47"/>
  <c r="F363" i="9"/>
  <c r="E363" i="47"/>
  <c r="E363" i="9"/>
  <c r="E362" i="47"/>
  <c r="E362" i="9"/>
  <c r="AF374" i="47"/>
  <c r="F374" i="47"/>
  <c r="F374" i="9"/>
  <c r="E374" i="47"/>
  <c r="E374" i="9"/>
  <c r="BQ102" i="45" a="1"/>
  <c r="BQ102" i="45"/>
  <c r="CW102" i="45" a="1"/>
  <c r="CW102" i="45"/>
  <c r="BP102" i="45" a="1"/>
  <c r="BP102" i="45"/>
  <c r="CY102" i="45" a="1"/>
  <c r="CY102" i="45"/>
  <c r="DF102" i="45" a="1"/>
  <c r="DF102" i="45"/>
  <c r="BQ97" i="45" a="1"/>
  <c r="BQ97" i="45"/>
  <c r="CM97" i="45" a="1"/>
  <c r="CM97" i="45"/>
  <c r="CM102" i="45" a="1"/>
  <c r="CM102" i="45"/>
  <c r="DB102" i="45" a="1"/>
  <c r="DB102" i="45"/>
  <c r="CB102" i="45" a="1"/>
  <c r="CB102" i="45"/>
  <c r="CD102" i="45" a="1"/>
  <c r="CD102" i="45"/>
  <c r="CU102" i="45" a="1"/>
  <c r="CU102" i="45"/>
  <c r="CP102" i="45" a="1"/>
  <c r="CP102" i="45"/>
  <c r="CR102" i="45" a="1"/>
  <c r="CR102" i="45"/>
  <c r="DD102" i="45" a="1"/>
  <c r="DD102" i="45"/>
  <c r="DE102" i="45" a="1"/>
  <c r="DE102" i="45"/>
  <c r="CC102" i="45" a="1"/>
  <c r="CC102" i="45"/>
  <c r="DO102" i="45" a="1"/>
  <c r="DO102" i="45"/>
  <c r="CG100" i="45" a="1"/>
  <c r="CG100" i="45"/>
  <c r="CS100" i="45" a="1"/>
  <c r="CS100" i="45"/>
  <c r="CJ97" i="45" a="1"/>
  <c r="CJ97" i="45"/>
  <c r="DK97" i="45" a="1"/>
  <c r="DK97" i="45"/>
  <c r="CU97" i="45" a="1"/>
  <c r="CU97" i="45"/>
  <c r="CK102" i="45" a="1"/>
  <c r="CK102" i="45"/>
  <c r="BN102" i="45" a="1"/>
  <c r="BN102" i="45"/>
  <c r="DK102" i="45" a="1"/>
  <c r="DK102" i="45"/>
  <c r="DI102" i="45" a="1"/>
  <c r="DI102" i="45"/>
  <c r="I102" i="45"/>
  <c r="DH97" i="45" a="1"/>
  <c r="DH97" i="45"/>
  <c r="DJ102" i="45" a="1"/>
  <c r="DJ102" i="45"/>
  <c r="CT102" i="45" a="1"/>
  <c r="CT102" i="45"/>
  <c r="DC102" i="45" a="1"/>
  <c r="DC102" i="45"/>
  <c r="CH102" i="45" a="1"/>
  <c r="CH102" i="45"/>
  <c r="CV102" i="45" a="1"/>
  <c r="CV102" i="45"/>
  <c r="DA102" i="45" a="1"/>
  <c r="DA102" i="45"/>
  <c r="BW102" i="45" a="1"/>
  <c r="BW102" i="45"/>
  <c r="CJ102" i="45" a="1"/>
  <c r="CJ102" i="45"/>
  <c r="BR102" i="45" a="1"/>
  <c r="BR102" i="45"/>
  <c r="CE102" i="45" a="1"/>
  <c r="CE102" i="45"/>
  <c r="BZ102" i="45" a="1"/>
  <c r="BZ102" i="45"/>
  <c r="BN100" i="45" a="1"/>
  <c r="BN100" i="45"/>
  <c r="DP100" i="45" a="1"/>
  <c r="DP100" i="45"/>
  <c r="BW97" i="45" a="1"/>
  <c r="BW97" i="45"/>
  <c r="DP97" i="45" a="1"/>
  <c r="DP97" i="45"/>
  <c r="BJ66" i="45" a="1"/>
  <c r="BJ66" i="45"/>
  <c r="AY66" i="45" a="1"/>
  <c r="AY66" i="45"/>
  <c r="BH66" i="45" a="1"/>
  <c r="BH66" i="45"/>
  <c r="BI66" i="45" a="1"/>
  <c r="BI66" i="45"/>
  <c r="BE66" i="45" a="1"/>
  <c r="BE66" i="45"/>
  <c r="BC66" i="45" a="1"/>
  <c r="BC66" i="45"/>
  <c r="BF66" i="45" a="1"/>
  <c r="BF66" i="45"/>
  <c r="BB66" i="45" a="1"/>
  <c r="BB66" i="45"/>
  <c r="AZ66" i="45" a="1"/>
  <c r="AZ66" i="45"/>
  <c r="AX66" i="45" a="1"/>
  <c r="AX66" i="45"/>
  <c r="BA66" i="45" a="1"/>
  <c r="BA66" i="45"/>
  <c r="BD66" i="45" a="1"/>
  <c r="BD66" i="45"/>
  <c r="BK66" i="45" a="1"/>
  <c r="BK66" i="45"/>
  <c r="BG66" i="45" a="1"/>
  <c r="BG66" i="45"/>
  <c r="CN99" i="45" a="1"/>
  <c r="CN99" i="45"/>
  <c r="CH98" i="45" a="1"/>
  <c r="CH98" i="45"/>
  <c r="CT98" i="45" a="1"/>
  <c r="CT98" i="45"/>
  <c r="I98" i="45"/>
  <c r="CT99" i="45" a="1"/>
  <c r="CT99" i="45"/>
  <c r="CP99" i="45" a="1"/>
  <c r="CP99" i="45"/>
  <c r="BQ98" i="45" a="1"/>
  <c r="BQ98" i="45"/>
  <c r="DG99" i="45" a="1"/>
  <c r="DG99" i="45"/>
  <c r="DA99" i="45" a="1"/>
  <c r="DA99" i="45"/>
  <c r="BS99" i="45" a="1"/>
  <c r="BS99" i="45"/>
  <c r="I99" i="45"/>
  <c r="CE99" i="45" a="1"/>
  <c r="CE99" i="45"/>
  <c r="CB99" i="45" a="1"/>
  <c r="CB99" i="45"/>
  <c r="CV99" i="45" a="1"/>
  <c r="CV99" i="45"/>
  <c r="DP99" i="45" a="1"/>
  <c r="DP99" i="45"/>
  <c r="CW99" i="45" a="1"/>
  <c r="CW99" i="45"/>
  <c r="DO99" i="45" a="1"/>
  <c r="DO99" i="45"/>
  <c r="CI99" i="45" a="1"/>
  <c r="CI99" i="45"/>
  <c r="BZ99" i="45" a="1"/>
  <c r="BZ99" i="45"/>
  <c r="BO100" i="45" a="1"/>
  <c r="BO100" i="45"/>
  <c r="DG100" i="45" a="1"/>
  <c r="DG100" i="45"/>
  <c r="BQ100" i="45" a="1"/>
  <c r="BQ100" i="45"/>
  <c r="CV100" i="45" a="1"/>
  <c r="CV100" i="45"/>
  <c r="DA100" i="45" a="1"/>
  <c r="DA100" i="45"/>
  <c r="CU100" i="45" a="1"/>
  <c r="CU100" i="45"/>
  <c r="CM100" i="45" a="1"/>
  <c r="CM100" i="45"/>
  <c r="BP100" i="45" a="1"/>
  <c r="BP100" i="45"/>
  <c r="CT100" i="45" a="1"/>
  <c r="CT100" i="45"/>
  <c r="CR100" i="45" a="1"/>
  <c r="CR100" i="45"/>
  <c r="CQ100" i="45" a="1"/>
  <c r="CQ100" i="45"/>
  <c r="DH100" i="45" a="1"/>
  <c r="DH100" i="45"/>
  <c r="DN100" i="45" a="1"/>
  <c r="DN100" i="45"/>
  <c r="DM100" i="45" a="1"/>
  <c r="DM100" i="45"/>
  <c r="AU100" i="45"/>
  <c r="BB100" i="45" a="1"/>
  <c r="BB100" i="45"/>
  <c r="DC100" i="45" a="1"/>
  <c r="DC100" i="45"/>
  <c r="DB100" i="45" a="1"/>
  <c r="DB100" i="45"/>
  <c r="CY100" i="45" a="1"/>
  <c r="CY100" i="45"/>
  <c r="BS100" i="45" a="1"/>
  <c r="BS100" i="45"/>
  <c r="DO100" i="45" a="1"/>
  <c r="DO100" i="45"/>
  <c r="CC100" i="45" a="1"/>
  <c r="CC100" i="45"/>
  <c r="CK100" i="45" a="1"/>
  <c r="CK100" i="45"/>
  <c r="CF100" i="45" a="1"/>
  <c r="CF100" i="45"/>
  <c r="CN100" i="45" a="1"/>
  <c r="CN100" i="45"/>
  <c r="DI100" i="45" a="1"/>
  <c r="DI100" i="45"/>
  <c r="CL100" i="45" a="1"/>
  <c r="CL100" i="45"/>
  <c r="CO100" i="45" a="1"/>
  <c r="CO100" i="45"/>
  <c r="CJ100" i="45" a="1"/>
  <c r="CJ100" i="45"/>
  <c r="CH100" i="45" a="1"/>
  <c r="CH100" i="45"/>
  <c r="DJ100" i="45" a="1"/>
  <c r="DJ100" i="45"/>
  <c r="I100" i="45"/>
  <c r="AT105" i="45"/>
  <c r="CW97" i="45" a="1"/>
  <c r="CW97" i="45"/>
  <c r="AU99" i="45"/>
  <c r="BJ99" i="45" a="1"/>
  <c r="BJ99" i="45"/>
  <c r="BQ99" i="45" a="1"/>
  <c r="BQ99" i="45"/>
  <c r="CY99" i="45" a="1"/>
  <c r="CY99" i="45"/>
  <c r="DE99" i="45" a="1"/>
  <c r="DE99" i="45"/>
  <c r="BM99" i="45" a="1"/>
  <c r="BM99" i="45"/>
  <c r="CX99" i="45" a="1"/>
  <c r="CX99" i="45"/>
  <c r="BY99" i="45" a="1"/>
  <c r="BY99" i="45"/>
  <c r="DJ99" i="45" a="1"/>
  <c r="DJ99" i="45"/>
  <c r="CD99" i="45" a="1"/>
  <c r="CD99" i="45"/>
  <c r="CM99" i="45" a="1"/>
  <c r="CM99" i="45"/>
  <c r="DD99" i="45" a="1"/>
  <c r="DD99" i="45"/>
  <c r="DN99" i="45" a="1"/>
  <c r="DN99" i="45"/>
  <c r="CZ99" i="45" a="1"/>
  <c r="CZ99" i="45"/>
  <c r="BR99" i="45" a="1"/>
  <c r="BR99" i="45"/>
  <c r="BN99" i="45" a="1"/>
  <c r="BN99" i="45"/>
  <c r="CH99" i="45" a="1"/>
  <c r="CH99" i="45"/>
  <c r="DH99" i="45" a="1"/>
  <c r="DH99" i="45"/>
  <c r="DL99" i="45" a="1"/>
  <c r="DL99" i="45"/>
  <c r="BO99" i="45" a="1"/>
  <c r="BO99" i="45"/>
  <c r="CA99" i="45" a="1"/>
  <c r="CA99" i="45"/>
  <c r="BU99" i="45" a="1"/>
  <c r="BU99" i="45"/>
  <c r="CK99" i="45" a="1"/>
  <c r="CK99" i="45"/>
  <c r="CC99" i="45" a="1"/>
  <c r="CC99" i="45"/>
  <c r="BX99" i="45" a="1"/>
  <c r="BX99" i="45"/>
  <c r="BV99" i="45" a="1"/>
  <c r="BV99" i="45"/>
  <c r="CG99" i="45" a="1"/>
  <c r="CG99" i="45"/>
  <c r="CO99" i="45" a="1"/>
  <c r="CO99" i="45"/>
  <c r="CJ99" i="45" a="1"/>
  <c r="CJ99" i="45"/>
  <c r="DI99" i="45" a="1"/>
  <c r="DI99" i="45"/>
  <c r="BW99" i="45" a="1"/>
  <c r="BW99" i="45"/>
  <c r="DF99" i="45" a="1"/>
  <c r="DF99" i="45"/>
  <c r="DK99" i="45" a="1"/>
  <c r="DK99" i="45"/>
  <c r="CF99" i="45" a="1"/>
  <c r="CF99" i="45"/>
  <c r="DC99" i="45" a="1"/>
  <c r="DC99" i="45"/>
  <c r="CS99" i="45" a="1"/>
  <c r="CS99" i="45"/>
  <c r="BT99" i="45" a="1"/>
  <c r="BT99" i="45"/>
  <c r="CL99" i="45" a="1"/>
  <c r="CL99" i="45"/>
  <c r="DM99" i="45" a="1"/>
  <c r="DM99" i="45"/>
  <c r="CR99" i="45" a="1"/>
  <c r="CR99" i="45"/>
  <c r="BP99" i="45" a="1"/>
  <c r="BP99" i="45"/>
  <c r="DB99" i="45" a="1"/>
  <c r="DB99" i="45"/>
  <c r="CQ99" i="45" a="1"/>
  <c r="CQ99" i="45"/>
  <c r="CU99" i="45" a="1"/>
  <c r="CU99" i="45"/>
  <c r="BX100" i="45" a="1"/>
  <c r="BX100" i="45"/>
  <c r="CZ100" i="45" a="1"/>
  <c r="CZ100" i="45"/>
  <c r="DK100" i="45" a="1"/>
  <c r="DK100" i="45"/>
  <c r="DD100" i="45" a="1"/>
  <c r="DD100" i="45"/>
  <c r="CB100" i="45" a="1"/>
  <c r="CB100" i="45"/>
  <c r="BV100" i="45" a="1"/>
  <c r="BV100" i="45"/>
  <c r="CE100" i="45" a="1"/>
  <c r="CE100" i="45"/>
  <c r="CD100" i="45" a="1"/>
  <c r="CD100" i="45"/>
  <c r="BR100" i="45" a="1"/>
  <c r="BR100" i="45"/>
  <c r="BZ97" i="45" a="1"/>
  <c r="BZ97" i="45"/>
  <c r="BT98" i="45" a="1"/>
  <c r="BT98" i="45"/>
  <c r="BN98" i="45" a="1"/>
  <c r="BN98" i="45"/>
  <c r="BR98" i="45" a="1"/>
  <c r="BR98" i="45"/>
  <c r="BV98" i="45" a="1"/>
  <c r="BV98" i="45"/>
  <c r="CA98" i="45" a="1"/>
  <c r="CA98" i="45"/>
  <c r="CN98" i="45" a="1"/>
  <c r="CN98" i="45"/>
  <c r="CM98" i="45" a="1"/>
  <c r="CM98" i="45"/>
  <c r="CS98" i="45" a="1"/>
  <c r="CS98" i="45"/>
  <c r="CY98" i="45" a="1"/>
  <c r="CY98" i="45"/>
  <c r="CO98" i="45" a="1"/>
  <c r="CO98" i="45"/>
  <c r="DJ98" i="45" a="1"/>
  <c r="DJ98" i="45"/>
  <c r="CE98" i="45" a="1"/>
  <c r="CE98" i="45"/>
  <c r="CI98" i="45" a="1"/>
  <c r="CI98" i="45"/>
  <c r="DE98" i="45" a="1"/>
  <c r="DE98" i="45"/>
  <c r="DF98" i="45" a="1"/>
  <c r="DF98" i="45"/>
  <c r="BZ98" i="45" a="1"/>
  <c r="BZ98" i="45"/>
  <c r="BY98" i="45" a="1"/>
  <c r="BY98" i="45"/>
  <c r="BO98" i="45" a="1"/>
  <c r="BO98" i="45"/>
  <c r="BX98" i="45" a="1"/>
  <c r="BX98" i="45"/>
  <c r="DC98" i="45" a="1"/>
  <c r="DC98" i="45"/>
  <c r="DA98" i="45" a="1"/>
  <c r="DA98" i="45"/>
  <c r="CU98" i="45" a="1"/>
  <c r="CU98" i="45"/>
  <c r="CL98" i="45" a="1"/>
  <c r="CL98" i="45"/>
  <c r="DG98" i="45" a="1"/>
  <c r="DG98" i="45"/>
  <c r="CC98" i="45" a="1"/>
  <c r="CC98" i="45"/>
  <c r="CQ98" i="45" a="1"/>
  <c r="CQ98" i="45"/>
  <c r="CX98" i="45" a="1"/>
  <c r="CX98" i="45"/>
  <c r="CG98" i="45" a="1"/>
  <c r="CG98" i="45"/>
  <c r="DM98" i="45" a="1"/>
  <c r="DM98" i="45"/>
  <c r="DB98" i="45" a="1"/>
  <c r="DB98" i="45"/>
  <c r="BS98" i="45" a="1"/>
  <c r="BS98" i="45"/>
  <c r="BU98" i="45" a="1"/>
  <c r="BU98" i="45"/>
  <c r="BP98" i="45" a="1"/>
  <c r="BP98" i="45"/>
  <c r="BM98" i="45" a="1"/>
  <c r="BM98" i="45"/>
  <c r="DH98" i="45" a="1"/>
  <c r="DH98" i="45"/>
  <c r="DI98" i="45" a="1"/>
  <c r="DI98" i="45"/>
  <c r="CK98" i="45" a="1"/>
  <c r="CK98" i="45"/>
  <c r="CR98" i="45" a="1"/>
  <c r="CR98" i="45"/>
  <c r="CF98" i="45" a="1"/>
  <c r="CF98" i="45"/>
  <c r="DN98" i="45" a="1"/>
  <c r="DN98" i="45"/>
  <c r="CB98" i="45" a="1"/>
  <c r="CB98" i="45"/>
  <c r="CD98" i="45" a="1"/>
  <c r="CD98" i="45"/>
  <c r="DK98" i="45" a="1"/>
  <c r="DK98" i="45"/>
  <c r="CP98" i="45" a="1"/>
  <c r="CP98" i="45"/>
  <c r="AP101" i="45"/>
  <c r="AT101" i="45"/>
  <c r="AV101" i="45"/>
  <c r="I101" i="45"/>
  <c r="CI100" i="45" a="1"/>
  <c r="CI100" i="45"/>
  <c r="CA100" i="45" a="1"/>
  <c r="CA100" i="45"/>
  <c r="DL100" i="45" a="1"/>
  <c r="DL100" i="45"/>
  <c r="BW100" i="45" a="1"/>
  <c r="BW100" i="45"/>
  <c r="BM100" i="45" a="1"/>
  <c r="BM100" i="45"/>
  <c r="CX100" i="45" a="1"/>
  <c r="CX100" i="45"/>
  <c r="BU100" i="45" a="1"/>
  <c r="BU100" i="45"/>
  <c r="BT100" i="45" a="1"/>
  <c r="BT100" i="45"/>
  <c r="DF100" i="45" a="1"/>
  <c r="DF100" i="45"/>
  <c r="DL102" i="45" a="1"/>
  <c r="DL102" i="45"/>
  <c r="CG102" i="45" a="1"/>
  <c r="CG102" i="45"/>
  <c r="DG102" i="45" a="1"/>
  <c r="DG102" i="45"/>
  <c r="BX102" i="45" a="1"/>
  <c r="BX102" i="45"/>
  <c r="BO102" i="45" a="1"/>
  <c r="BO102" i="45"/>
  <c r="DP102" i="45" a="1"/>
  <c r="DP102" i="45"/>
  <c r="BS102" i="45" a="1"/>
  <c r="BS102" i="45"/>
  <c r="BU102" i="45" a="1"/>
  <c r="BU102" i="45"/>
  <c r="BV102" i="45" a="1"/>
  <c r="BV102" i="45"/>
  <c r="CX102" i="45" a="1"/>
  <c r="CX102" i="45"/>
  <c r="CZ102" i="45" a="1"/>
  <c r="CZ102" i="45"/>
  <c r="CN102" i="45" a="1"/>
  <c r="CN102" i="45"/>
  <c r="CQ102" i="45" a="1"/>
  <c r="CQ102" i="45"/>
  <c r="AU97" i="45"/>
  <c r="BH97" i="45" a="1"/>
  <c r="BH97" i="45"/>
  <c r="DG97" i="45" a="1"/>
  <c r="DG97" i="45"/>
  <c r="DC97" i="45" a="1"/>
  <c r="DC97" i="45"/>
  <c r="CS97" i="45" a="1"/>
  <c r="CS97" i="45"/>
  <c r="DJ97" i="45" a="1"/>
  <c r="DJ97" i="45"/>
  <c r="CD97" i="45" a="1"/>
  <c r="CD97" i="45"/>
  <c r="CT97" i="45" a="1"/>
  <c r="CT97" i="45"/>
  <c r="CC97" i="45" a="1"/>
  <c r="CC97" i="45"/>
  <c r="CL97" i="45" a="1"/>
  <c r="CL97" i="45"/>
  <c r="DI97" i="45" a="1"/>
  <c r="DI97" i="45"/>
  <c r="CN97" i="45" a="1"/>
  <c r="CN97" i="45"/>
  <c r="DL97" i="45" a="1"/>
  <c r="DL97" i="45"/>
  <c r="CI97" i="45" a="1"/>
  <c r="CI97" i="45"/>
  <c r="BU97" i="45" a="1"/>
  <c r="BU97" i="45"/>
  <c r="CH97" i="45" a="1"/>
  <c r="CH97" i="45"/>
  <c r="CF97" i="45" a="1"/>
  <c r="CF97" i="45"/>
  <c r="CG97" i="45" a="1"/>
  <c r="CG97" i="45"/>
  <c r="AV97" i="45"/>
  <c r="DF97" i="45" a="1"/>
  <c r="DF97" i="45"/>
  <c r="BP97" i="45" a="1"/>
  <c r="BP97" i="45"/>
  <c r="DD97" i="45" a="1"/>
  <c r="DD97" i="45"/>
  <c r="CB97" i="45" a="1"/>
  <c r="CB97" i="45"/>
  <c r="BN97" i="45" a="1"/>
  <c r="BN97" i="45"/>
  <c r="BV97" i="45" a="1"/>
  <c r="BV97" i="45"/>
  <c r="DB97" i="45" a="1"/>
  <c r="DB97" i="45"/>
  <c r="CX97" i="45" a="1"/>
  <c r="CX97" i="45"/>
  <c r="DO97" i="45" a="1"/>
  <c r="DO97" i="45"/>
  <c r="BX97" i="45" a="1"/>
  <c r="BX97" i="45"/>
  <c r="BM97" i="45" a="1"/>
  <c r="BM97" i="45"/>
  <c r="CV97" i="45" a="1"/>
  <c r="CV97" i="45"/>
  <c r="CE97" i="45" a="1"/>
  <c r="CE97" i="45"/>
  <c r="CO97" i="45" a="1"/>
  <c r="CO97" i="45"/>
  <c r="AT103" i="45"/>
  <c r="CP97" i="45" a="1"/>
  <c r="CP97" i="45"/>
  <c r="BY97" i="45" a="1"/>
  <c r="BY97" i="45"/>
  <c r="DA97" i="45" a="1"/>
  <c r="DA97" i="45"/>
  <c r="CY97" i="45" a="1"/>
  <c r="CY97" i="45"/>
  <c r="DM97" i="45" a="1"/>
  <c r="DM97" i="45"/>
  <c r="DE97" i="45" a="1"/>
  <c r="DE97" i="45"/>
  <c r="BR97" i="45" a="1"/>
  <c r="BR97" i="45"/>
  <c r="BS97" i="45" a="1"/>
  <c r="BS97" i="45"/>
  <c r="BT97" i="45" a="1"/>
  <c r="BT97" i="45"/>
  <c r="CQ97" i="45" a="1"/>
  <c r="CQ97" i="45"/>
  <c r="CA97" i="45" a="1"/>
  <c r="CA97" i="45"/>
  <c r="DN97" i="45" a="1"/>
  <c r="DN97" i="45"/>
  <c r="G103" i="45"/>
  <c r="I97" i="45"/>
  <c r="BI99" i="45" a="1"/>
  <c r="BI99" i="45"/>
  <c r="AP124" i="47"/>
  <c r="I124" i="47"/>
  <c r="I124" i="9"/>
  <c r="AP346" i="47"/>
  <c r="I346" i="47"/>
  <c r="I346" i="9"/>
  <c r="AP357" i="47"/>
  <c r="I357" i="47"/>
  <c r="I357" i="9"/>
  <c r="AP239" i="47"/>
  <c r="I239" i="47"/>
  <c r="I239" i="9"/>
  <c r="AP227" i="47"/>
  <c r="I227" i="47"/>
  <c r="I227" i="9"/>
  <c r="AP113" i="47"/>
  <c r="I113" i="47"/>
  <c r="I113" i="9"/>
  <c r="AP231" i="47"/>
  <c r="I231" i="47"/>
  <c r="I231" i="9"/>
  <c r="AP238" i="47"/>
  <c r="I238" i="47"/>
  <c r="I238" i="9"/>
  <c r="AP373" i="47"/>
  <c r="I373" i="47"/>
  <c r="I373" i="9"/>
  <c r="AP129" i="47"/>
  <c r="I129" i="47"/>
  <c r="I129" i="9"/>
  <c r="AP362" i="47"/>
  <c r="I362" i="47"/>
  <c r="I362" i="9"/>
  <c r="AP353" i="47"/>
  <c r="I353" i="47"/>
  <c r="I353" i="9"/>
  <c r="AP233" i="47"/>
  <c r="I233" i="47"/>
  <c r="I233" i="9"/>
  <c r="AP358" i="47"/>
  <c r="I358" i="47"/>
  <c r="I358" i="9"/>
  <c r="AP226" i="47"/>
  <c r="I226" i="47"/>
  <c r="I226" i="9"/>
  <c r="AP254" i="47"/>
  <c r="I254" i="47"/>
  <c r="I254" i="9"/>
  <c r="AP244" i="47"/>
  <c r="I244" i="47"/>
  <c r="I244" i="9"/>
  <c r="AP355" i="47"/>
  <c r="I355" i="47"/>
  <c r="I355" i="9"/>
  <c r="AP253" i="47"/>
  <c r="I253" i="47"/>
  <c r="I253" i="9"/>
  <c r="AP241" i="47"/>
  <c r="I241" i="47"/>
  <c r="I241" i="9"/>
  <c r="AP252" i="47"/>
  <c r="I252" i="47"/>
  <c r="I252" i="9"/>
  <c r="AP249" i="47"/>
  <c r="I249" i="47"/>
  <c r="I249" i="9"/>
  <c r="AP138" i="47"/>
  <c r="I138" i="47"/>
  <c r="I138" i="9"/>
  <c r="AP125" i="47"/>
  <c r="I125" i="47"/>
  <c r="I125" i="9"/>
  <c r="AP356" i="47"/>
  <c r="I356" i="47"/>
  <c r="I356" i="9"/>
  <c r="AP122" i="47"/>
  <c r="I122" i="47"/>
  <c r="I122" i="9"/>
  <c r="AP240" i="47"/>
  <c r="I240" i="47"/>
  <c r="I240" i="9"/>
  <c r="AP354" i="47"/>
  <c r="I354" i="47"/>
  <c r="I354" i="9"/>
  <c r="AY16" i="12"/>
  <c r="CC7" i="12"/>
  <c r="E297" i="47"/>
  <c r="E297" i="9"/>
  <c r="AF240" i="47"/>
  <c r="F240" i="47"/>
  <c r="F240" i="9"/>
  <c r="AP232" i="47"/>
  <c r="I232" i="47"/>
  <c r="I232" i="9"/>
  <c r="AP118" i="47"/>
  <c r="I118" i="47"/>
  <c r="I118" i="9"/>
  <c r="E122" i="47"/>
  <c r="E122" i="9"/>
  <c r="AF122" i="47"/>
  <c r="F122" i="47"/>
  <c r="F122" i="9"/>
  <c r="H117" i="47"/>
  <c r="H117" i="9"/>
  <c r="AP117" i="47"/>
  <c r="I117" i="47"/>
  <c r="I117" i="9"/>
  <c r="AF125" i="47"/>
  <c r="F125" i="47"/>
  <c r="F125" i="9"/>
  <c r="E117" i="47"/>
  <c r="E117" i="9"/>
  <c r="AF117" i="47"/>
  <c r="F117" i="47"/>
  <c r="F117" i="9"/>
  <c r="AF345" i="47"/>
  <c r="F345" i="47"/>
  <c r="F345" i="9"/>
  <c r="E345" i="47"/>
  <c r="E345" i="9"/>
  <c r="E253" i="47"/>
  <c r="E253" i="9"/>
  <c r="AF253" i="47"/>
  <c r="F253" i="47"/>
  <c r="F253" i="9"/>
  <c r="AP111" i="47"/>
  <c r="I111" i="47"/>
  <c r="I111" i="9"/>
  <c r="AP242" i="47"/>
  <c r="I242" i="47"/>
  <c r="I242" i="9"/>
  <c r="AP133" i="47"/>
  <c r="I133" i="47"/>
  <c r="I133" i="9"/>
  <c r="AP371" i="47"/>
  <c r="I371" i="47"/>
  <c r="I371" i="9"/>
  <c r="AP257" i="47"/>
  <c r="I257" i="47"/>
  <c r="I257" i="9"/>
  <c r="AP360" i="47"/>
  <c r="I360" i="47"/>
  <c r="I360" i="9"/>
  <c r="AP350" i="47"/>
  <c r="I350" i="47"/>
  <c r="I350" i="9"/>
  <c r="H345" i="47"/>
  <c r="H345" i="9"/>
  <c r="AP345" i="47"/>
  <c r="I345" i="47"/>
  <c r="I345" i="9"/>
  <c r="H351" i="47"/>
  <c r="H351" i="9"/>
  <c r="AP351" i="47"/>
  <c r="I351" i="47"/>
  <c r="I351" i="9"/>
  <c r="H123" i="47"/>
  <c r="H123" i="9"/>
  <c r="AP123" i="47"/>
  <c r="I123" i="47"/>
  <c r="I123" i="9"/>
  <c r="AP359" i="47"/>
  <c r="I359" i="47"/>
  <c r="I359" i="9"/>
  <c r="AP361" i="47"/>
  <c r="I361" i="47"/>
  <c r="I361" i="9"/>
  <c r="AP234" i="47"/>
  <c r="I234" i="47"/>
  <c r="I234" i="9"/>
  <c r="AP248" i="47"/>
  <c r="I248" i="47"/>
  <c r="I248" i="9"/>
  <c r="E351" i="47"/>
  <c r="E351" i="9"/>
  <c r="AF351" i="47"/>
  <c r="F351" i="47"/>
  <c r="F351" i="9"/>
  <c r="H237" i="47"/>
  <c r="H237" i="9"/>
  <c r="AP237" i="47"/>
  <c r="I237" i="47"/>
  <c r="I237" i="9"/>
  <c r="H228" i="47"/>
  <c r="H228" i="9"/>
  <c r="AP228" i="47"/>
  <c r="I228" i="47"/>
  <c r="I228" i="9"/>
  <c r="E237" i="47"/>
  <c r="E237" i="9"/>
  <c r="AF237" i="47"/>
  <c r="F237" i="47"/>
  <c r="F237" i="9"/>
  <c r="H112" i="47"/>
  <c r="H112" i="9"/>
  <c r="AP112" i="47"/>
  <c r="I112" i="47"/>
  <c r="I112" i="9"/>
  <c r="AP139" i="47"/>
  <c r="I139" i="47"/>
  <c r="I139" i="9"/>
  <c r="E228" i="47"/>
  <c r="E228" i="9"/>
  <c r="AF228" i="47"/>
  <c r="F228" i="47"/>
  <c r="F228" i="9"/>
  <c r="AF359" i="47"/>
  <c r="F359" i="47"/>
  <c r="F359" i="9"/>
  <c r="E359" i="47"/>
  <c r="E359" i="9"/>
  <c r="AF112" i="47"/>
  <c r="F112" i="47"/>
  <c r="F112" i="9"/>
  <c r="E112" i="47"/>
  <c r="E112" i="9"/>
  <c r="H365" i="47"/>
  <c r="H365" i="9"/>
  <c r="AP365" i="47"/>
  <c r="I365" i="47"/>
  <c r="I365" i="9"/>
  <c r="H375" i="47"/>
  <c r="H375" i="9"/>
  <c r="AP375" i="47"/>
  <c r="I375" i="47"/>
  <c r="I375" i="9"/>
  <c r="AF231" i="47"/>
  <c r="F231" i="47"/>
  <c r="F231" i="9"/>
  <c r="E231" i="47"/>
  <c r="E231" i="9"/>
  <c r="AP116" i="47"/>
  <c r="I116" i="47"/>
  <c r="I116" i="9"/>
  <c r="H116" i="47"/>
  <c r="H116" i="9"/>
  <c r="AF132" i="47"/>
  <c r="F132" i="47"/>
  <c r="F132" i="9"/>
  <c r="E132" i="47"/>
  <c r="E132" i="9"/>
  <c r="AF142" i="47"/>
  <c r="F142" i="47"/>
  <c r="F142" i="9"/>
  <c r="E142" i="47"/>
  <c r="E142" i="9"/>
  <c r="E370" i="47"/>
  <c r="E370" i="9"/>
  <c r="AF370" i="47"/>
  <c r="F370" i="47"/>
  <c r="F370" i="9"/>
  <c r="H255" i="47"/>
  <c r="H255" i="9"/>
  <c r="AP255" i="47"/>
  <c r="I255" i="47"/>
  <c r="I255" i="9"/>
  <c r="H229" i="47"/>
  <c r="H229" i="9"/>
  <c r="AP229" i="47"/>
  <c r="I229" i="47"/>
  <c r="I229" i="9"/>
  <c r="AP367" i="47"/>
  <c r="I367" i="47"/>
  <c r="I367" i="9"/>
  <c r="E365" i="47"/>
  <c r="E365" i="9"/>
  <c r="AF365" i="47"/>
  <c r="F365" i="47"/>
  <c r="F365" i="9"/>
  <c r="H347" i="47"/>
  <c r="H347" i="9"/>
  <c r="AP347" i="47"/>
  <c r="I347" i="47"/>
  <c r="I347" i="9"/>
  <c r="H127" i="47"/>
  <c r="H127" i="9"/>
  <c r="AP127" i="47"/>
  <c r="I127" i="47"/>
  <c r="I127" i="9"/>
  <c r="E111" i="47"/>
  <c r="E111" i="9"/>
  <c r="AF111" i="47"/>
  <c r="F111" i="47"/>
  <c r="F111" i="9"/>
  <c r="AF126" i="47"/>
  <c r="F126" i="47"/>
  <c r="F126" i="9"/>
  <c r="E126" i="47"/>
  <c r="E126" i="9"/>
  <c r="AF349" i="47"/>
  <c r="F349" i="47"/>
  <c r="F349" i="9"/>
  <c r="E349" i="47"/>
  <c r="E349" i="9"/>
  <c r="H352" i="47"/>
  <c r="H352" i="9"/>
  <c r="AP352" i="47"/>
  <c r="I352" i="47"/>
  <c r="I352" i="9"/>
  <c r="AF360" i="47"/>
  <c r="F360" i="47"/>
  <c r="F360" i="9"/>
  <c r="E360" i="47"/>
  <c r="E360" i="9"/>
  <c r="H243" i="47"/>
  <c r="H243" i="9"/>
  <c r="AP243" i="47"/>
  <c r="I243" i="47"/>
  <c r="I243" i="9"/>
  <c r="E137" i="47"/>
  <c r="E137" i="9"/>
  <c r="AF137" i="47"/>
  <c r="F137" i="47"/>
  <c r="F137" i="9"/>
  <c r="E255" i="47"/>
  <c r="E255" i="9"/>
  <c r="AF255" i="47"/>
  <c r="F255" i="47"/>
  <c r="F255" i="9"/>
  <c r="AF372" i="47"/>
  <c r="F372" i="47"/>
  <c r="F372" i="9"/>
  <c r="E372" i="47"/>
  <c r="E372" i="9"/>
  <c r="E229" i="47"/>
  <c r="E229" i="9"/>
  <c r="AF229" i="47"/>
  <c r="F229" i="47"/>
  <c r="F229" i="9"/>
  <c r="AF347" i="47"/>
  <c r="F347" i="47"/>
  <c r="F347" i="9"/>
  <c r="E347" i="47"/>
  <c r="E347" i="9"/>
  <c r="AF121" i="47"/>
  <c r="F121" i="47"/>
  <c r="F121" i="9"/>
  <c r="E121" i="47"/>
  <c r="E121" i="9"/>
  <c r="E247" i="47"/>
  <c r="E247" i="9"/>
  <c r="AF247" i="47"/>
  <c r="F247" i="47"/>
  <c r="F247" i="9"/>
  <c r="AP137" i="47"/>
  <c r="I137" i="47"/>
  <c r="I137" i="9"/>
  <c r="H137" i="47"/>
  <c r="H137" i="9"/>
  <c r="H372" i="47"/>
  <c r="H372" i="9"/>
  <c r="AP372" i="47"/>
  <c r="I372" i="47"/>
  <c r="I372" i="9"/>
  <c r="E128" i="47"/>
  <c r="E128" i="9"/>
  <c r="AF128" i="47"/>
  <c r="F128" i="47"/>
  <c r="F128" i="9"/>
  <c r="H366" i="47"/>
  <c r="H366" i="9"/>
  <c r="AP366" i="47"/>
  <c r="I366" i="47"/>
  <c r="I366" i="9"/>
  <c r="H235" i="47"/>
  <c r="H235" i="9"/>
  <c r="AP235" i="47"/>
  <c r="I235" i="47"/>
  <c r="I235" i="9"/>
  <c r="H236" i="47"/>
  <c r="H236" i="9"/>
  <c r="AP236" i="47"/>
  <c r="I236" i="47"/>
  <c r="I236" i="9"/>
  <c r="E120" i="47"/>
  <c r="E120" i="9"/>
  <c r="AF120" i="47"/>
  <c r="F120" i="47"/>
  <c r="F120" i="9"/>
  <c r="E127" i="47"/>
  <c r="E127" i="9"/>
  <c r="AF127" i="47"/>
  <c r="F127" i="47"/>
  <c r="F127" i="9"/>
  <c r="H126" i="47"/>
  <c r="H126" i="9"/>
  <c r="AP126" i="47"/>
  <c r="I126" i="47"/>
  <c r="I126" i="9"/>
  <c r="AF354" i="47"/>
  <c r="F354" i="47"/>
  <c r="F354" i="9"/>
  <c r="E354" i="47"/>
  <c r="E354" i="9"/>
  <c r="AF139" i="47"/>
  <c r="F139" i="47"/>
  <c r="F139" i="9"/>
  <c r="E139" i="47"/>
  <c r="E139" i="9"/>
  <c r="H349" i="47"/>
  <c r="H349" i="9"/>
  <c r="AP349" i="47"/>
  <c r="I349" i="47"/>
  <c r="I349" i="9"/>
  <c r="E352" i="47"/>
  <c r="E352" i="9"/>
  <c r="AF352" i="47"/>
  <c r="F352" i="47"/>
  <c r="F352" i="9"/>
  <c r="E243" i="47"/>
  <c r="E243" i="9"/>
  <c r="AF243" i="47"/>
  <c r="F243" i="47"/>
  <c r="F243" i="9"/>
  <c r="H114" i="47"/>
  <c r="H114" i="9"/>
  <c r="AP114" i="47"/>
  <c r="I114" i="47"/>
  <c r="I114" i="9"/>
  <c r="H119" i="47"/>
  <c r="H119" i="9"/>
  <c r="AP119" i="47"/>
  <c r="I119" i="47"/>
  <c r="I119" i="9"/>
  <c r="H140" i="47"/>
  <c r="H140" i="9"/>
  <c r="AP140" i="47"/>
  <c r="I140" i="47"/>
  <c r="I140" i="9"/>
  <c r="E134" i="47"/>
  <c r="E134" i="9"/>
  <c r="AF134" i="47"/>
  <c r="F134" i="47"/>
  <c r="F134" i="9"/>
  <c r="AF133" i="47"/>
  <c r="F133" i="47"/>
  <c r="F133" i="9"/>
  <c r="E133" i="47"/>
  <c r="E133" i="9"/>
  <c r="E234" i="47"/>
  <c r="E234" i="9"/>
  <c r="AF234" i="47"/>
  <c r="F234" i="47"/>
  <c r="F234" i="9"/>
  <c r="E129" i="47"/>
  <c r="E129" i="9"/>
  <c r="AF129" i="47"/>
  <c r="F129" i="47"/>
  <c r="F129" i="9"/>
  <c r="AP128" i="47"/>
  <c r="I128" i="47"/>
  <c r="I128" i="9"/>
  <c r="H128" i="47"/>
  <c r="H128" i="9"/>
  <c r="E366" i="47"/>
  <c r="E366" i="9"/>
  <c r="AF366" i="47"/>
  <c r="F366" i="47"/>
  <c r="F366" i="9"/>
  <c r="AF235" i="47"/>
  <c r="F235" i="47"/>
  <c r="F235" i="9"/>
  <c r="E235" i="47"/>
  <c r="E235" i="9"/>
  <c r="AF236" i="47"/>
  <c r="F236" i="47"/>
  <c r="F236" i="9"/>
  <c r="E236" i="47"/>
  <c r="E236" i="9"/>
  <c r="H120" i="47"/>
  <c r="H120" i="9"/>
  <c r="AP120" i="47"/>
  <c r="I120" i="47"/>
  <c r="I120" i="9"/>
  <c r="E375" i="47"/>
  <c r="E375" i="9"/>
  <c r="AF375" i="47"/>
  <c r="F375" i="47"/>
  <c r="F375" i="9"/>
  <c r="AP121" i="47"/>
  <c r="I121" i="47"/>
  <c r="I121" i="9"/>
  <c r="H121" i="47"/>
  <c r="H121" i="9"/>
  <c r="H247" i="47"/>
  <c r="H247" i="9"/>
  <c r="AP247" i="47"/>
  <c r="I247" i="47"/>
  <c r="I247" i="9"/>
  <c r="AF116" i="47"/>
  <c r="F116" i="47"/>
  <c r="F116" i="9"/>
  <c r="E116" i="47"/>
  <c r="E116" i="9"/>
  <c r="E367" i="47"/>
  <c r="E367" i="9"/>
  <c r="AF367" i="47"/>
  <c r="F367" i="47"/>
  <c r="F367" i="9"/>
  <c r="H132" i="47"/>
  <c r="H132" i="9"/>
  <c r="AP132" i="47"/>
  <c r="I132" i="47"/>
  <c r="I132" i="9"/>
  <c r="AP142" i="47"/>
  <c r="I142" i="47"/>
  <c r="I142" i="9"/>
  <c r="H142" i="47"/>
  <c r="H142" i="9"/>
  <c r="H370" i="47"/>
  <c r="H370" i="9"/>
  <c r="AP370" i="47"/>
  <c r="I370" i="47"/>
  <c r="I370" i="9"/>
  <c r="AF114" i="47"/>
  <c r="F114" i="47"/>
  <c r="F114" i="9"/>
  <c r="E114" i="47"/>
  <c r="E114" i="9"/>
  <c r="AF119" i="47"/>
  <c r="F119" i="47"/>
  <c r="F119" i="9"/>
  <c r="E119" i="47"/>
  <c r="E119" i="9"/>
  <c r="E140" i="47"/>
  <c r="E140" i="9"/>
  <c r="AF140" i="47"/>
  <c r="F140" i="47"/>
  <c r="F140" i="9"/>
  <c r="AP134" i="47"/>
  <c r="I134" i="47"/>
  <c r="I134" i="9"/>
  <c r="H134" i="47"/>
  <c r="H134" i="9"/>
  <c r="AY83" i="45" a="1"/>
  <c r="AY83" i="45"/>
  <c r="AY81" i="45" a="1"/>
  <c r="AY81" i="45"/>
  <c r="BG81" i="45" a="1"/>
  <c r="BG81" i="45"/>
  <c r="AY86" i="45" a="1"/>
  <c r="AY86" i="45"/>
  <c r="AV85" i="45" a="1"/>
  <c r="AV85" i="45"/>
  <c r="BJ85" i="45"/>
  <c r="BD83" i="45" a="1"/>
  <c r="BD83" i="45"/>
  <c r="BR83" i="45"/>
  <c r="BB81" i="45" a="1"/>
  <c r="BB81" i="45"/>
  <c r="BP81" i="45"/>
  <c r="BC102" i="45" a="1"/>
  <c r="BC102" i="45"/>
  <c r="AU83" i="45" a="1"/>
  <c r="AU83" i="45"/>
  <c r="BW83" i="45"/>
  <c r="AZ83" i="45" a="1"/>
  <c r="AZ83" i="45"/>
  <c r="BN83" i="45"/>
  <c r="J83" i="45"/>
  <c r="AZ81" i="45" a="1"/>
  <c r="AZ81" i="45"/>
  <c r="BN81" i="45"/>
  <c r="J81" i="45"/>
  <c r="BB76" i="45" a="1"/>
  <c r="BB76" i="45"/>
  <c r="BP76" i="45"/>
  <c r="BF79" i="45" a="1"/>
  <c r="BF79" i="45"/>
  <c r="BT79" i="45"/>
  <c r="AY82" i="45" a="1"/>
  <c r="AY82" i="45"/>
  <c r="AV79" i="45" a="1"/>
  <c r="AV79" i="45"/>
  <c r="BJ79" i="45"/>
  <c r="BB98" i="45" a="1"/>
  <c r="BB98" i="45"/>
  <c r="AV77" i="45" a="1"/>
  <c r="AV77" i="45"/>
  <c r="BX77" i="45"/>
  <c r="AU80" i="45" a="1"/>
  <c r="AU80" i="45"/>
  <c r="BI80" i="45"/>
  <c r="I80" i="45"/>
  <c r="BF84" i="45" a="1"/>
  <c r="BF84" i="45"/>
  <c r="BT84" i="45"/>
  <c r="BB77" i="45" a="1"/>
  <c r="BB77" i="45"/>
  <c r="BP77" i="45"/>
  <c r="AW77" i="45" a="1"/>
  <c r="AW77" i="45"/>
  <c r="BK77" i="45"/>
  <c r="BE84" i="45" a="1"/>
  <c r="BE84" i="45"/>
  <c r="BS84" i="45"/>
  <c r="BC80" i="45" a="1"/>
  <c r="BC80" i="45"/>
  <c r="BQ80" i="45"/>
  <c r="AY84" i="45" a="1"/>
  <c r="AY84" i="45"/>
  <c r="BM84" i="45"/>
  <c r="BG100" i="45" a="1"/>
  <c r="BG100" i="45"/>
  <c r="BA83" i="45" a="1"/>
  <c r="BA83" i="45"/>
  <c r="BO83" i="45"/>
  <c r="AX81" i="45" a="1"/>
  <c r="AX81" i="45"/>
  <c r="BH81" i="45" a="1"/>
  <c r="BH81" i="45"/>
  <c r="BV81" i="45"/>
  <c r="BG83" i="45" a="1"/>
  <c r="BG83" i="45"/>
  <c r="BU83" i="45"/>
  <c r="AX102" i="45" a="1"/>
  <c r="AX102" i="45"/>
  <c r="AX85" i="45" a="1"/>
  <c r="AX85" i="45"/>
  <c r="BL85" i="45"/>
  <c r="AX83" i="45" a="1"/>
  <c r="AX83" i="45"/>
  <c r="BZ83" i="45"/>
  <c r="AW83" i="45" a="1"/>
  <c r="AW83" i="45"/>
  <c r="BA81" i="45" a="1"/>
  <c r="BA81" i="45"/>
  <c r="BO81" i="45"/>
  <c r="AV81" i="45" a="1"/>
  <c r="AV81" i="45"/>
  <c r="BJ81" i="45"/>
  <c r="AV76" i="45" a="1"/>
  <c r="AV76" i="45"/>
  <c r="BJ76" i="45"/>
  <c r="BE86" i="45" a="1"/>
  <c r="BE86" i="45"/>
  <c r="CG86" i="45"/>
  <c r="BF86" i="45" a="1"/>
  <c r="BF86" i="45"/>
  <c r="BT86" i="45"/>
  <c r="AW85" i="45" a="1"/>
  <c r="AW85" i="45"/>
  <c r="BK85" i="45"/>
  <c r="AV86" i="45" a="1"/>
  <c r="AV86" i="45"/>
  <c r="BJ86" i="45"/>
  <c r="BC86" i="45" a="1"/>
  <c r="BC86" i="45"/>
  <c r="BQ86" i="45"/>
  <c r="BH76" i="45" a="1"/>
  <c r="BH76" i="45"/>
  <c r="BV76" i="45"/>
  <c r="AU76" i="45" a="1"/>
  <c r="AU76" i="45"/>
  <c r="BW76" i="45"/>
  <c r="AY85" i="45" a="1"/>
  <c r="AY85" i="45"/>
  <c r="BM85" i="45"/>
  <c r="BD85" i="45" a="1"/>
  <c r="BD85" i="45"/>
  <c r="BR85" i="45"/>
  <c r="BE83" i="45" a="1"/>
  <c r="BE83" i="45"/>
  <c r="CG83" i="45"/>
  <c r="BH83" i="45" a="1"/>
  <c r="BH83" i="45"/>
  <c r="CJ83" i="45"/>
  <c r="BD81" i="45" a="1"/>
  <c r="BD81" i="45"/>
  <c r="CF81" i="45"/>
  <c r="BC81" i="45" a="1"/>
  <c r="BC81" i="45"/>
  <c r="AW76" i="45" a="1"/>
  <c r="AW76" i="45"/>
  <c r="BK76" i="45"/>
  <c r="AX86" i="45" a="1"/>
  <c r="AX86" i="45"/>
  <c r="BL86" i="45"/>
  <c r="BB86" i="45" a="1"/>
  <c r="BB86" i="45"/>
  <c r="BP86" i="45"/>
  <c r="BF81" i="45" a="1"/>
  <c r="BF81" i="45"/>
  <c r="AU77" i="45" a="1"/>
  <c r="AU77" i="45"/>
  <c r="BI77" i="45"/>
  <c r="I77" i="45"/>
  <c r="AY80" i="45" a="1"/>
  <c r="AY80" i="45"/>
  <c r="BM80" i="45"/>
  <c r="AY77" i="45" a="1"/>
  <c r="AY77" i="45"/>
  <c r="BM77" i="45"/>
  <c r="AW84" i="45" a="1"/>
  <c r="AW84" i="45"/>
  <c r="BY84" i="45"/>
  <c r="BH84" i="45" a="1"/>
  <c r="BH84" i="45"/>
  <c r="CJ84" i="45"/>
  <c r="AU78" i="45" a="1"/>
  <c r="AU78" i="45"/>
  <c r="BW78" i="45"/>
  <c r="BH80" i="45" a="1"/>
  <c r="BH80" i="45"/>
  <c r="BV80" i="45"/>
  <c r="BD79" i="45" a="1"/>
  <c r="BD79" i="45"/>
  <c r="BR79" i="45"/>
  <c r="AZ77" i="45" a="1"/>
  <c r="AZ77" i="45"/>
  <c r="CB77" i="45"/>
  <c r="BC77" i="45" a="1"/>
  <c r="BC77" i="45"/>
  <c r="AW82" i="45" a="1"/>
  <c r="AW82" i="45"/>
  <c r="BY82" i="45"/>
  <c r="AV84" i="45" a="1"/>
  <c r="AV84" i="45"/>
  <c r="BJ84" i="45"/>
  <c r="BC84" i="45" a="1"/>
  <c r="BC84" i="45"/>
  <c r="BQ84" i="45"/>
  <c r="AV78" i="45" a="1"/>
  <c r="AV78" i="45"/>
  <c r="BJ78" i="45"/>
  <c r="BG77" i="45" a="1"/>
  <c r="BG77" i="45"/>
  <c r="CI77" i="45"/>
  <c r="AU84" i="45" a="1"/>
  <c r="AU84" i="45"/>
  <c r="BW84" i="45"/>
  <c r="AX77" i="45" a="1"/>
  <c r="AX77" i="45"/>
  <c r="BL77" i="45"/>
  <c r="BB84" i="45" a="1"/>
  <c r="BB84" i="45"/>
  <c r="BA80" i="45" a="1"/>
  <c r="BA80" i="45"/>
  <c r="CC80" i="45"/>
  <c r="AV80" i="45" a="1"/>
  <c r="AV80" i="45"/>
  <c r="BJ80" i="45"/>
  <c r="BH77" i="45" a="1"/>
  <c r="BH77" i="45"/>
  <c r="BV77" i="45"/>
  <c r="BA77" i="45" a="1"/>
  <c r="BA77" i="45"/>
  <c r="CC77" i="45"/>
  <c r="BD84" i="45" a="1"/>
  <c r="BD84" i="45"/>
  <c r="BR84" i="45"/>
  <c r="BA84" i="45" a="1"/>
  <c r="BA84" i="45"/>
  <c r="BO84" i="45"/>
  <c r="AZ78" i="45" a="1"/>
  <c r="AZ78" i="45"/>
  <c r="BN78" i="45"/>
  <c r="J78" i="45"/>
  <c r="BF77" i="45" a="1"/>
  <c r="BF77" i="45"/>
  <c r="CH77" i="45"/>
  <c r="AX98" i="45" a="1"/>
  <c r="AX98" i="45"/>
  <c r="AU82" i="45" a="1"/>
  <c r="AU82" i="45"/>
  <c r="BW82" i="45"/>
  <c r="BA79" i="45" a="1"/>
  <c r="BA79" i="45"/>
  <c r="BO79" i="45"/>
  <c r="AX79" i="45" a="1"/>
  <c r="AX79" i="45"/>
  <c r="BL79" i="45"/>
  <c r="BD82" i="45" a="1"/>
  <c r="BD82" i="45"/>
  <c r="BR82" i="45"/>
  <c r="BE78" i="45" a="1"/>
  <c r="BE78" i="45"/>
  <c r="BS78" i="45"/>
  <c r="BD78" i="45" a="1"/>
  <c r="BD78" i="45"/>
  <c r="BR78" i="45"/>
  <c r="BD98" i="45" a="1"/>
  <c r="BD98" i="45"/>
  <c r="BJ98" i="45" a="1"/>
  <c r="BJ98" i="45"/>
  <c r="BB79" i="45" a="1"/>
  <c r="BB79" i="45"/>
  <c r="CD79" i="45"/>
  <c r="BH79" i="45" a="1"/>
  <c r="BH79" i="45"/>
  <c r="BV79" i="45"/>
  <c r="AZ82" i="45" a="1"/>
  <c r="AZ82" i="45"/>
  <c r="CB82" i="45"/>
  <c r="BA78" i="45" a="1"/>
  <c r="BA78" i="45"/>
  <c r="CC78" i="45"/>
  <c r="BC78" i="45" a="1"/>
  <c r="BC78" i="45"/>
  <c r="CE78" i="45"/>
  <c r="BG82" i="45" a="1"/>
  <c r="BG82" i="45"/>
  <c r="BU82" i="45"/>
  <c r="BG78" i="45" a="1"/>
  <c r="BG78" i="45"/>
  <c r="BU78" i="45"/>
  <c r="BC98" i="45" a="1"/>
  <c r="BC98" i="45"/>
  <c r="BF98" i="45" a="1"/>
  <c r="BF98" i="45"/>
  <c r="BH98" i="45" a="1"/>
  <c r="BH98" i="45"/>
  <c r="AU79" i="45" a="1"/>
  <c r="AU79" i="45"/>
  <c r="BI79" i="45"/>
  <c r="I79" i="45"/>
  <c r="BC79" i="45" a="1"/>
  <c r="BC79" i="45"/>
  <c r="BQ79" i="45"/>
  <c r="AW79" i="45" a="1"/>
  <c r="AW79" i="45"/>
  <c r="BK79" i="45"/>
  <c r="BH82" i="45" a="1"/>
  <c r="BH82" i="45"/>
  <c r="CJ82" i="45"/>
  <c r="BA82" i="45" a="1"/>
  <c r="BA82" i="45"/>
  <c r="CC82" i="45"/>
  <c r="AY78" i="45" a="1"/>
  <c r="AY78" i="45"/>
  <c r="BM78" i="45"/>
  <c r="BB78" i="45" a="1"/>
  <c r="BB78" i="45"/>
  <c r="CD78" i="45"/>
  <c r="BF78" i="45" a="1"/>
  <c r="BF78" i="45"/>
  <c r="CH78" i="45"/>
  <c r="BE98" i="45" a="1"/>
  <c r="BE98" i="45"/>
  <c r="AZ98" i="45" a="1"/>
  <c r="AZ98" i="45"/>
  <c r="AY98" i="45" a="1"/>
  <c r="AY98" i="45"/>
  <c r="AU85" i="45" a="1"/>
  <c r="AU85" i="45"/>
  <c r="BW85" i="45"/>
  <c r="AZ85" i="45" a="1"/>
  <c r="AZ85" i="45"/>
  <c r="BN85" i="45"/>
  <c r="J85" i="45"/>
  <c r="AX76" i="45" a="1"/>
  <c r="AX76" i="45"/>
  <c r="BL76" i="45"/>
  <c r="BD86" i="45" a="1"/>
  <c r="BD86" i="45"/>
  <c r="BR86" i="45"/>
  <c r="AU86" i="45" a="1"/>
  <c r="AU86" i="45"/>
  <c r="BW86" i="45"/>
  <c r="BA85" i="45" a="1"/>
  <c r="BA85" i="45"/>
  <c r="CC85" i="45"/>
  <c r="AY76" i="45" a="1"/>
  <c r="AY76" i="45"/>
  <c r="BA86" i="45" a="1"/>
  <c r="BA86" i="45"/>
  <c r="BO86" i="45"/>
  <c r="BG85" i="45" a="1"/>
  <c r="BG85" i="45"/>
  <c r="BU85" i="45"/>
  <c r="BF76" i="45" a="1"/>
  <c r="BF76" i="45"/>
  <c r="CH76" i="45"/>
  <c r="BB85" i="45" a="1"/>
  <c r="BB85" i="45"/>
  <c r="BP85" i="45"/>
  <c r="BC85" i="45" a="1"/>
  <c r="BC85" i="45"/>
  <c r="BQ85" i="45"/>
  <c r="AY79" i="45" a="1"/>
  <c r="AY79" i="45"/>
  <c r="CA79" i="45"/>
  <c r="AZ79" i="45" a="1"/>
  <c r="AZ79" i="45"/>
  <c r="BN79" i="45"/>
  <c r="J79" i="45"/>
  <c r="BE79" i="45" a="1"/>
  <c r="BE79" i="45"/>
  <c r="BS79" i="45"/>
  <c r="AX82" i="45" a="1"/>
  <c r="AX82" i="45"/>
  <c r="BZ82" i="45"/>
  <c r="AV82" i="45" a="1"/>
  <c r="AV82" i="45"/>
  <c r="BX82" i="45"/>
  <c r="BA76" i="45" a="1"/>
  <c r="BA76" i="45"/>
  <c r="BO76" i="45"/>
  <c r="BC76" i="45" a="1"/>
  <c r="BC76" i="45"/>
  <c r="BQ76" i="45"/>
  <c r="AZ86" i="45" a="1"/>
  <c r="AZ86" i="45"/>
  <c r="BN86" i="45"/>
  <c r="J86" i="45"/>
  <c r="BH86" i="45" a="1"/>
  <c r="BH86" i="45"/>
  <c r="CJ86" i="45"/>
  <c r="AW86" i="45" a="1"/>
  <c r="AW86" i="45"/>
  <c r="BY86" i="45"/>
  <c r="AW78" i="45" a="1"/>
  <c r="AW78" i="45"/>
  <c r="BK78" i="45"/>
  <c r="BH78" i="45" a="1"/>
  <c r="BH78" i="45"/>
  <c r="CJ78" i="45"/>
  <c r="BF85" i="45" a="1"/>
  <c r="BF85" i="45"/>
  <c r="BT85" i="45"/>
  <c r="BF82" i="45" a="1"/>
  <c r="BF82" i="45"/>
  <c r="CH82" i="45"/>
  <c r="BK98" i="45" a="1"/>
  <c r="BK98" i="45"/>
  <c r="BI98" i="45" a="1"/>
  <c r="BI98" i="45"/>
  <c r="BA98" i="45" a="1"/>
  <c r="BA98" i="45"/>
  <c r="AU81" i="45" a="1"/>
  <c r="AU81" i="45"/>
  <c r="BI81" i="45"/>
  <c r="I81" i="45"/>
  <c r="AV83" i="45" a="1"/>
  <c r="AV83" i="45"/>
  <c r="BJ83" i="45"/>
  <c r="BB83" i="45" a="1"/>
  <c r="BB83" i="45"/>
  <c r="BP83" i="45"/>
  <c r="BC83" i="45" a="1"/>
  <c r="BC83" i="45"/>
  <c r="CE83" i="45"/>
  <c r="BE81" i="45" a="1"/>
  <c r="BE81" i="45"/>
  <c r="BS81" i="45"/>
  <c r="BH102" i="45" a="1"/>
  <c r="BH102" i="45"/>
  <c r="BH100" i="45" a="1"/>
  <c r="BH100" i="45"/>
  <c r="AW80" i="45" a="1"/>
  <c r="AW80" i="45"/>
  <c r="BY80" i="45"/>
  <c r="BE80" i="45" a="1"/>
  <c r="BE80" i="45"/>
  <c r="CG80" i="45"/>
  <c r="AZ100" i="45" a="1"/>
  <c r="AZ100" i="45"/>
  <c r="BB80" i="45" a="1"/>
  <c r="BB80" i="45"/>
  <c r="BP80" i="45"/>
  <c r="AX80" i="45" a="1"/>
  <c r="AX80" i="45"/>
  <c r="BZ80" i="45"/>
  <c r="BD80" i="45" a="1"/>
  <c r="BD80" i="45"/>
  <c r="BR80" i="45"/>
  <c r="BE85" i="45" a="1"/>
  <c r="BE85" i="45"/>
  <c r="CG85" i="45"/>
  <c r="BE77" i="45" a="1"/>
  <c r="BE77" i="45"/>
  <c r="CG77" i="45"/>
  <c r="BE82" i="45" a="1"/>
  <c r="BE82" i="45"/>
  <c r="BS82" i="45"/>
  <c r="BC82" i="45" a="1"/>
  <c r="BC82" i="45"/>
  <c r="CE82" i="45"/>
  <c r="BE76" i="45" a="1"/>
  <c r="BE76" i="45"/>
  <c r="BS76" i="45"/>
  <c r="BD76" i="45" a="1"/>
  <c r="BD76" i="45"/>
  <c r="AZ76" i="45" a="1"/>
  <c r="AZ76" i="45"/>
  <c r="BN76" i="45"/>
  <c r="J76" i="45"/>
  <c r="AZ84" i="45" a="1"/>
  <c r="AZ84" i="45"/>
  <c r="BN84" i="45"/>
  <c r="J84" i="45"/>
  <c r="AX84" i="45" a="1"/>
  <c r="AX84" i="45"/>
  <c r="BZ84" i="45"/>
  <c r="BG80" i="45" a="1"/>
  <c r="BG80" i="45"/>
  <c r="AY100" i="45" a="1"/>
  <c r="AY100" i="45"/>
  <c r="AZ80" i="45" a="1"/>
  <c r="AZ80" i="45"/>
  <c r="BN80" i="45"/>
  <c r="J80" i="45"/>
  <c r="EA98" i="45"/>
  <c r="AY102" i="45" a="1"/>
  <c r="AY102" i="45"/>
  <c r="BE102" i="45" a="1"/>
  <c r="BE102" i="45"/>
  <c r="BI102" i="45" a="1"/>
  <c r="BI102" i="45"/>
  <c r="BJ102" i="45" a="1"/>
  <c r="BJ102" i="45"/>
  <c r="BB102" i="45" a="1"/>
  <c r="BB102" i="45"/>
  <c r="AX97" i="45" a="1"/>
  <c r="AX97" i="45"/>
  <c r="AZ102" i="45" a="1"/>
  <c r="AZ102" i="45"/>
  <c r="BF102" i="45" a="1"/>
  <c r="BF102" i="45"/>
  <c r="BG102" i="45" a="1"/>
  <c r="BG102" i="45"/>
  <c r="BD102" i="45" a="1"/>
  <c r="BD102" i="45"/>
  <c r="BK102" i="45" a="1"/>
  <c r="BK102" i="45"/>
  <c r="EA102" i="45"/>
  <c r="DQ102" i="45"/>
  <c r="BK100" i="45" a="1"/>
  <c r="BK100" i="45"/>
  <c r="BJ100" i="45" a="1"/>
  <c r="BJ100" i="45"/>
  <c r="BA100" i="45" a="1"/>
  <c r="BA100" i="45"/>
  <c r="BI100" i="45" a="1"/>
  <c r="BI100" i="45"/>
  <c r="BJ97" i="45" a="1"/>
  <c r="BJ97" i="45"/>
  <c r="BD100" i="45" a="1"/>
  <c r="BD100" i="45"/>
  <c r="BE100" i="45" a="1"/>
  <c r="BE100" i="45"/>
  <c r="BF100" i="45" a="1"/>
  <c r="BF100" i="45"/>
  <c r="BE97" i="45" a="1"/>
  <c r="BE97" i="45"/>
  <c r="AX100" i="45" a="1"/>
  <c r="AX100" i="45"/>
  <c r="BC100" i="45" a="1"/>
  <c r="BC100" i="45"/>
  <c r="AV103" i="45"/>
  <c r="BC99" i="45" a="1"/>
  <c r="BC99" i="45"/>
  <c r="DY102" i="45"/>
  <c r="BK99" i="45" a="1"/>
  <c r="BK99" i="45"/>
  <c r="DX102" i="45"/>
  <c r="DY99" i="45"/>
  <c r="DV102" i="45"/>
  <c r="DR102" i="45"/>
  <c r="DZ102" i="45"/>
  <c r="DV99" i="45"/>
  <c r="DY100" i="45"/>
  <c r="DZ98" i="45"/>
  <c r="DX99" i="45"/>
  <c r="DS100" i="45"/>
  <c r="DW100" i="45"/>
  <c r="DT102" i="45"/>
  <c r="DU102" i="45"/>
  <c r="EA100" i="45"/>
  <c r="DS98" i="45"/>
  <c r="ED99" i="45"/>
  <c r="DU99" i="45"/>
  <c r="ED97" i="45"/>
  <c r="DW102" i="45"/>
  <c r="DV97" i="45"/>
  <c r="DS97" i="45"/>
  <c r="DZ99" i="45"/>
  <c r="DT100" i="45"/>
  <c r="BF97" i="45" a="1"/>
  <c r="BF97" i="45"/>
  <c r="DR99" i="45"/>
  <c r="DV98" i="45"/>
  <c r="DW99" i="45"/>
  <c r="DT97" i="45"/>
  <c r="DQ100" i="45"/>
  <c r="DR98" i="45"/>
  <c r="DW98" i="45"/>
  <c r="ED98" i="45"/>
  <c r="DU98" i="45"/>
  <c r="DT99" i="45"/>
  <c r="DQ99" i="45"/>
  <c r="DX100" i="45"/>
  <c r="DU100" i="45"/>
  <c r="BH99" i="45" a="1"/>
  <c r="BH99" i="45"/>
  <c r="BE99" i="45" a="1"/>
  <c r="BE99" i="45"/>
  <c r="AX99" i="45" a="1"/>
  <c r="AX99" i="45"/>
  <c r="BG99" i="45" a="1"/>
  <c r="BG99" i="45"/>
  <c r="DW97" i="45"/>
  <c r="BA99" i="45" a="1"/>
  <c r="BA99" i="45"/>
  <c r="AY99" i="45" a="1"/>
  <c r="AY99" i="45"/>
  <c r="BF99" i="45" a="1"/>
  <c r="BF99" i="45"/>
  <c r="DU97" i="45"/>
  <c r="AZ99" i="45" a="1"/>
  <c r="AZ99" i="45"/>
  <c r="BD99" i="45" a="1"/>
  <c r="BD99" i="45"/>
  <c r="BB99" i="45" a="1"/>
  <c r="BB99" i="45"/>
  <c r="DR100" i="45"/>
  <c r="DS99" i="45"/>
  <c r="EA99" i="45"/>
  <c r="ED100" i="45"/>
  <c r="EA97" i="45"/>
  <c r="DQ97" i="45"/>
  <c r="DY97" i="45"/>
  <c r="ED102" i="45"/>
  <c r="DT98" i="45"/>
  <c r="DY98" i="45"/>
  <c r="DQ98" i="45"/>
  <c r="DX98" i="45"/>
  <c r="DZ97" i="45"/>
  <c r="DS102" i="45"/>
  <c r="DX97" i="45"/>
  <c r="BG97" i="45" a="1"/>
  <c r="BG97" i="45"/>
  <c r="AZ97" i="45" a="1"/>
  <c r="AZ97" i="45"/>
  <c r="BI97" i="45" a="1"/>
  <c r="BI97" i="45"/>
  <c r="DV100" i="45"/>
  <c r="DR97" i="45"/>
  <c r="DZ100" i="45"/>
  <c r="DA101" i="45" a="1"/>
  <c r="DA101" i="45"/>
  <c r="DA103" i="45"/>
  <c r="DH101" i="45" a="1"/>
  <c r="DH101" i="45"/>
  <c r="DH103" i="45"/>
  <c r="BU101" i="45" a="1"/>
  <c r="BU101" i="45"/>
  <c r="CR101" i="45" a="1"/>
  <c r="CR101" i="45"/>
  <c r="CR103" i="45"/>
  <c r="BV101" i="45" a="1"/>
  <c r="BV101" i="45"/>
  <c r="CX101" i="45" a="1"/>
  <c r="CX101" i="45"/>
  <c r="CX103" i="45"/>
  <c r="BP101" i="45" a="1"/>
  <c r="BP101" i="45"/>
  <c r="BP103" i="45"/>
  <c r="CH101" i="45" a="1"/>
  <c r="CH101" i="45"/>
  <c r="CH103" i="45"/>
  <c r="CQ101" i="45" a="1"/>
  <c r="CQ101" i="45"/>
  <c r="CQ103" i="45"/>
  <c r="CD101" i="45" a="1"/>
  <c r="CD101" i="45"/>
  <c r="CD103" i="45"/>
  <c r="CS101" i="45" a="1"/>
  <c r="CS101" i="45"/>
  <c r="CS103" i="45"/>
  <c r="DP101" i="45" a="1"/>
  <c r="DP101" i="45"/>
  <c r="DP103" i="45"/>
  <c r="BS101" i="45" a="1"/>
  <c r="BS101" i="45"/>
  <c r="CI101" i="45" a="1"/>
  <c r="CI101" i="45"/>
  <c r="CI103" i="45"/>
  <c r="DL101" i="45" a="1"/>
  <c r="DL101" i="45"/>
  <c r="DL103" i="45"/>
  <c r="CB101" i="45" a="1"/>
  <c r="CB101" i="45"/>
  <c r="CB103" i="45"/>
  <c r="BX101" i="45" a="1"/>
  <c r="BX101" i="45"/>
  <c r="BX103" i="45"/>
  <c r="CT101" i="45" a="1"/>
  <c r="CT101" i="45"/>
  <c r="CT103" i="45"/>
  <c r="DG101" i="45" a="1"/>
  <c r="DG101" i="45"/>
  <c r="DG103" i="45"/>
  <c r="BO101" i="45" a="1"/>
  <c r="BO101" i="45"/>
  <c r="BO103" i="45"/>
  <c r="CG101" i="45" a="1"/>
  <c r="CG101" i="45"/>
  <c r="CG103" i="45"/>
  <c r="CO101" i="45" a="1"/>
  <c r="CO101" i="45"/>
  <c r="CO103" i="45"/>
  <c r="CV101" i="45" a="1"/>
  <c r="CV101" i="45"/>
  <c r="CV103" i="45"/>
  <c r="BM101" i="45" a="1"/>
  <c r="BM101" i="45"/>
  <c r="DF101" i="45" a="1"/>
  <c r="DF101" i="45"/>
  <c r="DF103" i="45"/>
  <c r="CA101" i="45" a="1"/>
  <c r="CA101" i="45"/>
  <c r="CA103" i="45"/>
  <c r="CP101" i="45" a="1"/>
  <c r="CP101" i="45"/>
  <c r="CP103" i="45"/>
  <c r="CJ101" i="45" a="1"/>
  <c r="CJ101" i="45"/>
  <c r="CJ103" i="45"/>
  <c r="BT101" i="45" a="1"/>
  <c r="BT101" i="45"/>
  <c r="DJ101" i="45" a="1"/>
  <c r="DJ101" i="45"/>
  <c r="DJ103" i="45"/>
  <c r="DI101" i="45" a="1"/>
  <c r="DI101" i="45"/>
  <c r="DI103" i="45"/>
  <c r="BZ101" i="45" a="1"/>
  <c r="BZ101" i="45"/>
  <c r="DM101" i="45" a="1"/>
  <c r="DM101" i="45"/>
  <c r="DM103" i="45"/>
  <c r="AU101" i="45"/>
  <c r="CW101" i="45" a="1"/>
  <c r="CW101" i="45"/>
  <c r="CW103" i="45"/>
  <c r="DD101" i="45" a="1"/>
  <c r="DD101" i="45"/>
  <c r="DD103" i="45"/>
  <c r="DN101" i="45" a="1"/>
  <c r="DN101" i="45"/>
  <c r="DN103" i="45"/>
  <c r="DO101" i="45" a="1"/>
  <c r="DO101" i="45"/>
  <c r="DO103" i="45"/>
  <c r="BY101" i="45" a="1"/>
  <c r="BY101" i="45"/>
  <c r="BY103" i="45"/>
  <c r="BR101" i="45" a="1"/>
  <c r="BR101" i="45"/>
  <c r="BQ101" i="45" a="1"/>
  <c r="BQ101" i="45"/>
  <c r="CM101" i="45" a="1"/>
  <c r="CM101" i="45"/>
  <c r="CM103" i="45"/>
  <c r="CY101" i="45" a="1"/>
  <c r="CY101" i="45"/>
  <c r="CY103" i="45"/>
  <c r="DB101" i="45" a="1"/>
  <c r="DB101" i="45"/>
  <c r="DB103" i="45"/>
  <c r="CZ101" i="45" a="1"/>
  <c r="CZ101" i="45"/>
  <c r="CZ103" i="45"/>
  <c r="BW101" i="45" a="1"/>
  <c r="BW101" i="45"/>
  <c r="DE101" i="45" a="1"/>
  <c r="DE101" i="45"/>
  <c r="DE103" i="45"/>
  <c r="CN101" i="45" a="1"/>
  <c r="CN101" i="45"/>
  <c r="CN103" i="45"/>
  <c r="CL101" i="45" a="1"/>
  <c r="CL101" i="45"/>
  <c r="CL103" i="45"/>
  <c r="BN101" i="45" a="1"/>
  <c r="BN101" i="45"/>
  <c r="DK101" i="45" a="1"/>
  <c r="DK101" i="45"/>
  <c r="DK103" i="45"/>
  <c r="DC101" i="45" a="1"/>
  <c r="DC101" i="45"/>
  <c r="DC103" i="45"/>
  <c r="CF101" i="45" a="1"/>
  <c r="CF101" i="45"/>
  <c r="CF103" i="45"/>
  <c r="CC101" i="45" a="1"/>
  <c r="CC101" i="45"/>
  <c r="CC103" i="45"/>
  <c r="CK101" i="45" a="1"/>
  <c r="CK101" i="45"/>
  <c r="CK103" i="45"/>
  <c r="CE101" i="45" a="1"/>
  <c r="CE101" i="45"/>
  <c r="CE103" i="45"/>
  <c r="CU101" i="45" a="1"/>
  <c r="CU101" i="45"/>
  <c r="CU103" i="45"/>
  <c r="BD97" i="45" a="1"/>
  <c r="BD97" i="45"/>
  <c r="AY97" i="45" a="1"/>
  <c r="AY97" i="45"/>
  <c r="BK97" i="45" a="1"/>
  <c r="BK97" i="45"/>
  <c r="AT104" i="45"/>
  <c r="BA97" i="45" a="1"/>
  <c r="BA97" i="45"/>
  <c r="BB97" i="45" a="1"/>
  <c r="BB97" i="45"/>
  <c r="BC97" i="45" a="1"/>
  <c r="BC97" i="45"/>
  <c r="BU81" i="45"/>
  <c r="CI81" i="45"/>
  <c r="BT83" i="45"/>
  <c r="CH83" i="45"/>
  <c r="BT80" i="45"/>
  <c r="CH80" i="45"/>
  <c r="BU86" i="45"/>
  <c r="CI86" i="45"/>
  <c r="BT81" i="45"/>
  <c r="CH81" i="45"/>
  <c r="BU84" i="45"/>
  <c r="CI84" i="45"/>
  <c r="BU79" i="45"/>
  <c r="CI79" i="45"/>
  <c r="BU76" i="45"/>
  <c r="CI76" i="45"/>
  <c r="BK81" i="45"/>
  <c r="BY81" i="45"/>
  <c r="BX80" i="45"/>
  <c r="BX79" i="45"/>
  <c r="BM81" i="45"/>
  <c r="CA81" i="45"/>
  <c r="CD81" i="45"/>
  <c r="BX81" i="45"/>
  <c r="CD76" i="45"/>
  <c r="BS86" i="45"/>
  <c r="CE86" i="45"/>
  <c r="BV85" i="45"/>
  <c r="CJ85" i="45"/>
  <c r="BM83" i="45"/>
  <c r="CA83" i="45"/>
  <c r="CB81" i="45"/>
  <c r="CJ81" i="45"/>
  <c r="BR77" i="45"/>
  <c r="CF77" i="45"/>
  <c r="BP82" i="45"/>
  <c r="CD82" i="45"/>
  <c r="BL78" i="45"/>
  <c r="BZ78" i="45"/>
  <c r="BZ85" i="45"/>
  <c r="CF79" i="45"/>
  <c r="BJ77" i="45"/>
  <c r="BK83" i="45"/>
  <c r="BY83" i="45"/>
  <c r="BL81" i="45"/>
  <c r="BZ81" i="45"/>
  <c r="BQ81" i="45"/>
  <c r="CE81" i="45"/>
  <c r="BX84" i="45"/>
  <c r="CA84" i="45"/>
  <c r="BI83" i="45"/>
  <c r="I83" i="45"/>
  <c r="BM82" i="45"/>
  <c r="CA82" i="45"/>
  <c r="BQ77" i="45"/>
  <c r="CE77" i="45"/>
  <c r="BX85" i="45"/>
  <c r="CD84" i="45"/>
  <c r="BP84" i="45"/>
  <c r="BO77" i="45"/>
  <c r="BM86" i="45"/>
  <c r="CA86" i="45"/>
  <c r="CH84" i="45"/>
  <c r="BW80" i="45"/>
  <c r="CE80" i="45"/>
  <c r="CC83" i="45"/>
  <c r="CD77" i="45"/>
  <c r="CG84" i="45"/>
  <c r="BI84" i="45"/>
  <c r="I84" i="45"/>
  <c r="BY77" i="45"/>
  <c r="CF83" i="45"/>
  <c r="CB83" i="45"/>
  <c r="CF85" i="45"/>
  <c r="CH79" i="45"/>
  <c r="CI83" i="45"/>
  <c r="BK84" i="45"/>
  <c r="BU77" i="45"/>
  <c r="BO78" i="45"/>
  <c r="BX76" i="45"/>
  <c r="BL83" i="45"/>
  <c r="BR81" i="45"/>
  <c r="BT78" i="45"/>
  <c r="BI76" i="45"/>
  <c r="I76" i="45"/>
  <c r="BI78" i="45"/>
  <c r="I78" i="45"/>
  <c r="BX78" i="45"/>
  <c r="BT77" i="45"/>
  <c r="BZ86" i="45"/>
  <c r="CA80" i="45"/>
  <c r="BY85" i="45"/>
  <c r="BV83" i="45"/>
  <c r="BZ79" i="45"/>
  <c r="BT82" i="45"/>
  <c r="BW79" i="45"/>
  <c r="BO82" i="45"/>
  <c r="CA78" i="45"/>
  <c r="BX83" i="45"/>
  <c r="CD86" i="45"/>
  <c r="CF84" i="45"/>
  <c r="BO80" i="45"/>
  <c r="CA85" i="45"/>
  <c r="BX86" i="45"/>
  <c r="CA77" i="45"/>
  <c r="BK82" i="45"/>
  <c r="BZ76" i="45"/>
  <c r="BV86" i="45"/>
  <c r="CE79" i="45"/>
  <c r="CJ80" i="45"/>
  <c r="BM79" i="45"/>
  <c r="BI86" i="45"/>
  <c r="I86" i="45"/>
  <c r="BJ82" i="45"/>
  <c r="BN77" i="45"/>
  <c r="J77" i="45"/>
  <c r="BI85" i="45"/>
  <c r="I85" i="45"/>
  <c r="BY76" i="45"/>
  <c r="BS83" i="45"/>
  <c r="CB78" i="45"/>
  <c r="CF78" i="45"/>
  <c r="BV84" i="45"/>
  <c r="CC79" i="45"/>
  <c r="CJ76" i="45"/>
  <c r="CI85" i="45"/>
  <c r="BW77" i="45"/>
  <c r="CE84" i="45"/>
  <c r="CH85" i="45"/>
  <c r="AV87" i="45"/>
  <c r="CJ77" i="45"/>
  <c r="CD83" i="45"/>
  <c r="CF86" i="45"/>
  <c r="BQ78" i="45"/>
  <c r="CG78" i="45"/>
  <c r="BP79" i="45"/>
  <c r="BK86" i="45"/>
  <c r="CC76" i="45"/>
  <c r="BO85" i="45"/>
  <c r="BT76" i="45"/>
  <c r="CB79" i="45"/>
  <c r="BN82" i="45"/>
  <c r="J82" i="45"/>
  <c r="BZ77" i="45"/>
  <c r="CC81" i="45"/>
  <c r="CC84" i="45"/>
  <c r="CH86" i="45"/>
  <c r="BV82" i="45"/>
  <c r="CB86" i="45"/>
  <c r="BL82" i="45"/>
  <c r="BP78" i="45"/>
  <c r="CJ79" i="45"/>
  <c r="CE76" i="45"/>
  <c r="BH87" i="45"/>
  <c r="BV87" i="45"/>
  <c r="BI82" i="45"/>
  <c r="I82" i="45"/>
  <c r="BV78" i="45"/>
  <c r="CC86" i="45"/>
  <c r="CE85" i="45"/>
  <c r="CI78" i="45"/>
  <c r="BF87" i="45"/>
  <c r="CH87" i="45"/>
  <c r="BA87" i="45"/>
  <c r="BO87" i="45"/>
  <c r="CD85" i="45"/>
  <c r="BG87" i="45"/>
  <c r="CI87" i="45"/>
  <c r="AY87" i="45"/>
  <c r="CA87" i="45"/>
  <c r="CG79" i="45"/>
  <c r="CA76" i="45"/>
  <c r="CF82" i="45"/>
  <c r="BM76" i="45"/>
  <c r="CI82" i="45"/>
  <c r="BY78" i="45"/>
  <c r="BY79" i="45"/>
  <c r="CB85" i="45"/>
  <c r="BQ83" i="45"/>
  <c r="CB76" i="45"/>
  <c r="CG81" i="45"/>
  <c r="CI80" i="45"/>
  <c r="CB80" i="45"/>
  <c r="BW81" i="45"/>
  <c r="CF80" i="45"/>
  <c r="AU87" i="45"/>
  <c r="BW87" i="45"/>
  <c r="CG82" i="45"/>
  <c r="BS80" i="45"/>
  <c r="AW87" i="45"/>
  <c r="BK87" i="45"/>
  <c r="BL80" i="45"/>
  <c r="BK80" i="45"/>
  <c r="BS77" i="45"/>
  <c r="CG76" i="45"/>
  <c r="BS85" i="45"/>
  <c r="BD87" i="45"/>
  <c r="BR87" i="45"/>
  <c r="BB87" i="45"/>
  <c r="CD87" i="45"/>
  <c r="BU80" i="45"/>
  <c r="CD80" i="45"/>
  <c r="CF76" i="45"/>
  <c r="BR76" i="45"/>
  <c r="AX87" i="45"/>
  <c r="BZ87" i="45"/>
  <c r="BL84" i="45"/>
  <c r="AZ87" i="45"/>
  <c r="BN87" i="45"/>
  <c r="J87" i="45"/>
  <c r="CB84" i="45"/>
  <c r="BE87" i="45"/>
  <c r="BS87" i="45"/>
  <c r="BQ82" i="45"/>
  <c r="BC87" i="45"/>
  <c r="BQ87" i="45"/>
  <c r="BY108" i="45"/>
  <c r="BO108" i="45"/>
  <c r="BX108" i="45"/>
  <c r="BP108" i="45"/>
  <c r="DU101" i="45"/>
  <c r="DU103" i="45"/>
  <c r="BQ103" i="45"/>
  <c r="BQ108" i="45"/>
  <c r="DX101" i="45"/>
  <c r="DX103" i="45"/>
  <c r="BT103" i="45"/>
  <c r="BT108" i="45"/>
  <c r="DV101" i="45"/>
  <c r="DV103" i="45"/>
  <c r="BR103" i="45"/>
  <c r="BR108" i="45"/>
  <c r="BZ103" i="45"/>
  <c r="BZ108" i="45"/>
  <c r="ED101" i="45"/>
  <c r="ED103" i="45"/>
  <c r="DQ101" i="45"/>
  <c r="DQ103" i="45"/>
  <c r="BM103" i="45"/>
  <c r="BM108" i="45"/>
  <c r="DS101" i="45"/>
  <c r="DS103" i="45"/>
  <c r="DW101" i="45"/>
  <c r="DW103" i="45"/>
  <c r="DZ101" i="45"/>
  <c r="DZ103" i="45"/>
  <c r="BV103" i="45"/>
  <c r="BV108" i="45"/>
  <c r="BS103" i="45"/>
  <c r="BS108" i="45"/>
  <c r="DT101" i="45"/>
  <c r="DT103" i="45"/>
  <c r="DY101" i="45"/>
  <c r="DY103" i="45"/>
  <c r="BU103" i="45"/>
  <c r="BU108" i="45"/>
  <c r="DR101" i="45"/>
  <c r="DR103" i="45"/>
  <c r="BN103" i="45"/>
  <c r="BN108" i="45"/>
  <c r="EA101" i="45"/>
  <c r="EA103" i="45"/>
  <c r="BW103" i="45"/>
  <c r="BW108" i="45"/>
  <c r="BI101" i="45" a="1"/>
  <c r="BI101" i="45"/>
  <c r="BI103" i="45"/>
  <c r="AX101" i="45" a="1"/>
  <c r="AX101" i="45"/>
  <c r="AX103" i="45"/>
  <c r="BG101" i="45" a="1"/>
  <c r="BG101" i="45"/>
  <c r="BG103" i="45"/>
  <c r="BC101" i="45" a="1"/>
  <c r="BC101" i="45"/>
  <c r="BC103" i="45"/>
  <c r="AY101" i="45" a="1"/>
  <c r="AY101" i="45"/>
  <c r="AY103" i="45"/>
  <c r="BK101" i="45" a="1"/>
  <c r="BK101" i="45"/>
  <c r="BK103" i="45"/>
  <c r="BD101" i="45" a="1"/>
  <c r="BD101" i="45"/>
  <c r="BD103" i="45"/>
  <c r="BF101" i="45" a="1"/>
  <c r="BF101" i="45"/>
  <c r="BF103" i="45"/>
  <c r="BE101" i="45" a="1"/>
  <c r="BE101" i="45"/>
  <c r="BE103" i="45"/>
  <c r="BH101" i="45" a="1"/>
  <c r="BH101" i="45"/>
  <c r="BH103" i="45"/>
  <c r="AZ101" i="45" a="1"/>
  <c r="AZ101" i="45"/>
  <c r="AZ103" i="45"/>
  <c r="BJ101" i="45" a="1"/>
  <c r="BJ101" i="45"/>
  <c r="BJ103" i="45"/>
  <c r="BB101" i="45" a="1"/>
  <c r="BB101" i="45"/>
  <c r="BB103" i="45"/>
  <c r="BA101" i="45" a="1"/>
  <c r="BA101" i="45"/>
  <c r="BA103" i="45"/>
  <c r="AU103" i="45"/>
  <c r="BJ87" i="45"/>
  <c r="BX87" i="45"/>
  <c r="BM87" i="45"/>
  <c r="CJ87" i="45"/>
  <c r="CC87" i="45"/>
  <c r="BT87" i="45"/>
  <c r="BU87" i="45"/>
  <c r="CF87" i="45"/>
  <c r="BI87" i="45"/>
  <c r="I87" i="45"/>
  <c r="BY87" i="45"/>
  <c r="BL87" i="45"/>
  <c r="BP87" i="45"/>
  <c r="CE87" i="45"/>
  <c r="CB87" i="45"/>
  <c r="CG87" i="45"/>
  <c r="DF104" i="45"/>
  <c r="CX104" i="45"/>
  <c r="CZ104" i="45"/>
  <c r="DA104" i="45"/>
  <c r="CY104" i="45"/>
  <c r="AJ58" i="34"/>
  <c r="AL58" i="34"/>
  <c r="AJ39" i="34"/>
  <c r="AJ35" i="34"/>
  <c r="AJ38" i="34"/>
  <c r="AJ37" i="34"/>
  <c r="AJ36" i="34"/>
  <c r="AL39" i="34"/>
  <c r="AK39" i="34"/>
  <c r="AN39" i="34" a="1"/>
  <c r="AN39" i="34"/>
  <c r="AL38" i="34"/>
  <c r="G39" i="34"/>
  <c r="AK38" i="34"/>
  <c r="AN38" i="34" a="1"/>
  <c r="AN38" i="34"/>
  <c r="AL35" i="34"/>
  <c r="AK35" i="34"/>
  <c r="AN35" i="34" a="1"/>
  <c r="AN35" i="34"/>
  <c r="AL37" i="34"/>
  <c r="AK37" i="34"/>
  <c r="AL36" i="34"/>
  <c r="AK36" i="34"/>
  <c r="AN36" i="34" a="1"/>
  <c r="AN36" i="34"/>
  <c r="E32" i="12"/>
  <c r="AP32" i="12"/>
  <c r="AT32" i="12"/>
  <c r="AN37" i="34" a="1"/>
  <c r="AN37" i="34"/>
  <c r="G36" i="34"/>
  <c r="G38" i="34"/>
  <c r="G35" i="34"/>
  <c r="G37" i="34"/>
  <c r="AV36" i="34" a="1"/>
  <c r="AV36" i="34"/>
  <c r="AW36" i="34" a="1"/>
  <c r="AW36" i="34"/>
  <c r="AP36" i="34" a="1"/>
  <c r="AP36" i="34"/>
  <c r="AT36" i="34" a="1"/>
  <c r="AT36" i="34"/>
  <c r="BA36" i="34" a="1"/>
  <c r="BA36" i="34"/>
  <c r="AO36" i="34" a="1"/>
  <c r="AO36" i="34"/>
  <c r="AU36" i="34" a="1"/>
  <c r="AU36" i="34"/>
  <c r="AQ36" i="34" a="1"/>
  <c r="AQ36" i="34"/>
  <c r="AS36" i="34" a="1"/>
  <c r="AS36" i="34"/>
  <c r="AX36" i="34" a="1"/>
  <c r="AX36" i="34"/>
  <c r="AY36" i="34" a="1"/>
  <c r="AY36" i="34"/>
  <c r="AR36" i="34" a="1"/>
  <c r="AR36" i="34"/>
  <c r="AZ36" i="34" a="1"/>
  <c r="AZ36" i="34"/>
  <c r="AX35" i="34" a="1"/>
  <c r="AX35" i="34"/>
  <c r="AV35" i="34" a="1"/>
  <c r="AV35" i="34"/>
  <c r="AY35" i="34" a="1"/>
  <c r="AY35" i="34"/>
  <c r="AO35" i="34" a="1"/>
  <c r="AO35" i="34"/>
  <c r="BA35" i="34" a="1"/>
  <c r="BA35" i="34"/>
  <c r="AR35" i="34" a="1"/>
  <c r="AR35" i="34"/>
  <c r="AQ35" i="34" a="1"/>
  <c r="AQ35" i="34"/>
  <c r="AW35" i="34" a="1"/>
  <c r="AW35" i="34"/>
  <c r="AS35" i="34" a="1"/>
  <c r="AS35" i="34"/>
  <c r="AZ35" i="34" a="1"/>
  <c r="AZ35" i="34"/>
  <c r="AT35" i="34" a="1"/>
  <c r="AT35" i="34"/>
  <c r="AP35" i="34" a="1"/>
  <c r="AP35" i="34"/>
  <c r="AU35" i="34" a="1"/>
  <c r="AU35" i="34"/>
  <c r="AP39" i="34" a="1"/>
  <c r="AP39" i="34"/>
  <c r="AO39" i="34" a="1"/>
  <c r="AO39" i="34"/>
  <c r="AZ39" i="34" a="1"/>
  <c r="AZ39" i="34"/>
  <c r="AY39" i="34" a="1"/>
  <c r="AY39" i="34"/>
  <c r="AT39" i="34" a="1"/>
  <c r="AT39" i="34"/>
  <c r="AS39" i="34" a="1"/>
  <c r="AS39" i="34"/>
  <c r="AR39" i="34" a="1"/>
  <c r="AR39" i="34"/>
  <c r="AQ39" i="34" a="1"/>
  <c r="AQ39" i="34"/>
  <c r="AV39" i="34" a="1"/>
  <c r="AV39" i="34"/>
  <c r="BA39" i="34" a="1"/>
  <c r="BA39" i="34"/>
  <c r="AW39" i="34" a="1"/>
  <c r="AW39" i="34"/>
  <c r="AU39" i="34" a="1"/>
  <c r="AU39" i="34"/>
  <c r="AX39" i="34" a="1"/>
  <c r="AX39" i="34"/>
  <c r="AQ37" i="34" a="1"/>
  <c r="AQ37" i="34"/>
  <c r="AZ37" i="34" a="1"/>
  <c r="AZ37" i="34"/>
  <c r="AT37" i="34" a="1"/>
  <c r="AT37" i="34"/>
  <c r="AV37" i="34" a="1"/>
  <c r="AV37" i="34"/>
  <c r="BA37" i="34" a="1"/>
  <c r="BA37" i="34"/>
  <c r="AO37" i="34" a="1"/>
  <c r="AO37" i="34"/>
  <c r="AW37" i="34" a="1"/>
  <c r="AW37" i="34"/>
  <c r="AX37" i="34" a="1"/>
  <c r="AX37" i="34"/>
  <c r="AR37" i="34" a="1"/>
  <c r="AR37" i="34"/>
  <c r="AU37" i="34" a="1"/>
  <c r="AU37" i="34"/>
  <c r="AP37" i="34" a="1"/>
  <c r="AP37" i="34"/>
  <c r="AS37" i="34" a="1"/>
  <c r="AS37" i="34"/>
  <c r="AY37" i="34" a="1"/>
  <c r="AY37" i="34"/>
  <c r="AU38" i="34" a="1"/>
  <c r="AU38" i="34"/>
  <c r="AV38" i="34" a="1"/>
  <c r="AV38" i="34"/>
  <c r="AZ38" i="34" a="1"/>
  <c r="AZ38" i="34"/>
  <c r="AO38" i="34" a="1"/>
  <c r="AO38" i="34"/>
  <c r="AX38" i="34" a="1"/>
  <c r="AX38" i="34"/>
  <c r="AY38" i="34" a="1"/>
  <c r="AY38" i="34"/>
  <c r="AT38" i="34" a="1"/>
  <c r="AT38" i="34"/>
  <c r="AQ38" i="34" a="1"/>
  <c r="AQ38" i="34"/>
  <c r="AP38" i="34" a="1"/>
  <c r="AP38" i="34"/>
  <c r="AR38" i="34" a="1"/>
  <c r="AR38" i="34"/>
  <c r="AS38" i="34" a="1"/>
  <c r="AS38" i="34"/>
  <c r="BA38" i="34" a="1"/>
  <c r="BA38" i="34"/>
  <c r="AW38" i="34" a="1"/>
  <c r="AW38" i="34"/>
  <c r="AV32" i="12"/>
  <c r="G32" i="12"/>
  <c r="G68" i="12"/>
  <c r="AU32" i="12"/>
  <c r="AU68" i="12"/>
  <c r="AT68" i="12"/>
  <c r="BA34" i="34"/>
  <c r="BA58" i="34"/>
  <c r="AZ34" i="34"/>
  <c r="AZ58" i="34"/>
  <c r="AR34" i="34"/>
  <c r="AR58" i="34"/>
  <c r="AT34" i="34"/>
  <c r="AT58" i="34"/>
  <c r="AQ34" i="34"/>
  <c r="AQ58" i="34"/>
  <c r="AY34" i="34"/>
  <c r="AY58" i="34"/>
  <c r="AV34" i="34"/>
  <c r="AV58" i="34"/>
  <c r="AU34" i="34"/>
  <c r="AU58" i="34"/>
  <c r="AS34" i="34"/>
  <c r="AS58" i="34"/>
  <c r="AX34" i="34"/>
  <c r="AX58" i="34"/>
  <c r="AP34" i="34"/>
  <c r="AP58" i="34"/>
  <c r="AW34" i="34"/>
  <c r="AW58" i="34"/>
  <c r="AO34" i="34"/>
  <c r="AO58" i="34"/>
  <c r="I32" i="12"/>
  <c r="I40" i="12"/>
  <c r="I38" i="12"/>
  <c r="I98" i="12"/>
  <c r="I57" i="12"/>
  <c r="I37" i="12"/>
  <c r="I44" i="12"/>
  <c r="I47" i="12"/>
  <c r="I99" i="12"/>
  <c r="I61" i="12"/>
  <c r="I51" i="12"/>
  <c r="I65" i="12"/>
  <c r="I60" i="12"/>
  <c r="I48" i="12"/>
  <c r="I39" i="12"/>
  <c r="I46" i="12"/>
  <c r="I97" i="12"/>
  <c r="I41" i="12"/>
  <c r="I43" i="12"/>
  <c r="I33" i="12"/>
  <c r="I101" i="12"/>
  <c r="I49" i="12"/>
  <c r="I42" i="12"/>
  <c r="I50" i="12"/>
  <c r="I56" i="12"/>
  <c r="I100" i="12"/>
  <c r="I53" i="12"/>
  <c r="I55" i="12"/>
  <c r="I54" i="12"/>
  <c r="I64" i="12"/>
  <c r="I34" i="12"/>
  <c r="I102" i="12"/>
  <c r="I58" i="12"/>
  <c r="I30" i="12"/>
  <c r="I45" i="12"/>
  <c r="I31" i="12"/>
  <c r="I52" i="12"/>
  <c r="I62" i="12"/>
  <c r="I35" i="12"/>
  <c r="I59" i="12"/>
  <c r="I36" i="12"/>
  <c r="I63" i="12"/>
  <c r="U58" i="34"/>
  <c r="AN34" i="34"/>
  <c r="AN58" i="34"/>
  <c r="L32" i="12"/>
  <c r="S58" i="34"/>
  <c r="M32" i="12"/>
  <c r="R58" i="34"/>
  <c r="T58" i="34"/>
  <c r="K32" i="12"/>
  <c r="BK32" i="45"/>
  <c r="BK68" i="45"/>
  <c r="BJ32" i="12"/>
  <c r="BJ68" i="12"/>
  <c r="BI32" i="12"/>
  <c r="J32" i="12"/>
  <c r="BD32" i="12"/>
  <c r="BD68" i="12"/>
  <c r="BA32" i="12"/>
  <c r="BA68" i="12"/>
  <c r="AX32" i="12"/>
  <c r="BF32" i="12"/>
  <c r="BF68" i="12"/>
  <c r="AZ32" i="12"/>
  <c r="AZ68" i="12"/>
  <c r="AY32" i="12"/>
  <c r="AY68" i="12"/>
  <c r="BG32" i="12"/>
  <c r="BG68" i="12"/>
  <c r="BC32" i="12"/>
  <c r="BB32" i="12"/>
  <c r="BB68" i="12"/>
  <c r="BK32" i="12"/>
  <c r="BK68" i="12"/>
  <c r="BE32" i="12"/>
  <c r="BE68" i="12"/>
  <c r="BH32" i="12"/>
  <c r="BH68" i="12"/>
  <c r="BC32" i="45"/>
  <c r="BC68" i="45"/>
  <c r="AY32" i="45"/>
  <c r="AY68" i="45"/>
  <c r="BF32" i="45"/>
  <c r="BF68" i="45"/>
  <c r="BA32" i="45"/>
  <c r="BA68" i="45"/>
  <c r="BH32" i="45"/>
  <c r="BH68" i="45"/>
  <c r="BJ32" i="45"/>
  <c r="BJ68" i="45"/>
  <c r="BB32" i="45"/>
  <c r="BB68" i="45"/>
  <c r="BG32" i="45"/>
  <c r="BG68" i="45"/>
  <c r="AZ32" i="45"/>
  <c r="AZ68" i="45"/>
  <c r="AX32" i="45"/>
  <c r="AX68" i="45"/>
  <c r="BD32" i="45"/>
  <c r="BD68" i="45"/>
  <c r="BE32" i="45"/>
  <c r="BE68" i="45"/>
  <c r="BI32" i="45"/>
  <c r="BI68" i="45"/>
  <c r="BI68" i="12"/>
  <c r="AN344" i="47"/>
  <c r="G344" i="47"/>
  <c r="G344" i="9"/>
  <c r="AN343" i="47"/>
  <c r="AD343" i="47"/>
  <c r="AD344" i="47"/>
  <c r="D344" i="47"/>
  <c r="D344" i="9"/>
  <c r="BC68" i="12"/>
  <c r="CB5" i="12"/>
  <c r="AN225" i="47"/>
  <c r="AD225" i="47"/>
  <c r="AX68" i="12"/>
  <c r="CB4" i="12"/>
  <c r="AN110" i="47"/>
  <c r="AD110" i="47"/>
  <c r="B32" i="12"/>
  <c r="Y32" i="45"/>
  <c r="AD32" i="45"/>
  <c r="AK32" i="45"/>
  <c r="E64" i="47"/>
  <c r="E64" i="9"/>
  <c r="D64" i="47"/>
  <c r="D64" i="9"/>
  <c r="D178" i="47"/>
  <c r="D178" i="9"/>
  <c r="E178" i="47"/>
  <c r="E178" i="9"/>
  <c r="G225" i="47"/>
  <c r="AN258" i="47"/>
  <c r="D225" i="47"/>
  <c r="AD258" i="47"/>
  <c r="AD259" i="47"/>
  <c r="D343" i="47"/>
  <c r="AD376" i="47"/>
  <c r="D110" i="47"/>
  <c r="AD143" i="47"/>
  <c r="AD144" i="47"/>
  <c r="G110" i="47"/>
  <c r="AN143" i="47"/>
  <c r="G343" i="47"/>
  <c r="AN376" i="47"/>
  <c r="AC32" i="12"/>
  <c r="AJ32" i="12"/>
  <c r="AD32" i="12"/>
  <c r="AK32" i="12"/>
  <c r="AB32" i="12"/>
  <c r="AI32" i="12"/>
  <c r="AA32" i="12"/>
  <c r="AH32" i="12"/>
  <c r="AB32" i="45"/>
  <c r="AI32" i="45"/>
  <c r="CL32" i="45" a="1"/>
  <c r="CL32" i="45"/>
  <c r="AC32" i="45"/>
  <c r="AJ32" i="45"/>
  <c r="CN32" i="45" a="1"/>
  <c r="CN32" i="45"/>
  <c r="AA32" i="45"/>
  <c r="AH32" i="45"/>
  <c r="BU32" i="45" a="1"/>
  <c r="BU32" i="45"/>
  <c r="D225" i="9"/>
  <c r="D258" i="47"/>
  <c r="G343" i="9"/>
  <c r="G376" i="47"/>
  <c r="G376" i="9"/>
  <c r="D110" i="9"/>
  <c r="D143" i="47"/>
  <c r="G110" i="9"/>
  <c r="G143" i="47"/>
  <c r="G143" i="9"/>
  <c r="D343" i="9"/>
  <c r="D376" i="47"/>
  <c r="G225" i="9"/>
  <c r="G258" i="47"/>
  <c r="G258" i="9"/>
  <c r="DM32" i="45" a="1"/>
  <c r="DM32" i="45"/>
  <c r="DL32" i="45" a="1"/>
  <c r="DL32" i="45"/>
  <c r="BX32" i="12" a="1"/>
  <c r="BX32" i="12"/>
  <c r="BY32" i="12" a="1"/>
  <c r="BY32" i="12"/>
  <c r="CL32" i="12" a="1"/>
  <c r="CL32" i="12"/>
  <c r="CM32" i="12" a="1"/>
  <c r="CM32" i="12"/>
  <c r="DN32" i="12" a="1"/>
  <c r="DN32" i="12"/>
  <c r="DO32" i="12" a="1"/>
  <c r="DO32" i="12"/>
  <c r="CZ32" i="12" a="1"/>
  <c r="CZ32" i="12"/>
  <c r="DA32" i="12" a="1"/>
  <c r="DA32" i="12"/>
  <c r="CZ32" i="45" a="1"/>
  <c r="CZ32" i="45"/>
  <c r="DF32" i="45" a="1"/>
  <c r="DF32" i="45"/>
  <c r="DI32" i="45" a="1"/>
  <c r="DI32" i="45"/>
  <c r="DH32" i="45" a="1"/>
  <c r="DH32" i="45"/>
  <c r="DK32" i="45" a="1"/>
  <c r="DK32" i="45"/>
  <c r="DJ32" i="45" a="1"/>
  <c r="DJ32" i="45"/>
  <c r="DG32" i="45" a="1"/>
  <c r="DG32" i="45"/>
  <c r="DN32" i="45" a="1"/>
  <c r="DN32" i="45"/>
  <c r="DE32" i="45" a="1"/>
  <c r="DE32" i="45"/>
  <c r="DC32" i="45" a="1"/>
  <c r="DC32" i="45"/>
  <c r="DB32" i="45" a="1"/>
  <c r="DB32" i="45"/>
  <c r="DA32" i="45" a="1"/>
  <c r="DA32" i="45"/>
  <c r="DD32" i="45" a="1"/>
  <c r="DD32" i="45"/>
  <c r="CN32" i="12" a="1"/>
  <c r="CN32" i="12"/>
  <c r="CK32" i="12" a="1"/>
  <c r="CK32" i="12"/>
  <c r="CH32" i="12" a="1"/>
  <c r="CH32" i="12"/>
  <c r="CJ32" i="12" a="1"/>
  <c r="CJ32" i="12"/>
  <c r="CC32" i="12" a="1"/>
  <c r="CC32" i="12"/>
  <c r="CB32" i="12" a="1"/>
  <c r="CB32" i="12"/>
  <c r="CD32" i="12" a="1"/>
  <c r="CD32" i="12"/>
  <c r="CG32" i="12" a="1"/>
  <c r="CG32" i="12"/>
  <c r="CE32" i="12" a="1"/>
  <c r="CE32" i="12"/>
  <c r="CI32" i="12" a="1"/>
  <c r="CI32" i="12"/>
  <c r="DL32" i="12" a="1"/>
  <c r="DL32" i="12"/>
  <c r="DI32" i="12" a="1"/>
  <c r="DI32" i="12"/>
  <c r="DM32" i="12" a="1"/>
  <c r="DM32" i="12"/>
  <c r="DE32" i="12" a="1"/>
  <c r="DE32" i="12"/>
  <c r="DK32" i="12" a="1"/>
  <c r="DK32" i="12"/>
  <c r="DF32" i="12" a="1"/>
  <c r="DF32" i="12"/>
  <c r="DD32" i="12" a="1"/>
  <c r="DD32" i="12"/>
  <c r="DJ32" i="12" a="1"/>
  <c r="DJ32" i="12"/>
  <c r="DG32" i="12" a="1"/>
  <c r="DG32" i="12"/>
  <c r="BW32" i="12" a="1"/>
  <c r="BW32" i="12"/>
  <c r="BV32" i="12" a="1"/>
  <c r="BV32" i="12"/>
  <c r="BS32" i="12" a="1"/>
  <c r="BS32" i="12"/>
  <c r="BQ32" i="12" a="1"/>
  <c r="BQ32" i="12"/>
  <c r="BO32" i="12" a="1"/>
  <c r="BO32" i="12"/>
  <c r="BN32" i="12" a="1"/>
  <c r="BN32" i="12"/>
  <c r="BU32" i="12" a="1"/>
  <c r="BU32" i="12"/>
  <c r="BT32" i="12" a="1"/>
  <c r="BT32" i="12"/>
  <c r="BP32" i="12" a="1"/>
  <c r="BP32" i="12"/>
  <c r="CO32" i="12" a="1"/>
  <c r="CO32" i="12"/>
  <c r="CQ32" i="12" a="1"/>
  <c r="CQ32" i="12"/>
  <c r="CS32" i="12" a="1"/>
  <c r="CS32" i="12"/>
  <c r="CW32" i="12" a="1"/>
  <c r="CW32" i="12"/>
  <c r="CR32" i="12" a="1"/>
  <c r="CR32" i="12"/>
  <c r="CP32" i="12" a="1"/>
  <c r="CP32" i="12"/>
  <c r="CY32" i="12" a="1"/>
  <c r="CY32" i="12"/>
  <c r="CU32" i="12" a="1"/>
  <c r="CU32" i="12"/>
  <c r="CX32" i="12" a="1"/>
  <c r="CX32" i="12"/>
  <c r="CV32" i="12" a="1"/>
  <c r="CV32" i="12"/>
  <c r="BM32" i="12" a="1"/>
  <c r="BM32" i="12"/>
  <c r="BZ32" i="12" a="1"/>
  <c r="BZ32" i="12"/>
  <c r="BR32" i="12" a="1"/>
  <c r="BR32" i="12"/>
  <c r="DP32" i="12" a="1"/>
  <c r="DP32" i="12"/>
  <c r="DC32" i="12" a="1"/>
  <c r="DC32" i="12"/>
  <c r="DH32" i="12" a="1"/>
  <c r="DH32" i="12"/>
  <c r="CA32" i="12" a="1"/>
  <c r="CA32" i="12"/>
  <c r="CF32" i="12" a="1"/>
  <c r="CF32" i="12"/>
  <c r="CT32" i="12" a="1"/>
  <c r="CT32" i="12"/>
  <c r="DB32" i="12" a="1"/>
  <c r="DB32" i="12"/>
  <c r="CV32" i="45" a="1"/>
  <c r="CV32" i="45"/>
  <c r="CD32" i="45" a="1"/>
  <c r="CD32" i="45"/>
  <c r="CR32" i="45" a="1"/>
  <c r="CR32" i="45"/>
  <c r="CX32" i="45" a="1"/>
  <c r="CX32" i="45"/>
  <c r="CC32" i="45" a="1"/>
  <c r="CC32" i="45"/>
  <c r="CH32" i="45" a="1"/>
  <c r="CH32" i="45"/>
  <c r="CG32" i="45" a="1"/>
  <c r="CG32" i="45"/>
  <c r="CA32" i="45" a="1"/>
  <c r="CA32" i="45"/>
  <c r="CI32" i="45" a="1"/>
  <c r="CI32" i="45"/>
  <c r="CB32" i="45" a="1"/>
  <c r="CB32" i="45"/>
  <c r="CJ32" i="45" a="1"/>
  <c r="CJ32" i="45"/>
  <c r="CK32" i="45" a="1"/>
  <c r="CK32" i="45"/>
  <c r="CE32" i="45" a="1"/>
  <c r="CE32" i="45"/>
  <c r="CF32" i="45" a="1"/>
  <c r="CF32" i="45"/>
  <c r="CU32" i="45" a="1"/>
  <c r="CU32" i="45"/>
  <c r="CT32" i="45" a="1"/>
  <c r="CT32" i="45"/>
  <c r="CM32" i="45" a="1"/>
  <c r="CM32" i="45"/>
  <c r="CY32" i="45" a="1"/>
  <c r="CY32" i="45"/>
  <c r="CP32" i="45" a="1"/>
  <c r="CP32" i="45"/>
  <c r="CQ32" i="45" a="1"/>
  <c r="CQ32" i="45"/>
  <c r="CW32" i="45" a="1"/>
  <c r="CW32" i="45"/>
  <c r="CS32" i="45" a="1"/>
  <c r="CS32" i="45"/>
  <c r="CO32" i="45" a="1"/>
  <c r="CO32" i="45"/>
  <c r="BR32" i="45" a="1"/>
  <c r="BR32" i="45"/>
  <c r="BV32" i="45" a="1"/>
  <c r="BV32" i="45"/>
  <c r="BT32" i="45" a="1"/>
  <c r="BT32" i="45"/>
  <c r="BM32" i="45" a="1"/>
  <c r="BM32" i="45"/>
  <c r="BO32" i="45" a="1"/>
  <c r="BO32" i="45"/>
  <c r="BX32" i="45" a="1"/>
  <c r="BX32" i="45"/>
  <c r="BS32" i="45" a="1"/>
  <c r="BS32" i="45"/>
  <c r="BP32" i="45" a="1"/>
  <c r="BP32" i="45"/>
  <c r="BW32" i="45" a="1"/>
  <c r="BW32" i="45"/>
  <c r="BZ32" i="45" a="1"/>
  <c r="BZ32" i="45"/>
  <c r="EB32" i="45"/>
  <c r="BY32" i="45" a="1"/>
  <c r="BY32" i="45"/>
  <c r="BQ32" i="45" a="1"/>
  <c r="BQ32" i="45"/>
  <c r="BN32" i="45" a="1"/>
  <c r="BN32" i="45"/>
  <c r="J368" i="47"/>
  <c r="J368" i="9"/>
  <c r="J366" i="47"/>
  <c r="J366" i="9"/>
  <c r="J365" i="47"/>
  <c r="J365" i="9"/>
  <c r="J346" i="47"/>
  <c r="J346" i="9"/>
  <c r="J351" i="47"/>
  <c r="J351" i="9"/>
  <c r="J358" i="47"/>
  <c r="J358" i="9"/>
  <c r="J353" i="47"/>
  <c r="J353" i="9"/>
  <c r="J363" i="47"/>
  <c r="J363" i="9"/>
  <c r="J370" i="47"/>
  <c r="J370" i="9"/>
  <c r="J359" i="47"/>
  <c r="J359" i="9"/>
  <c r="J360" i="47"/>
  <c r="J360" i="9"/>
  <c r="J356" i="47"/>
  <c r="J356" i="9"/>
  <c r="J341" i="47"/>
  <c r="J348" i="47"/>
  <c r="J348" i="9"/>
  <c r="J373" i="47"/>
  <c r="J373" i="9"/>
  <c r="J372" i="47"/>
  <c r="J372" i="9"/>
  <c r="J364" i="47"/>
  <c r="J364" i="9"/>
  <c r="J352" i="47"/>
  <c r="J352" i="9"/>
  <c r="J343" i="47"/>
  <c r="J343" i="9"/>
  <c r="J344" i="47"/>
  <c r="J344" i="9"/>
  <c r="J354" i="47"/>
  <c r="J354" i="9"/>
  <c r="J361" i="47"/>
  <c r="J361" i="9"/>
  <c r="J345" i="47"/>
  <c r="J345" i="9"/>
  <c r="D376" i="9"/>
  <c r="J369" i="47"/>
  <c r="J369" i="9"/>
  <c r="J374" i="47"/>
  <c r="J374" i="9"/>
  <c r="J357" i="47"/>
  <c r="J357" i="9"/>
  <c r="J367" i="47"/>
  <c r="J367" i="9"/>
  <c r="J342" i="47"/>
  <c r="J342" i="9"/>
  <c r="J349" i="47"/>
  <c r="J349" i="9"/>
  <c r="J371" i="47"/>
  <c r="J371" i="9"/>
  <c r="J355" i="47"/>
  <c r="J355" i="9"/>
  <c r="J350" i="47"/>
  <c r="J350" i="9"/>
  <c r="J347" i="47"/>
  <c r="J347" i="9"/>
  <c r="J362" i="47"/>
  <c r="J362" i="9"/>
  <c r="J375" i="47"/>
  <c r="J375" i="9"/>
  <c r="J113" i="47"/>
  <c r="J113" i="9"/>
  <c r="J112" i="47"/>
  <c r="J112" i="9"/>
  <c r="J131" i="47"/>
  <c r="J131" i="9"/>
  <c r="J122" i="47"/>
  <c r="J122" i="9"/>
  <c r="J114" i="47"/>
  <c r="J114" i="9"/>
  <c r="J126" i="47"/>
  <c r="J126" i="9"/>
  <c r="J140" i="47"/>
  <c r="J140" i="9"/>
  <c r="J110" i="47"/>
  <c r="J110" i="9"/>
  <c r="J129" i="47"/>
  <c r="J129" i="9"/>
  <c r="J130" i="47"/>
  <c r="J130" i="9"/>
  <c r="J109" i="47"/>
  <c r="J109" i="9"/>
  <c r="J125" i="47"/>
  <c r="J125" i="9"/>
  <c r="J124" i="47"/>
  <c r="J124" i="9"/>
  <c r="J120" i="47"/>
  <c r="J120" i="9"/>
  <c r="J132" i="47"/>
  <c r="J132" i="9"/>
  <c r="J108" i="47"/>
  <c r="J135" i="47"/>
  <c r="J135" i="9"/>
  <c r="J136" i="47"/>
  <c r="J136" i="9"/>
  <c r="J115" i="47"/>
  <c r="J115" i="9"/>
  <c r="J139" i="47"/>
  <c r="J139" i="9"/>
  <c r="J128" i="47"/>
  <c r="J128" i="9"/>
  <c r="J111" i="47"/>
  <c r="J111" i="9"/>
  <c r="J138" i="47"/>
  <c r="J138" i="9"/>
  <c r="J117" i="47"/>
  <c r="J117" i="9"/>
  <c r="J123" i="47"/>
  <c r="J123" i="9"/>
  <c r="J127" i="47"/>
  <c r="J127" i="9"/>
  <c r="J137" i="47"/>
  <c r="J137" i="9"/>
  <c r="J121" i="47"/>
  <c r="J121" i="9"/>
  <c r="D143" i="9"/>
  <c r="J133" i="47"/>
  <c r="J133" i="9"/>
  <c r="J119" i="47"/>
  <c r="J119" i="9"/>
  <c r="J141" i="47"/>
  <c r="J141" i="9"/>
  <c r="J142" i="47"/>
  <c r="J142" i="9"/>
  <c r="J116" i="47"/>
  <c r="J116" i="9"/>
  <c r="J134" i="47"/>
  <c r="J134" i="9"/>
  <c r="J118" i="47"/>
  <c r="J118" i="9"/>
  <c r="J225" i="47"/>
  <c r="J225" i="9"/>
  <c r="D258" i="9"/>
  <c r="J237" i="47"/>
  <c r="J237" i="9"/>
  <c r="J254" i="47"/>
  <c r="J254" i="9"/>
  <c r="J231" i="47"/>
  <c r="J231" i="9"/>
  <c r="J238" i="47"/>
  <c r="J238" i="9"/>
  <c r="J228" i="47"/>
  <c r="J228" i="9"/>
  <c r="J256" i="47"/>
  <c r="J256" i="9"/>
  <c r="J241" i="47"/>
  <c r="J241" i="9"/>
  <c r="J226" i="47"/>
  <c r="J226" i="9"/>
  <c r="J244" i="47"/>
  <c r="J244" i="9"/>
  <c r="J247" i="47"/>
  <c r="J247" i="9"/>
  <c r="J229" i="47"/>
  <c r="J229" i="9"/>
  <c r="J246" i="47"/>
  <c r="J246" i="9"/>
  <c r="J236" i="47"/>
  <c r="J236" i="9"/>
  <c r="J227" i="47"/>
  <c r="J227" i="9"/>
  <c r="J249" i="47"/>
  <c r="J249" i="9"/>
  <c r="J245" i="47"/>
  <c r="J245" i="9"/>
  <c r="J230" i="47"/>
  <c r="J230" i="9"/>
  <c r="J252" i="47"/>
  <c r="J252" i="9"/>
  <c r="J224" i="47"/>
  <c r="J224" i="9"/>
  <c r="J242" i="47"/>
  <c r="J242" i="9"/>
  <c r="J234" i="47"/>
  <c r="J234" i="9"/>
  <c r="J243" i="47"/>
  <c r="J243" i="9"/>
  <c r="J240" i="47"/>
  <c r="J240" i="9"/>
  <c r="J223" i="47"/>
  <c r="J253" i="47"/>
  <c r="J253" i="9"/>
  <c r="J239" i="47"/>
  <c r="J239" i="9"/>
  <c r="J233" i="47"/>
  <c r="J233" i="9"/>
  <c r="J250" i="47"/>
  <c r="J250" i="9"/>
  <c r="J248" i="47"/>
  <c r="J248" i="9"/>
  <c r="J232" i="47"/>
  <c r="J232" i="9"/>
  <c r="J255" i="47"/>
  <c r="J255" i="9"/>
  <c r="J251" i="47"/>
  <c r="J251" i="9"/>
  <c r="J235" i="47"/>
  <c r="J235" i="9"/>
  <c r="J257" i="47"/>
  <c r="J257" i="9"/>
  <c r="EC32" i="12"/>
  <c r="EB32" i="12"/>
  <c r="EA32" i="12"/>
  <c r="DT32" i="12"/>
  <c r="DS32" i="12"/>
  <c r="DX32" i="12"/>
  <c r="DU32" i="12"/>
  <c r="DY32" i="12"/>
  <c r="DW32" i="12"/>
  <c r="DR32" i="12"/>
  <c r="DZ32" i="12"/>
  <c r="ED32" i="12"/>
  <c r="DV32" i="12"/>
  <c r="DQ32" i="12"/>
  <c r="B31" i="12"/>
  <c r="DW32" i="45"/>
  <c r="DZ32" i="45"/>
  <c r="DX32" i="45"/>
  <c r="DU32" i="45"/>
  <c r="DT32" i="45"/>
  <c r="DP32" i="45"/>
  <c r="DS32" i="45"/>
  <c r="DV32" i="45"/>
  <c r="DR32" i="45"/>
  <c r="DQ32" i="45"/>
  <c r="EA32" i="45"/>
  <c r="DY32" i="45"/>
  <c r="DO32" i="45"/>
  <c r="AO343" i="47"/>
  <c r="AE343" i="47"/>
  <c r="J108" i="9"/>
  <c r="J143" i="47"/>
  <c r="J143" i="9"/>
  <c r="J258" i="47"/>
  <c r="J258" i="9"/>
  <c r="J223" i="9"/>
  <c r="J341" i="9"/>
  <c r="J376" i="47"/>
  <c r="J376" i="9"/>
  <c r="AO110" i="47"/>
  <c r="AE110" i="47"/>
  <c r="AO344" i="47"/>
  <c r="AE344" i="47"/>
  <c r="AO225" i="47"/>
  <c r="AE225" i="47"/>
  <c r="AF13" i="34"/>
  <c r="AF343" i="47"/>
  <c r="F343" i="47"/>
  <c r="F343" i="9"/>
  <c r="E343" i="47"/>
  <c r="E343" i="9"/>
  <c r="H343" i="47"/>
  <c r="H343" i="9"/>
  <c r="AP343" i="47"/>
  <c r="I343" i="47"/>
  <c r="I343" i="9"/>
  <c r="E344" i="47"/>
  <c r="E344" i="9"/>
  <c r="AF344" i="47"/>
  <c r="F344" i="47"/>
  <c r="F344" i="9"/>
  <c r="H344" i="47"/>
  <c r="H344" i="9"/>
  <c r="AP344" i="47"/>
  <c r="I344" i="47"/>
  <c r="I344" i="9"/>
  <c r="AF225" i="47"/>
  <c r="F225" i="47"/>
  <c r="F225" i="9"/>
  <c r="E225" i="47"/>
  <c r="E225" i="9"/>
  <c r="AF110" i="47"/>
  <c r="F110" i="47"/>
  <c r="F110" i="9"/>
  <c r="E110" i="47"/>
  <c r="E110" i="9"/>
  <c r="H225" i="47"/>
  <c r="H225" i="9"/>
  <c r="AP225" i="47"/>
  <c r="I225" i="47"/>
  <c r="I225" i="9"/>
  <c r="AP110" i="47"/>
  <c r="I110" i="47"/>
  <c r="I110" i="9"/>
  <c r="H110" i="47"/>
  <c r="H110" i="9"/>
  <c r="AC31" i="12"/>
  <c r="AJ31" i="12"/>
  <c r="AD31" i="12"/>
  <c r="AK31" i="12"/>
  <c r="AB31" i="12"/>
  <c r="AI31" i="12"/>
  <c r="Y31" i="45"/>
  <c r="AA31" i="12"/>
  <c r="AH31" i="12"/>
  <c r="B30" i="12"/>
  <c r="BY31" i="12" a="1"/>
  <c r="BY31" i="12"/>
  <c r="BX31" i="12" a="1"/>
  <c r="BX31" i="12"/>
  <c r="DN31" i="12" a="1"/>
  <c r="DN31" i="12"/>
  <c r="DO31" i="12" a="1"/>
  <c r="DO31" i="12"/>
  <c r="CL31" i="12" a="1"/>
  <c r="CL31" i="12"/>
  <c r="CM31" i="12" a="1"/>
  <c r="CM31" i="12"/>
  <c r="DA31" i="12" a="1"/>
  <c r="DA31" i="12"/>
  <c r="CZ31" i="12" a="1"/>
  <c r="CZ31" i="12"/>
  <c r="W11" i="45"/>
  <c r="CF31" i="12" a="1"/>
  <c r="CF31" i="12"/>
  <c r="CN31" i="12" a="1"/>
  <c r="CN31" i="12"/>
  <c r="CJ31" i="12" a="1"/>
  <c r="CJ31" i="12"/>
  <c r="CC31" i="12" a="1"/>
  <c r="CC31" i="12"/>
  <c r="CH31" i="12" a="1"/>
  <c r="CH31" i="12"/>
  <c r="CE31" i="12" a="1"/>
  <c r="CE31" i="12"/>
  <c r="CA31" i="12" a="1"/>
  <c r="CA31" i="12"/>
  <c r="CG31" i="12" a="1"/>
  <c r="CG31" i="12"/>
  <c r="CD31" i="12" a="1"/>
  <c r="CD31" i="12"/>
  <c r="CK31" i="12" a="1"/>
  <c r="CK31" i="12"/>
  <c r="CB31" i="12" a="1"/>
  <c r="CB31" i="12"/>
  <c r="CI31" i="12" a="1"/>
  <c r="CI31" i="12"/>
  <c r="DD31" i="12" a="1"/>
  <c r="DD31" i="12"/>
  <c r="DK31" i="12" a="1"/>
  <c r="DK31" i="12"/>
  <c r="DH31" i="12" a="1"/>
  <c r="DH31" i="12"/>
  <c r="DE31" i="12" a="1"/>
  <c r="DE31" i="12"/>
  <c r="DM31" i="12" a="1"/>
  <c r="DM31" i="12"/>
  <c r="DL31" i="12" a="1"/>
  <c r="DL31" i="12"/>
  <c r="DF31" i="12" a="1"/>
  <c r="DF31" i="12"/>
  <c r="DP31" i="12" a="1"/>
  <c r="DP31" i="12"/>
  <c r="DI31" i="12" a="1"/>
  <c r="DI31" i="12"/>
  <c r="DJ31" i="12" a="1"/>
  <c r="DJ31" i="12"/>
  <c r="DG31" i="12" a="1"/>
  <c r="DG31" i="12"/>
  <c r="DC31" i="12" a="1"/>
  <c r="DC31" i="12"/>
  <c r="AD30" i="12"/>
  <c r="AK30" i="12"/>
  <c r="Y30" i="45"/>
  <c r="AA30" i="12"/>
  <c r="AH30" i="12"/>
  <c r="AC30" i="12"/>
  <c r="AJ30" i="12"/>
  <c r="AB30" i="12"/>
  <c r="AI30" i="12"/>
  <c r="AB31" i="45"/>
  <c r="AI31" i="45"/>
  <c r="AC31" i="45"/>
  <c r="AJ31" i="45"/>
  <c r="AD31" i="45"/>
  <c r="AK31" i="45"/>
  <c r="AA31" i="45"/>
  <c r="AH31" i="45"/>
  <c r="BO31" i="12" a="1"/>
  <c r="BO31" i="12"/>
  <c r="BP31" i="12" a="1"/>
  <c r="BP31" i="12"/>
  <c r="BW31" i="12" a="1"/>
  <c r="BW31" i="12"/>
  <c r="BM31" i="12" a="1"/>
  <c r="BM31" i="12"/>
  <c r="BS31" i="12" a="1"/>
  <c r="BS31" i="12"/>
  <c r="BU31" i="12" a="1"/>
  <c r="BU31" i="12"/>
  <c r="BV31" i="12" a="1"/>
  <c r="BV31" i="12"/>
  <c r="BN31" i="12" a="1"/>
  <c r="BN31" i="12"/>
  <c r="BT31" i="12" a="1"/>
  <c r="BT31" i="12"/>
  <c r="BR31" i="12" a="1"/>
  <c r="BR31" i="12"/>
  <c r="BZ31" i="12" a="1"/>
  <c r="BZ31" i="12"/>
  <c r="BQ31" i="12" a="1"/>
  <c r="BQ31" i="12"/>
  <c r="CO31" i="12" a="1"/>
  <c r="CO31" i="12"/>
  <c r="CU31" i="12" a="1"/>
  <c r="CU31" i="12"/>
  <c r="CY31" i="12" a="1"/>
  <c r="CY31" i="12"/>
  <c r="CP31" i="12" a="1"/>
  <c r="CP31" i="12"/>
  <c r="CW31" i="12" a="1"/>
  <c r="CW31" i="12"/>
  <c r="CX31" i="12" a="1"/>
  <c r="CX31" i="12"/>
  <c r="CR31" i="12" a="1"/>
  <c r="CR31" i="12"/>
  <c r="CS31" i="12" a="1"/>
  <c r="CS31" i="12"/>
  <c r="DB31" i="12" a="1"/>
  <c r="DB31" i="12"/>
  <c r="CQ31" i="12" a="1"/>
  <c r="CQ31" i="12"/>
  <c r="CT31" i="12" a="1"/>
  <c r="CT31" i="12"/>
  <c r="CV31" i="12" a="1"/>
  <c r="CV31" i="12"/>
  <c r="BY31" i="45" a="1"/>
  <c r="BY31" i="45"/>
  <c r="BX31" i="45" a="1"/>
  <c r="BX31" i="45"/>
  <c r="DL31" i="45" a="1"/>
  <c r="DL31" i="45"/>
  <c r="DM31" i="45" a="1"/>
  <c r="DM31" i="45"/>
  <c r="CY31" i="45" a="1"/>
  <c r="CY31" i="45"/>
  <c r="CX31" i="45" a="1"/>
  <c r="CX31" i="45"/>
  <c r="CL30" i="12" a="1"/>
  <c r="CL30" i="12"/>
  <c r="CL68" i="12"/>
  <c r="CM30" i="12" a="1"/>
  <c r="CM30" i="12"/>
  <c r="CM68" i="12"/>
  <c r="DN30" i="12" a="1"/>
  <c r="DN30" i="12"/>
  <c r="DN68" i="12"/>
  <c r="DO30" i="12" a="1"/>
  <c r="DO30" i="12"/>
  <c r="DO68" i="12"/>
  <c r="CZ30" i="12" a="1"/>
  <c r="CZ30" i="12"/>
  <c r="CZ68" i="12"/>
  <c r="DA30" i="12" a="1"/>
  <c r="DA30" i="12"/>
  <c r="DA68" i="12"/>
  <c r="EB31" i="12"/>
  <c r="BX30" i="12" a="1"/>
  <c r="BX30" i="12"/>
  <c r="BX68" i="12"/>
  <c r="BY30" i="12" a="1"/>
  <c r="BY30" i="12"/>
  <c r="BY68" i="12"/>
  <c r="EC31" i="12"/>
  <c r="DX31" i="12"/>
  <c r="DW31" i="12"/>
  <c r="DS31" i="12"/>
  <c r="AC30" i="45"/>
  <c r="AJ30" i="45"/>
  <c r="AD30" i="45"/>
  <c r="AK30" i="45"/>
  <c r="AB30" i="45"/>
  <c r="AI30" i="45"/>
  <c r="AA30" i="45"/>
  <c r="AH30" i="45"/>
  <c r="DR31" i="12"/>
  <c r="ED31" i="12"/>
  <c r="DZ31" i="12"/>
  <c r="EA31" i="12"/>
  <c r="DN31" i="45" a="1"/>
  <c r="DN31" i="45"/>
  <c r="DH31" i="45" a="1"/>
  <c r="DH31" i="45"/>
  <c r="DE31" i="45" a="1"/>
  <c r="DE31" i="45"/>
  <c r="DD31" i="45" a="1"/>
  <c r="DD31" i="45"/>
  <c r="DC31" i="45" a="1"/>
  <c r="DC31" i="45"/>
  <c r="DA31" i="45" a="1"/>
  <c r="DA31" i="45"/>
  <c r="DF31" i="45" a="1"/>
  <c r="DF31" i="45"/>
  <c r="DB31" i="45" a="1"/>
  <c r="DB31" i="45"/>
  <c r="DG31" i="45" a="1"/>
  <c r="DG31" i="45"/>
  <c r="DI31" i="45" a="1"/>
  <c r="DI31" i="45"/>
  <c r="DK31" i="45" a="1"/>
  <c r="DK31" i="45"/>
  <c r="DJ31" i="45" a="1"/>
  <c r="DJ31" i="45"/>
  <c r="CW30" i="12" a="1"/>
  <c r="CW30" i="12"/>
  <c r="CW68" i="12"/>
  <c r="CV30" i="12" a="1"/>
  <c r="CV30" i="12"/>
  <c r="CV68" i="12"/>
  <c r="CP30" i="12" a="1"/>
  <c r="CP30" i="12"/>
  <c r="CP68" i="12"/>
  <c r="CS30" i="12" a="1"/>
  <c r="CS30" i="12"/>
  <c r="CS68" i="12"/>
  <c r="CX30" i="12" a="1"/>
  <c r="CX30" i="12"/>
  <c r="CX68" i="12"/>
  <c r="CO30" i="12" a="1"/>
  <c r="CO30" i="12"/>
  <c r="CO68" i="12"/>
  <c r="CY30" i="12" a="1"/>
  <c r="CY30" i="12"/>
  <c r="CY68" i="12"/>
  <c r="CT30" i="12" a="1"/>
  <c r="CT30" i="12"/>
  <c r="CT68" i="12"/>
  <c r="CU30" i="12" a="1"/>
  <c r="CU30" i="12"/>
  <c r="CU68" i="12"/>
  <c r="CQ30" i="12" a="1"/>
  <c r="CQ30" i="12"/>
  <c r="CQ68" i="12"/>
  <c r="DB30" i="12" a="1"/>
  <c r="DB30" i="12"/>
  <c r="DB68" i="12"/>
  <c r="CR30" i="12" a="1"/>
  <c r="CR30" i="12"/>
  <c r="CR68" i="12"/>
  <c r="CK31" i="45" a="1"/>
  <c r="CK31" i="45"/>
  <c r="CE31" i="45" a="1"/>
  <c r="CE31" i="45"/>
  <c r="CC31" i="45" a="1"/>
  <c r="CC31" i="45"/>
  <c r="CJ31" i="45" a="1"/>
  <c r="CJ31" i="45"/>
  <c r="CA31" i="45" a="1"/>
  <c r="CA31" i="45"/>
  <c r="CL31" i="45" a="1"/>
  <c r="CL31" i="45"/>
  <c r="CF31" i="45" a="1"/>
  <c r="CF31" i="45"/>
  <c r="CG31" i="45" a="1"/>
  <c r="CG31" i="45"/>
  <c r="CH31" i="45" a="1"/>
  <c r="CH31" i="45"/>
  <c r="CB31" i="45" a="1"/>
  <c r="CB31" i="45"/>
  <c r="CD31" i="45" a="1"/>
  <c r="CD31" i="45"/>
  <c r="CI31" i="45" a="1"/>
  <c r="CI31" i="45"/>
  <c r="DU31" i="12"/>
  <c r="DQ31" i="12"/>
  <c r="BO31" i="45" a="1"/>
  <c r="BO31" i="45"/>
  <c r="BZ31" i="45" a="1"/>
  <c r="BZ31" i="45"/>
  <c r="BW31" i="45" a="1"/>
  <c r="BW31" i="45"/>
  <c r="BU31" i="45" a="1"/>
  <c r="BU31" i="45"/>
  <c r="BN31" i="45" a="1"/>
  <c r="BN31" i="45"/>
  <c r="BT31" i="45" a="1"/>
  <c r="BT31" i="45"/>
  <c r="BM31" i="45" a="1"/>
  <c r="BM31" i="45"/>
  <c r="BQ31" i="45" a="1"/>
  <c r="BQ31" i="45"/>
  <c r="BP31" i="45" a="1"/>
  <c r="BP31" i="45"/>
  <c r="BV31" i="45" a="1"/>
  <c r="BV31" i="45"/>
  <c r="BR31" i="45" a="1"/>
  <c r="BR31" i="45"/>
  <c r="BS31" i="45" a="1"/>
  <c r="BS31" i="45"/>
  <c r="CE30" i="12" a="1"/>
  <c r="CE30" i="12"/>
  <c r="CE68" i="12"/>
  <c r="CA30" i="12" a="1"/>
  <c r="CA30" i="12"/>
  <c r="CA68" i="12"/>
  <c r="CC30" i="12" a="1"/>
  <c r="CC30" i="12"/>
  <c r="CC68" i="12"/>
  <c r="CI30" i="12" a="1"/>
  <c r="CI30" i="12"/>
  <c r="CI68" i="12"/>
  <c r="CD30" i="12" a="1"/>
  <c r="CD30" i="12"/>
  <c r="CD68" i="12"/>
  <c r="CB30" i="12" a="1"/>
  <c r="CB30" i="12"/>
  <c r="CB68" i="12"/>
  <c r="CG30" i="12" a="1"/>
  <c r="CG30" i="12"/>
  <c r="CG68" i="12"/>
  <c r="CJ30" i="12" a="1"/>
  <c r="CJ30" i="12"/>
  <c r="CJ68" i="12"/>
  <c r="CN30" i="12" a="1"/>
  <c r="CN30" i="12"/>
  <c r="CN68" i="12"/>
  <c r="CH30" i="12" a="1"/>
  <c r="CH30" i="12"/>
  <c r="CH68" i="12"/>
  <c r="CK30" i="12" a="1"/>
  <c r="CK30" i="12"/>
  <c r="CK68" i="12"/>
  <c r="CF30" i="12" a="1"/>
  <c r="CF30" i="12"/>
  <c r="CF68" i="12"/>
  <c r="DE30" i="12" a="1"/>
  <c r="DE30" i="12"/>
  <c r="DE68" i="12"/>
  <c r="DF30" i="12" a="1"/>
  <c r="DF30" i="12"/>
  <c r="DF68" i="12"/>
  <c r="DJ30" i="12" a="1"/>
  <c r="DJ30" i="12"/>
  <c r="DJ68" i="12"/>
  <c r="DI30" i="12" a="1"/>
  <c r="DI30" i="12"/>
  <c r="DI68" i="12"/>
  <c r="DL30" i="12" a="1"/>
  <c r="DL30" i="12"/>
  <c r="DL68" i="12"/>
  <c r="DK30" i="12" a="1"/>
  <c r="DK30" i="12"/>
  <c r="DK68" i="12"/>
  <c r="DG30" i="12" a="1"/>
  <c r="DG30" i="12"/>
  <c r="DG68" i="12"/>
  <c r="DC30" i="12" a="1"/>
  <c r="DC30" i="12"/>
  <c r="DC68" i="12"/>
  <c r="DD30" i="12" a="1"/>
  <c r="DD30" i="12"/>
  <c r="DD68" i="12"/>
  <c r="DM30" i="12" a="1"/>
  <c r="DM30" i="12"/>
  <c r="DM68" i="12"/>
  <c r="DH30" i="12" a="1"/>
  <c r="DH30" i="12"/>
  <c r="DH68" i="12"/>
  <c r="DP30" i="12" a="1"/>
  <c r="DP30" i="12"/>
  <c r="DP68" i="12"/>
  <c r="DV31" i="12"/>
  <c r="DY31" i="12"/>
  <c r="DT31" i="12"/>
  <c r="CV31" i="45" a="1"/>
  <c r="CV31" i="45"/>
  <c r="CP31" i="45" a="1"/>
  <c r="CP31" i="45"/>
  <c r="CR31" i="45" a="1"/>
  <c r="CR31" i="45"/>
  <c r="CQ31" i="45" a="1"/>
  <c r="CQ31" i="45"/>
  <c r="CU31" i="45" a="1"/>
  <c r="CU31" i="45"/>
  <c r="CM31" i="45" a="1"/>
  <c r="CM31" i="45"/>
  <c r="CW31" i="45" a="1"/>
  <c r="CW31" i="45"/>
  <c r="CO31" i="45" a="1"/>
  <c r="CO31" i="45"/>
  <c r="CN31" i="45" a="1"/>
  <c r="CN31" i="45"/>
  <c r="CT31" i="45" a="1"/>
  <c r="CT31" i="45"/>
  <c r="CS31" i="45" a="1"/>
  <c r="CS31" i="45"/>
  <c r="CZ31" i="45" a="1"/>
  <c r="CZ31" i="45"/>
  <c r="BT30" i="12" a="1"/>
  <c r="BT30" i="12"/>
  <c r="BQ30" i="12" a="1"/>
  <c r="BQ30" i="12"/>
  <c r="BU30" i="12" a="1"/>
  <c r="BU30" i="12"/>
  <c r="BP30" i="12" a="1"/>
  <c r="BP30" i="12"/>
  <c r="BO30" i="12" a="1"/>
  <c r="BO30" i="12"/>
  <c r="BS30" i="12" a="1"/>
  <c r="BS30" i="12"/>
  <c r="BM30" i="12" a="1"/>
  <c r="BM30" i="12"/>
  <c r="BZ30" i="12" a="1"/>
  <c r="BZ30" i="12"/>
  <c r="BW30" i="12" a="1"/>
  <c r="BW30" i="12"/>
  <c r="BV30" i="12" a="1"/>
  <c r="BV30" i="12"/>
  <c r="BN30" i="12" a="1"/>
  <c r="BN30" i="12"/>
  <c r="BR30" i="12" a="1"/>
  <c r="BR30" i="12"/>
  <c r="C6" i="12"/>
  <c r="X13" i="45"/>
  <c r="AO342" i="47"/>
  <c r="AE342" i="47"/>
  <c r="EA31" i="45"/>
  <c r="CY30" i="45" a="1"/>
  <c r="CY30" i="45"/>
  <c r="CY68" i="45"/>
  <c r="CX30" i="45" a="1"/>
  <c r="CX30" i="45"/>
  <c r="CX68" i="45"/>
  <c r="BY30" i="45" a="1"/>
  <c r="BY30" i="45"/>
  <c r="BY68" i="45"/>
  <c r="BX30" i="45" a="1"/>
  <c r="BX30" i="45"/>
  <c r="BX68" i="45"/>
  <c r="DZ31" i="45"/>
  <c r="DL30" i="45" a="1"/>
  <c r="DL30" i="45"/>
  <c r="DL68" i="45"/>
  <c r="DM30" i="45" a="1"/>
  <c r="DM30" i="45"/>
  <c r="DM68" i="45"/>
  <c r="EB30" i="12"/>
  <c r="BY71" i="12"/>
  <c r="BJ5" i="12"/>
  <c r="BX5" i="12"/>
  <c r="EC30" i="12"/>
  <c r="EC68" i="12"/>
  <c r="BX71" i="12"/>
  <c r="AX10" i="12"/>
  <c r="DV31" i="45"/>
  <c r="EB31" i="45"/>
  <c r="DS31" i="45"/>
  <c r="BW68" i="12"/>
  <c r="BW71" i="12"/>
  <c r="BH5" i="12"/>
  <c r="EA30" i="12"/>
  <c r="EA68" i="12"/>
  <c r="BN68" i="12"/>
  <c r="BN71" i="12"/>
  <c r="AY5" i="12"/>
  <c r="DR30" i="12"/>
  <c r="DR68" i="12"/>
  <c r="BM68" i="12"/>
  <c r="BM71" i="12"/>
  <c r="DQ30" i="12"/>
  <c r="BU68" i="12"/>
  <c r="BU71" i="12"/>
  <c r="BF5" i="12"/>
  <c r="DY30" i="12"/>
  <c r="DY68" i="12"/>
  <c r="DX31" i="45"/>
  <c r="BS30" i="45" a="1"/>
  <c r="BS30" i="45"/>
  <c r="BN30" i="45" a="1"/>
  <c r="BN30" i="45"/>
  <c r="BV30" i="45" a="1"/>
  <c r="BV30" i="45"/>
  <c r="BQ30" i="45" a="1"/>
  <c r="BQ30" i="45"/>
  <c r="BT30" i="45" a="1"/>
  <c r="BT30" i="45"/>
  <c r="BW30" i="45" a="1"/>
  <c r="BW30" i="45"/>
  <c r="BP30" i="45" a="1"/>
  <c r="BP30" i="45"/>
  <c r="BU30" i="45" a="1"/>
  <c r="BU30" i="45"/>
  <c r="BR30" i="45" a="1"/>
  <c r="BR30" i="45"/>
  <c r="BM30" i="45" a="1"/>
  <c r="BM30" i="45"/>
  <c r="BO30" i="45" a="1"/>
  <c r="BO30" i="45"/>
  <c r="BZ30" i="45" a="1"/>
  <c r="BZ30" i="45"/>
  <c r="DZ30" i="12"/>
  <c r="DZ68" i="12"/>
  <c r="BV68" i="12"/>
  <c r="BV71" i="12"/>
  <c r="BG5" i="12"/>
  <c r="BS68" i="12"/>
  <c r="BS71" i="12"/>
  <c r="BD5" i="12"/>
  <c r="DW30" i="12"/>
  <c r="DW68" i="12"/>
  <c r="DU30" i="12"/>
  <c r="DU68" i="12"/>
  <c r="BQ68" i="12"/>
  <c r="BQ71" i="12"/>
  <c r="BB5" i="12"/>
  <c r="AE224" i="47"/>
  <c r="AO224" i="47"/>
  <c r="DR31" i="45"/>
  <c r="DP31" i="45"/>
  <c r="DQ31" i="45"/>
  <c r="CF30" i="45" a="1"/>
  <c r="CF30" i="45"/>
  <c r="CF68" i="45"/>
  <c r="CL30" i="45" a="1"/>
  <c r="CL30" i="45"/>
  <c r="CE30" i="45" a="1"/>
  <c r="CE30" i="45"/>
  <c r="CE68" i="45"/>
  <c r="CC30" i="45" a="1"/>
  <c r="CC30" i="45"/>
  <c r="CC68" i="45"/>
  <c r="CK30" i="45" a="1"/>
  <c r="CK30" i="45"/>
  <c r="CK68" i="45"/>
  <c r="CI30" i="45" a="1"/>
  <c r="CI30" i="45"/>
  <c r="CI68" i="45"/>
  <c r="CA30" i="45" a="1"/>
  <c r="CA30" i="45"/>
  <c r="CA68" i="45"/>
  <c r="CD30" i="45" a="1"/>
  <c r="CD30" i="45"/>
  <c r="CD68" i="45"/>
  <c r="CG30" i="45" a="1"/>
  <c r="CG30" i="45"/>
  <c r="CG68" i="45"/>
  <c r="CB30" i="45" a="1"/>
  <c r="CB30" i="45"/>
  <c r="CB68" i="45"/>
  <c r="CH30" i="45" a="1"/>
  <c r="CH30" i="45"/>
  <c r="CH68" i="45"/>
  <c r="CJ30" i="45" a="1"/>
  <c r="CJ30" i="45"/>
  <c r="CJ68" i="45"/>
  <c r="B5" i="47"/>
  <c r="B5" i="9"/>
  <c r="DS30" i="12"/>
  <c r="DS68" i="12"/>
  <c r="BO68" i="12"/>
  <c r="BO71" i="12"/>
  <c r="AZ5" i="12"/>
  <c r="DX30" i="12"/>
  <c r="DX68" i="12"/>
  <c r="BT68" i="12"/>
  <c r="BT71" i="12"/>
  <c r="BE5" i="12"/>
  <c r="DU31" i="45"/>
  <c r="DW31" i="45"/>
  <c r="AO109" i="47"/>
  <c r="AE109" i="47"/>
  <c r="DJ30" i="45" a="1"/>
  <c r="DJ30" i="45"/>
  <c r="DJ68" i="45"/>
  <c r="DC30" i="45" a="1"/>
  <c r="DC30" i="45"/>
  <c r="DC68" i="45"/>
  <c r="DB30" i="45" a="1"/>
  <c r="DB30" i="45"/>
  <c r="DB68" i="45"/>
  <c r="DI30" i="45" a="1"/>
  <c r="DI30" i="45"/>
  <c r="DI68" i="45"/>
  <c r="DF30" i="45" a="1"/>
  <c r="DF30" i="45"/>
  <c r="DF68" i="45"/>
  <c r="DD30" i="45" a="1"/>
  <c r="DD30" i="45"/>
  <c r="DD68" i="45"/>
  <c r="DG30" i="45" a="1"/>
  <c r="DG30" i="45"/>
  <c r="DG68" i="45"/>
  <c r="DA30" i="45" a="1"/>
  <c r="DA30" i="45"/>
  <c r="DA68" i="45"/>
  <c r="DN30" i="45" a="1"/>
  <c r="DN30" i="45"/>
  <c r="DN68" i="45"/>
  <c r="DK30" i="45" a="1"/>
  <c r="DK30" i="45"/>
  <c r="DK68" i="45"/>
  <c r="DH30" i="45" a="1"/>
  <c r="DH30" i="45"/>
  <c r="DH68" i="45"/>
  <c r="DE30" i="45" a="1"/>
  <c r="DE30" i="45"/>
  <c r="DE68" i="45"/>
  <c r="DV30" i="12"/>
  <c r="BR68" i="12"/>
  <c r="BR71" i="12"/>
  <c r="ED30" i="12"/>
  <c r="BZ68" i="12"/>
  <c r="BZ71" i="12"/>
  <c r="BP68" i="12"/>
  <c r="BP71" i="12"/>
  <c r="BA5" i="12"/>
  <c r="DT30" i="12"/>
  <c r="DT68" i="12"/>
  <c r="DT31" i="45"/>
  <c r="DO31" i="45"/>
  <c r="DY31" i="45"/>
  <c r="CU30" i="45" a="1"/>
  <c r="CU30" i="45"/>
  <c r="CU68" i="45"/>
  <c r="CM30" i="45" a="1"/>
  <c r="CM30" i="45"/>
  <c r="CZ30" i="45" a="1"/>
  <c r="CZ30" i="45"/>
  <c r="CZ68" i="45"/>
  <c r="CS30" i="45" a="1"/>
  <c r="CS30" i="45"/>
  <c r="CS68" i="45"/>
  <c r="CN30" i="45" a="1"/>
  <c r="CN30" i="45"/>
  <c r="CN68" i="45"/>
  <c r="CO30" i="45" a="1"/>
  <c r="CO30" i="45"/>
  <c r="CO68" i="45"/>
  <c r="CP30" i="45" a="1"/>
  <c r="CP30" i="45"/>
  <c r="CP68" i="45"/>
  <c r="CW30" i="45" a="1"/>
  <c r="CW30" i="45"/>
  <c r="CW68" i="45"/>
  <c r="CT30" i="45" a="1"/>
  <c r="CT30" i="45"/>
  <c r="CT68" i="45"/>
  <c r="CQ30" i="45" a="1"/>
  <c r="CQ30" i="45"/>
  <c r="CQ68" i="45"/>
  <c r="CV30" i="45" a="1"/>
  <c r="CV30" i="45"/>
  <c r="CV68" i="45"/>
  <c r="CR30" i="45" a="1"/>
  <c r="CR30" i="45"/>
  <c r="CR68" i="45"/>
  <c r="BO5" i="12"/>
  <c r="BS5" i="12"/>
  <c r="BU5" i="12"/>
  <c r="BM5" i="12"/>
  <c r="BV5" i="12"/>
  <c r="BP5" i="12"/>
  <c r="BT5" i="12"/>
  <c r="BN5" i="12"/>
  <c r="BR5" i="12"/>
  <c r="EB68" i="12"/>
  <c r="CL69" i="12"/>
  <c r="AO341" i="47"/>
  <c r="AE341" i="47"/>
  <c r="BK5" i="12"/>
  <c r="BY5" i="12"/>
  <c r="BX7" i="12"/>
  <c r="BX8" i="12"/>
  <c r="BJ7" i="12"/>
  <c r="BJ8" i="12"/>
  <c r="CM68" i="45"/>
  <c r="BY71" i="45"/>
  <c r="BJ5" i="45"/>
  <c r="EA30" i="45"/>
  <c r="EA68" i="45"/>
  <c r="CL68" i="45"/>
  <c r="BX71" i="45"/>
  <c r="AX10" i="45"/>
  <c r="BI5" i="45"/>
  <c r="DZ30" i="45"/>
  <c r="DZ68" i="45"/>
  <c r="CM69" i="12"/>
  <c r="CC69" i="12"/>
  <c r="CD69" i="12"/>
  <c r="CE69" i="12"/>
  <c r="ED68" i="12"/>
  <c r="CN69" i="12"/>
  <c r="E342" i="47"/>
  <c r="E342" i="9"/>
  <c r="AF342" i="47"/>
  <c r="F342" i="47"/>
  <c r="F342" i="9"/>
  <c r="DO30" i="45"/>
  <c r="DO68" i="45"/>
  <c r="BM68" i="45"/>
  <c r="BN68" i="45"/>
  <c r="BN71" i="45"/>
  <c r="AY5" i="45"/>
  <c r="DP30" i="45"/>
  <c r="DP68" i="45"/>
  <c r="CC5" i="12"/>
  <c r="BC5" i="12"/>
  <c r="E179" i="47"/>
  <c r="D179" i="47"/>
  <c r="AF109" i="47"/>
  <c r="F109" i="47"/>
  <c r="F109" i="9"/>
  <c r="E109" i="47"/>
  <c r="E109" i="9"/>
  <c r="BE7" i="12"/>
  <c r="BE8" i="12"/>
  <c r="BS7" i="12"/>
  <c r="BS8" i="12"/>
  <c r="DT30" i="45"/>
  <c r="DT68" i="45"/>
  <c r="BR68" i="45"/>
  <c r="BR71" i="45"/>
  <c r="BC5" i="45"/>
  <c r="DU30" i="45"/>
  <c r="DU68" i="45"/>
  <c r="BS68" i="45"/>
  <c r="BS71" i="45"/>
  <c r="BD5" i="45"/>
  <c r="CK69" i="12"/>
  <c r="E298" i="47"/>
  <c r="AY10" i="12"/>
  <c r="CD7" i="12"/>
  <c r="D298" i="47"/>
  <c r="BI5" i="12"/>
  <c r="H342" i="47"/>
  <c r="H342" i="9"/>
  <c r="AP342" i="47"/>
  <c r="I342" i="47"/>
  <c r="I342" i="9"/>
  <c r="BN7" i="12"/>
  <c r="BN8" i="12"/>
  <c r="AZ7" i="12"/>
  <c r="AZ8" i="12"/>
  <c r="AF224" i="47"/>
  <c r="F224" i="47"/>
  <c r="F224" i="9"/>
  <c r="E224" i="47"/>
  <c r="E224" i="9"/>
  <c r="BR7" i="12"/>
  <c r="BR8" i="12"/>
  <c r="BD7" i="12"/>
  <c r="BD8" i="12"/>
  <c r="DQ30" i="45"/>
  <c r="DQ68" i="45"/>
  <c r="BO68" i="45"/>
  <c r="BO71" i="45"/>
  <c r="AZ5" i="45"/>
  <c r="DR30" i="45"/>
  <c r="DR68" i="45"/>
  <c r="BP68" i="45"/>
  <c r="BP71" i="45"/>
  <c r="BA5" i="45"/>
  <c r="BV68" i="45"/>
  <c r="BV71" i="45"/>
  <c r="BG5" i="45"/>
  <c r="DX30" i="45"/>
  <c r="DX68" i="45"/>
  <c r="CI69" i="12"/>
  <c r="CB69" i="12"/>
  <c r="BP7" i="12"/>
  <c r="BP8" i="12"/>
  <c r="BB7" i="12"/>
  <c r="BB8" i="12"/>
  <c r="BU7" i="12"/>
  <c r="BU8" i="12"/>
  <c r="BG7" i="12"/>
  <c r="BG8" i="12"/>
  <c r="DY30" i="45"/>
  <c r="DY68" i="45"/>
  <c r="BW68" i="45"/>
  <c r="BW71" i="45"/>
  <c r="BH5" i="45"/>
  <c r="BF7" i="12"/>
  <c r="BF8" i="12"/>
  <c r="BT7" i="12"/>
  <c r="BT8" i="12"/>
  <c r="BM7" i="12"/>
  <c r="BM8" i="12"/>
  <c r="AY7" i="12"/>
  <c r="AY8" i="12"/>
  <c r="CJ69" i="12"/>
  <c r="BT68" i="45"/>
  <c r="BT71" i="45"/>
  <c r="BE5" i="45"/>
  <c r="DV30" i="45"/>
  <c r="DV68" i="45"/>
  <c r="DQ68" i="12"/>
  <c r="CA69" i="12"/>
  <c r="AE108" i="47"/>
  <c r="AO108" i="47"/>
  <c r="BO7" i="12"/>
  <c r="BO8" i="12"/>
  <c r="BA7" i="12"/>
  <c r="BA8" i="12"/>
  <c r="DV68" i="12"/>
  <c r="CF69" i="12"/>
  <c r="AE223" i="47"/>
  <c r="AO223" i="47"/>
  <c r="H109" i="47"/>
  <c r="H109" i="9"/>
  <c r="AP109" i="47"/>
  <c r="I109" i="47"/>
  <c r="I109" i="9"/>
  <c r="CH69" i="12"/>
  <c r="H224" i="47"/>
  <c r="H224" i="9"/>
  <c r="AP224" i="47"/>
  <c r="I224" i="47"/>
  <c r="I224" i="9"/>
  <c r="CG69" i="12"/>
  <c r="EB30" i="45"/>
  <c r="EB68" i="45"/>
  <c r="BZ68" i="45"/>
  <c r="DW30" i="45"/>
  <c r="DW68" i="45"/>
  <c r="BU68" i="45"/>
  <c r="BU71" i="45"/>
  <c r="BF5" i="45"/>
  <c r="DS30" i="45"/>
  <c r="DS68" i="45"/>
  <c r="BQ68" i="45"/>
  <c r="BQ71" i="45"/>
  <c r="BB5" i="45"/>
  <c r="E65" i="47"/>
  <c r="CC4" i="12"/>
  <c r="AX5" i="12"/>
  <c r="D65" i="47"/>
  <c r="BH7" i="12"/>
  <c r="BH8" i="12"/>
  <c r="BV7" i="12"/>
  <c r="BV8" i="12"/>
  <c r="BQ5" i="12"/>
  <c r="BW5" i="12"/>
  <c r="BM71" i="45"/>
  <c r="AX5" i="45"/>
  <c r="BX7" i="45"/>
  <c r="BX8" i="45"/>
  <c r="BJ7" i="45"/>
  <c r="BJ8" i="45"/>
  <c r="BX5" i="45"/>
  <c r="BW7" i="45"/>
  <c r="BW8" i="45"/>
  <c r="BI7" i="45"/>
  <c r="BI8" i="45"/>
  <c r="BW5" i="45"/>
  <c r="BP5" i="45"/>
  <c r="BB7" i="45"/>
  <c r="BB8" i="45"/>
  <c r="BP7" i="45"/>
  <c r="BP8" i="45"/>
  <c r="BU7" i="45"/>
  <c r="BU8" i="45"/>
  <c r="BG7" i="45"/>
  <c r="BG8" i="45"/>
  <c r="BU5" i="45"/>
  <c r="BV7" i="45"/>
  <c r="BV8" i="45"/>
  <c r="BV5" i="45"/>
  <c r="BH7" i="45"/>
  <c r="BH8" i="45"/>
  <c r="BO7" i="45"/>
  <c r="BO8" i="45"/>
  <c r="BA7" i="45"/>
  <c r="BA8" i="45"/>
  <c r="BO5" i="45"/>
  <c r="BQ7" i="45"/>
  <c r="BQ8" i="45"/>
  <c r="BC7" i="45"/>
  <c r="BC8" i="45"/>
  <c r="BQ5" i="45"/>
  <c r="BM7" i="45"/>
  <c r="BM8" i="45"/>
  <c r="AY7" i="45"/>
  <c r="AY8" i="45"/>
  <c r="BM5" i="45"/>
  <c r="BN7" i="45"/>
  <c r="BN8" i="45"/>
  <c r="BN5" i="45"/>
  <c r="AZ7" i="45"/>
  <c r="AZ8" i="45"/>
  <c r="BR7" i="45"/>
  <c r="BR8" i="45"/>
  <c r="BR5" i="45"/>
  <c r="BD7" i="45"/>
  <c r="BD8" i="45"/>
  <c r="BT5" i="45"/>
  <c r="BF7" i="45"/>
  <c r="BF8" i="45"/>
  <c r="BT7" i="45"/>
  <c r="BT8" i="45"/>
  <c r="BE7" i="45"/>
  <c r="BE8" i="45"/>
  <c r="BS7" i="45"/>
  <c r="BS8" i="45"/>
  <c r="BS5" i="45"/>
  <c r="BK7" i="12"/>
  <c r="BK8" i="12"/>
  <c r="BY7" i="12"/>
  <c r="BY8" i="12"/>
  <c r="BZ71" i="45"/>
  <c r="E65" i="9"/>
  <c r="E67" i="47"/>
  <c r="E67" i="9"/>
  <c r="H108" i="47"/>
  <c r="AO143" i="47"/>
  <c r="AP108" i="47"/>
  <c r="AZ18" i="12"/>
  <c r="AZ19" i="12"/>
  <c r="AZ20" i="12"/>
  <c r="AZ21" i="12"/>
  <c r="BW7" i="12"/>
  <c r="BW8" i="12"/>
  <c r="BI7" i="12"/>
  <c r="BI8" i="12"/>
  <c r="E181" i="47"/>
  <c r="E181" i="9"/>
  <c r="E179" i="9"/>
  <c r="D65" i="9"/>
  <c r="D67" i="47"/>
  <c r="D299" i="47"/>
  <c r="D298" i="9"/>
  <c r="AY19" i="12"/>
  <c r="AY20" i="12"/>
  <c r="AY18" i="12"/>
  <c r="BC7" i="12"/>
  <c r="BC8" i="12"/>
  <c r="AY21" i="12"/>
  <c r="BQ7" i="12"/>
  <c r="BQ8" i="12"/>
  <c r="AE376" i="47"/>
  <c r="AF341" i="47"/>
  <c r="E341" i="47"/>
  <c r="AX20" i="12"/>
  <c r="AX21" i="12"/>
  <c r="AX19" i="12"/>
  <c r="AX18" i="12"/>
  <c r="BL7" i="12"/>
  <c r="BL8" i="12"/>
  <c r="BL5" i="12"/>
  <c r="AX7" i="12"/>
  <c r="AX8" i="12"/>
  <c r="AE258" i="47"/>
  <c r="AE259" i="47"/>
  <c r="AF259" i="47"/>
  <c r="E223" i="47"/>
  <c r="AF223" i="47"/>
  <c r="AO376" i="47"/>
  <c r="H341" i="47"/>
  <c r="AP341" i="47"/>
  <c r="AY10" i="45"/>
  <c r="AO258" i="47"/>
  <c r="H223" i="47"/>
  <c r="AP223" i="47"/>
  <c r="AE143" i="47"/>
  <c r="AE144" i="47"/>
  <c r="AF144" i="47"/>
  <c r="E108" i="47"/>
  <c r="AF108" i="47"/>
  <c r="E299" i="47"/>
  <c r="E299" i="9"/>
  <c r="E298" i="9"/>
  <c r="D179" i="9"/>
  <c r="D181" i="47"/>
  <c r="CT69" i="45"/>
  <c r="CZ69" i="45"/>
  <c r="CS69" i="45"/>
  <c r="CW69" i="45"/>
  <c r="BL7" i="45"/>
  <c r="BL8" i="45"/>
  <c r="CU69" i="45"/>
  <c r="AX7" i="45"/>
  <c r="AX8" i="45"/>
  <c r="CY69" i="45"/>
  <c r="CX69" i="45"/>
  <c r="BL5" i="45"/>
  <c r="CV69" i="45"/>
  <c r="DF69" i="45"/>
  <c r="BK5" i="45"/>
  <c r="F341" i="47"/>
  <c r="AF376" i="47"/>
  <c r="AG343" i="47"/>
  <c r="H6" i="9"/>
  <c r="H6" i="47"/>
  <c r="H7" i="47"/>
  <c r="H7" i="9"/>
  <c r="H143" i="47"/>
  <c r="H143" i="9"/>
  <c r="H108" i="9"/>
  <c r="AF143" i="47"/>
  <c r="AG110" i="47"/>
  <c r="F108" i="47"/>
  <c r="H223" i="9"/>
  <c r="H258" i="47"/>
  <c r="H258" i="9"/>
  <c r="AP376" i="47"/>
  <c r="AQ343" i="47"/>
  <c r="I341" i="47"/>
  <c r="F223" i="47"/>
  <c r="AF258" i="47"/>
  <c r="AG225" i="47"/>
  <c r="F298" i="47"/>
  <c r="F298" i="9"/>
  <c r="D299" i="9"/>
  <c r="F297" i="47"/>
  <c r="F297" i="9"/>
  <c r="F296" i="47"/>
  <c r="G7" i="9"/>
  <c r="G7" i="47"/>
  <c r="H8" i="47"/>
  <c r="H8" i="9"/>
  <c r="D181" i="9"/>
  <c r="F178" i="47"/>
  <c r="F180" i="47"/>
  <c r="F180" i="9"/>
  <c r="F179" i="47"/>
  <c r="F179" i="9"/>
  <c r="I223" i="47"/>
  <c r="AP258" i="47"/>
  <c r="AQ225" i="47"/>
  <c r="E108" i="9"/>
  <c r="E143" i="47"/>
  <c r="K110" i="47"/>
  <c r="K110" i="9"/>
  <c r="H341" i="9"/>
  <c r="H376" i="47"/>
  <c r="H376" i="9"/>
  <c r="E223" i="9"/>
  <c r="E258" i="47"/>
  <c r="K225" i="47"/>
  <c r="K225" i="9"/>
  <c r="G6" i="9"/>
  <c r="G6" i="47"/>
  <c r="E341" i="9"/>
  <c r="E376" i="47"/>
  <c r="K343" i="47"/>
  <c r="K343" i="9"/>
  <c r="D67" i="9"/>
  <c r="F66" i="47"/>
  <c r="F66" i="9"/>
  <c r="F64" i="47"/>
  <c r="F65" i="47"/>
  <c r="F65" i="9"/>
  <c r="G8" i="9"/>
  <c r="G8" i="47"/>
  <c r="I108" i="47"/>
  <c r="AP143" i="47"/>
  <c r="AQ110" i="47"/>
  <c r="AI343" i="47"/>
  <c r="AH343" i="47"/>
  <c r="AJ343" i="47"/>
  <c r="AR343" i="47"/>
  <c r="AT343" i="47"/>
  <c r="AS343" i="47"/>
  <c r="BY7" i="45"/>
  <c r="BY8" i="45"/>
  <c r="BK7" i="45"/>
  <c r="BK8" i="45"/>
  <c r="BY5" i="45"/>
  <c r="AR225" i="47"/>
  <c r="AT225" i="47"/>
  <c r="AS225" i="47"/>
  <c r="AI225" i="47"/>
  <c r="AH225" i="47"/>
  <c r="AJ225" i="47"/>
  <c r="AR110" i="47"/>
  <c r="AS110" i="47"/>
  <c r="AT110" i="47"/>
  <c r="AI110" i="47"/>
  <c r="AH110" i="47"/>
  <c r="AJ110" i="47"/>
  <c r="K346" i="47"/>
  <c r="K346" i="9"/>
  <c r="K348" i="47"/>
  <c r="K348" i="9"/>
  <c r="K363" i="47"/>
  <c r="K363" i="9"/>
  <c r="K369" i="47"/>
  <c r="K369" i="9"/>
  <c r="K354" i="47"/>
  <c r="K354" i="9"/>
  <c r="K344" i="47"/>
  <c r="K344" i="9"/>
  <c r="K365" i="47"/>
  <c r="K365" i="9"/>
  <c r="K367" i="47"/>
  <c r="K367" i="9"/>
  <c r="E376" i="9"/>
  <c r="K373" i="47"/>
  <c r="K373" i="9"/>
  <c r="K345" i="47"/>
  <c r="K345" i="9"/>
  <c r="K350" i="47"/>
  <c r="K350" i="9"/>
  <c r="K352" i="47"/>
  <c r="K352" i="9"/>
  <c r="K357" i="47"/>
  <c r="K357" i="9"/>
  <c r="K351" i="47"/>
  <c r="K351" i="9"/>
  <c r="K361" i="47"/>
  <c r="K361" i="9"/>
  <c r="K368" i="47"/>
  <c r="K368" i="9"/>
  <c r="K362" i="47"/>
  <c r="K362" i="9"/>
  <c r="K372" i="47"/>
  <c r="K372" i="9"/>
  <c r="K347" i="47"/>
  <c r="K347" i="9"/>
  <c r="K353" i="47"/>
  <c r="K353" i="9"/>
  <c r="K370" i="47"/>
  <c r="K370" i="9"/>
  <c r="K375" i="47"/>
  <c r="K375" i="9"/>
  <c r="K360" i="47"/>
  <c r="K360" i="9"/>
  <c r="K358" i="47"/>
  <c r="K358" i="9"/>
  <c r="K341" i="47"/>
  <c r="K366" i="47"/>
  <c r="K366" i="9"/>
  <c r="K356" i="47"/>
  <c r="K356" i="9"/>
  <c r="K371" i="47"/>
  <c r="K371" i="9"/>
  <c r="K359" i="47"/>
  <c r="K359" i="9"/>
  <c r="K342" i="47"/>
  <c r="K342" i="9"/>
  <c r="K374" i="47"/>
  <c r="K374" i="9"/>
  <c r="K349" i="47"/>
  <c r="K349" i="9"/>
  <c r="K355" i="47"/>
  <c r="K355" i="9"/>
  <c r="K364" i="47"/>
  <c r="K364" i="9"/>
  <c r="E143" i="9"/>
  <c r="K120" i="47"/>
  <c r="K120" i="9"/>
  <c r="K135" i="47"/>
  <c r="K135" i="9"/>
  <c r="K127" i="47"/>
  <c r="K127" i="9"/>
  <c r="K113" i="47"/>
  <c r="K113" i="9"/>
  <c r="K128" i="47"/>
  <c r="K128" i="9"/>
  <c r="K137" i="47"/>
  <c r="K137" i="9"/>
  <c r="K132" i="47"/>
  <c r="K132" i="9"/>
  <c r="K126" i="47"/>
  <c r="K126" i="9"/>
  <c r="K119" i="47"/>
  <c r="K119" i="9"/>
  <c r="K139" i="47"/>
  <c r="K139" i="9"/>
  <c r="K118" i="47"/>
  <c r="K118" i="9"/>
  <c r="K141" i="47"/>
  <c r="K141" i="9"/>
  <c r="K136" i="47"/>
  <c r="K136" i="9"/>
  <c r="K123" i="47"/>
  <c r="K123" i="9"/>
  <c r="K124" i="47"/>
  <c r="K124" i="9"/>
  <c r="K131" i="47"/>
  <c r="K131" i="9"/>
  <c r="K121" i="47"/>
  <c r="K121" i="9"/>
  <c r="K117" i="47"/>
  <c r="K117" i="9"/>
  <c r="K142" i="47"/>
  <c r="K142" i="9"/>
  <c r="K112" i="47"/>
  <c r="K112" i="9"/>
  <c r="K138" i="47"/>
  <c r="K138" i="9"/>
  <c r="K114" i="47"/>
  <c r="K114" i="9"/>
  <c r="K140" i="47"/>
  <c r="K140" i="9"/>
  <c r="K111" i="47"/>
  <c r="K111" i="9"/>
  <c r="K125" i="47"/>
  <c r="K125" i="9"/>
  <c r="K133" i="47"/>
  <c r="K133" i="9"/>
  <c r="K129" i="47"/>
  <c r="K129" i="9"/>
  <c r="K134" i="47"/>
  <c r="K134" i="9"/>
  <c r="K116" i="47"/>
  <c r="K116" i="9"/>
  <c r="K108" i="47"/>
  <c r="K122" i="47"/>
  <c r="K122" i="9"/>
  <c r="K130" i="47"/>
  <c r="K130" i="9"/>
  <c r="K109" i="47"/>
  <c r="K109" i="9"/>
  <c r="K115" i="47"/>
  <c r="K115" i="9"/>
  <c r="F64" i="9"/>
  <c r="F67" i="47"/>
  <c r="F67" i="9"/>
  <c r="I376" i="47"/>
  <c r="I376" i="9"/>
  <c r="I341" i="9"/>
  <c r="F108" i="9"/>
  <c r="F143" i="47"/>
  <c r="L110" i="47"/>
  <c r="L110" i="9"/>
  <c r="AG363" i="47"/>
  <c r="AG372" i="47"/>
  <c r="AG374" i="47"/>
  <c r="AG355" i="47"/>
  <c r="AG368" i="47"/>
  <c r="AG345" i="47"/>
  <c r="AG365" i="47"/>
  <c r="AG351" i="47"/>
  <c r="AG369" i="47"/>
  <c r="AG354" i="47"/>
  <c r="AG350" i="47"/>
  <c r="AG361" i="47"/>
  <c r="AG348" i="47"/>
  <c r="AG371" i="47"/>
  <c r="AG367" i="47"/>
  <c r="AG360" i="47"/>
  <c r="AG352" i="47"/>
  <c r="AG364" i="47"/>
  <c r="AG362" i="47"/>
  <c r="AG366" i="47"/>
  <c r="AG344" i="47"/>
  <c r="AG370" i="47"/>
  <c r="AG347" i="47"/>
  <c r="AG356" i="47"/>
  <c r="AG359" i="47"/>
  <c r="AG349" i="47"/>
  <c r="AG375" i="47"/>
  <c r="AG357" i="47"/>
  <c r="AG342" i="47"/>
  <c r="AG346" i="47"/>
  <c r="AG358" i="47"/>
  <c r="AG373" i="47"/>
  <c r="AG341" i="47"/>
  <c r="AG353" i="47"/>
  <c r="AQ130" i="47"/>
  <c r="AQ135" i="47"/>
  <c r="AQ129" i="47"/>
  <c r="AQ133" i="47"/>
  <c r="AQ126" i="47"/>
  <c r="AQ127" i="47"/>
  <c r="AQ138" i="47"/>
  <c r="AQ137" i="47"/>
  <c r="AQ125" i="47"/>
  <c r="AQ109" i="47"/>
  <c r="AQ113" i="47"/>
  <c r="AQ136" i="47"/>
  <c r="AQ134" i="47"/>
  <c r="AQ142" i="47"/>
  <c r="AQ111" i="47"/>
  <c r="AQ131" i="47"/>
  <c r="AQ124" i="47"/>
  <c r="AQ120" i="47"/>
  <c r="AQ140" i="47"/>
  <c r="AQ112" i="47"/>
  <c r="AQ132" i="47"/>
  <c r="AQ139" i="47"/>
  <c r="AQ123" i="47"/>
  <c r="AQ108" i="47"/>
  <c r="AQ122" i="47"/>
  <c r="AQ114" i="47"/>
  <c r="AQ119" i="47"/>
  <c r="AQ115" i="47"/>
  <c r="AQ128" i="47"/>
  <c r="AQ118" i="47"/>
  <c r="AQ117" i="47"/>
  <c r="AQ116" i="47"/>
  <c r="AQ121" i="47"/>
  <c r="AQ141" i="47"/>
  <c r="K256" i="47"/>
  <c r="K256" i="9"/>
  <c r="K235" i="47"/>
  <c r="K235" i="9"/>
  <c r="K224" i="47"/>
  <c r="K224" i="9"/>
  <c r="K233" i="47"/>
  <c r="K233" i="9"/>
  <c r="K240" i="47"/>
  <c r="K240" i="9"/>
  <c r="K257" i="47"/>
  <c r="K257" i="9"/>
  <c r="K230" i="47"/>
  <c r="K230" i="9"/>
  <c r="K239" i="47"/>
  <c r="K239" i="9"/>
  <c r="K236" i="47"/>
  <c r="K236" i="9"/>
  <c r="K244" i="47"/>
  <c r="K244" i="9"/>
  <c r="K252" i="47"/>
  <c r="K252" i="9"/>
  <c r="K250" i="47"/>
  <c r="K250" i="9"/>
  <c r="K255" i="47"/>
  <c r="K255" i="9"/>
  <c r="K231" i="47"/>
  <c r="K231" i="9"/>
  <c r="K232" i="47"/>
  <c r="K232" i="9"/>
  <c r="K228" i="47"/>
  <c r="K228" i="9"/>
  <c r="K245" i="47"/>
  <c r="K245" i="9"/>
  <c r="K226" i="47"/>
  <c r="K226" i="9"/>
  <c r="K241" i="47"/>
  <c r="K241" i="9"/>
  <c r="K242" i="47"/>
  <c r="K242" i="9"/>
  <c r="K238" i="47"/>
  <c r="K238" i="9"/>
  <c r="K246" i="47"/>
  <c r="K246" i="9"/>
  <c r="K229" i="47"/>
  <c r="K229" i="9"/>
  <c r="K247" i="47"/>
  <c r="K247" i="9"/>
  <c r="K243" i="47"/>
  <c r="K243" i="9"/>
  <c r="K237" i="47"/>
  <c r="K237" i="9"/>
  <c r="K248" i="47"/>
  <c r="K248" i="9"/>
  <c r="K234" i="47"/>
  <c r="K234" i="9"/>
  <c r="K254" i="47"/>
  <c r="K254" i="9"/>
  <c r="K253" i="47"/>
  <c r="K253" i="9"/>
  <c r="K223" i="47"/>
  <c r="K251" i="47"/>
  <c r="K251" i="9"/>
  <c r="K249" i="47"/>
  <c r="K249" i="9"/>
  <c r="E258" i="9"/>
  <c r="K227" i="47"/>
  <c r="K227" i="9"/>
  <c r="F299" i="47"/>
  <c r="F299" i="9"/>
  <c r="F296" i="9"/>
  <c r="AG245" i="47"/>
  <c r="AG252" i="47"/>
  <c r="AG254" i="47"/>
  <c r="AG229" i="47"/>
  <c r="AG226" i="47"/>
  <c r="AG243" i="47"/>
  <c r="AG248" i="47"/>
  <c r="AG257" i="47"/>
  <c r="AG227" i="47"/>
  <c r="AG224" i="47"/>
  <c r="AG233" i="47"/>
  <c r="AG255" i="47"/>
  <c r="AG241" i="47"/>
  <c r="AG236" i="47"/>
  <c r="AG240" i="47"/>
  <c r="AG256" i="47"/>
  <c r="AG251" i="47"/>
  <c r="AG239" i="47"/>
  <c r="AG231" i="47"/>
  <c r="AG238" i="47"/>
  <c r="AG244" i="47"/>
  <c r="AG230" i="47"/>
  <c r="AG235" i="47"/>
  <c r="AG247" i="47"/>
  <c r="AG228" i="47"/>
  <c r="AG223" i="47"/>
  <c r="AG242" i="47"/>
  <c r="AG234" i="47"/>
  <c r="AG237" i="47"/>
  <c r="AG249" i="47"/>
  <c r="AG250" i="47"/>
  <c r="AG253" i="47"/>
  <c r="AG232" i="47"/>
  <c r="AG246" i="47"/>
  <c r="I108" i="9"/>
  <c r="I143" i="47"/>
  <c r="I143" i="9"/>
  <c r="F223" i="9"/>
  <c r="F258" i="47"/>
  <c r="L225" i="47"/>
  <c r="L225" i="9"/>
  <c r="AQ237" i="47"/>
  <c r="AQ224" i="47"/>
  <c r="AQ256" i="47"/>
  <c r="AQ231" i="47"/>
  <c r="AQ248" i="47"/>
  <c r="AQ235" i="47"/>
  <c r="AQ227" i="47"/>
  <c r="AQ226" i="47"/>
  <c r="AQ252" i="47"/>
  <c r="AQ230" i="47"/>
  <c r="AQ233" i="47"/>
  <c r="AQ232" i="47"/>
  <c r="AQ229" i="47"/>
  <c r="AQ251" i="47"/>
  <c r="AQ240" i="47"/>
  <c r="AQ241" i="47"/>
  <c r="AQ255" i="47"/>
  <c r="AQ257" i="47"/>
  <c r="AQ243" i="47"/>
  <c r="AQ247" i="47"/>
  <c r="AQ234" i="47"/>
  <c r="AQ238" i="47"/>
  <c r="AQ236" i="47"/>
  <c r="AQ242" i="47"/>
  <c r="AQ246" i="47"/>
  <c r="AQ239" i="47"/>
  <c r="AQ228" i="47"/>
  <c r="AQ245" i="47"/>
  <c r="AQ244" i="47"/>
  <c r="AQ254" i="47"/>
  <c r="AQ223" i="47"/>
  <c r="AQ249" i="47"/>
  <c r="AQ253" i="47"/>
  <c r="AQ250" i="47"/>
  <c r="F178" i="9"/>
  <c r="F181" i="47"/>
  <c r="F181" i="9"/>
  <c r="I223" i="9"/>
  <c r="I258" i="47"/>
  <c r="I258" i="9"/>
  <c r="AQ367" i="47"/>
  <c r="AQ373" i="47"/>
  <c r="AQ350" i="47"/>
  <c r="AQ358" i="47"/>
  <c r="AQ359" i="47"/>
  <c r="AQ364" i="47"/>
  <c r="AQ368" i="47"/>
  <c r="AQ366" i="47"/>
  <c r="AQ362" i="47"/>
  <c r="AQ349" i="47"/>
  <c r="AQ372" i="47"/>
  <c r="AQ360" i="47"/>
  <c r="AQ361" i="47"/>
  <c r="AQ354" i="47"/>
  <c r="AQ346" i="47"/>
  <c r="AQ357" i="47"/>
  <c r="AQ365" i="47"/>
  <c r="AQ342" i="47"/>
  <c r="AQ355" i="47"/>
  <c r="AQ375" i="47"/>
  <c r="AQ347" i="47"/>
  <c r="AQ345" i="47"/>
  <c r="AQ374" i="47"/>
  <c r="AQ369" i="47"/>
  <c r="AQ370" i="47"/>
  <c r="AQ341" i="47"/>
  <c r="AQ348" i="47"/>
  <c r="AQ356" i="47"/>
  <c r="AQ344" i="47"/>
  <c r="AQ352" i="47"/>
  <c r="AQ363" i="47"/>
  <c r="AQ351" i="47"/>
  <c r="AQ353" i="47"/>
  <c r="AQ371" i="47"/>
  <c r="AG129" i="47"/>
  <c r="AG109" i="47"/>
  <c r="AG113" i="47"/>
  <c r="AG125" i="47"/>
  <c r="AG142" i="47"/>
  <c r="AG136" i="47"/>
  <c r="AG139" i="47"/>
  <c r="AG128" i="47"/>
  <c r="AG117" i="47"/>
  <c r="AG131" i="47"/>
  <c r="AG127" i="47"/>
  <c r="AG124" i="47"/>
  <c r="AG114" i="47"/>
  <c r="AG137" i="47"/>
  <c r="AG141" i="47"/>
  <c r="AG133" i="47"/>
  <c r="AG111" i="47"/>
  <c r="AG140" i="47"/>
  <c r="AG120" i="47"/>
  <c r="AG119" i="47"/>
  <c r="AG118" i="47"/>
  <c r="AG115" i="47"/>
  <c r="AG112" i="47"/>
  <c r="AG126" i="47"/>
  <c r="AG123" i="47"/>
  <c r="AG108" i="47"/>
  <c r="AG138" i="47"/>
  <c r="AG122" i="47"/>
  <c r="AG130" i="47"/>
  <c r="AG134" i="47"/>
  <c r="AG135" i="47"/>
  <c r="AG116" i="47"/>
  <c r="AG121" i="47"/>
  <c r="AG132" i="47"/>
  <c r="F341" i="9"/>
  <c r="F376" i="47"/>
  <c r="L343" i="47"/>
  <c r="L343" i="9"/>
  <c r="AI121" i="47"/>
  <c r="AJ121" i="47"/>
  <c r="AH121" i="47"/>
  <c r="AJ123" i="47"/>
  <c r="AI123" i="47"/>
  <c r="AH123" i="47"/>
  <c r="AI111" i="47"/>
  <c r="AH111" i="47"/>
  <c r="AJ111" i="47"/>
  <c r="AH117" i="47"/>
  <c r="AI117" i="47"/>
  <c r="AJ117" i="47"/>
  <c r="AJ129" i="47"/>
  <c r="AH129" i="47"/>
  <c r="AI129" i="47"/>
  <c r="AS363" i="47"/>
  <c r="AR363" i="47"/>
  <c r="AT363" i="47"/>
  <c r="AR374" i="47"/>
  <c r="AS374" i="47"/>
  <c r="AT374" i="47"/>
  <c r="AR355" i="47"/>
  <c r="AS355" i="47"/>
  <c r="AT355" i="47"/>
  <c r="AR372" i="47"/>
  <c r="AT372" i="47"/>
  <c r="AS372" i="47"/>
  <c r="AR350" i="47"/>
  <c r="AT350" i="47"/>
  <c r="AS350" i="47"/>
  <c r="AT253" i="47"/>
  <c r="AS253" i="47"/>
  <c r="AR253" i="47"/>
  <c r="AT246" i="47"/>
  <c r="AR246" i="47"/>
  <c r="AS246" i="47"/>
  <c r="AR229" i="47"/>
  <c r="AS229" i="47"/>
  <c r="AT229" i="47"/>
  <c r="AS248" i="47"/>
  <c r="AR248" i="47"/>
  <c r="AT248" i="47"/>
  <c r="AI242" i="47"/>
  <c r="AJ242" i="47"/>
  <c r="AH242" i="47"/>
  <c r="AI231" i="47"/>
  <c r="AH231" i="47"/>
  <c r="AJ231" i="47"/>
  <c r="AJ233" i="47"/>
  <c r="AI233" i="47"/>
  <c r="AH233" i="47"/>
  <c r="AT141" i="47"/>
  <c r="AR141" i="47"/>
  <c r="AS141" i="47"/>
  <c r="AS114" i="47"/>
  <c r="AR114" i="47"/>
  <c r="AT114" i="47"/>
  <c r="AS142" i="47"/>
  <c r="AR142" i="47"/>
  <c r="AT142" i="47"/>
  <c r="AS127" i="47"/>
  <c r="AR127" i="47"/>
  <c r="AT127" i="47"/>
  <c r="AI373" i="47"/>
  <c r="AJ373" i="47"/>
  <c r="AH373" i="47"/>
  <c r="AI356" i="47"/>
  <c r="AJ356" i="47"/>
  <c r="AH356" i="47"/>
  <c r="AH361" i="47"/>
  <c r="AI361" i="47"/>
  <c r="AJ361" i="47"/>
  <c r="F143" i="9"/>
  <c r="L127" i="47"/>
  <c r="L127" i="9"/>
  <c r="L112" i="47"/>
  <c r="L112" i="9"/>
  <c r="L118" i="47"/>
  <c r="L118" i="9"/>
  <c r="L124" i="47"/>
  <c r="L124" i="9"/>
  <c r="L139" i="47"/>
  <c r="L139" i="9"/>
  <c r="L114" i="47"/>
  <c r="L114" i="9"/>
  <c r="L111" i="47"/>
  <c r="L111" i="9"/>
  <c r="L134" i="47"/>
  <c r="L134" i="9"/>
  <c r="L133" i="47"/>
  <c r="L133" i="9"/>
  <c r="L131" i="47"/>
  <c r="L131" i="9"/>
  <c r="L122" i="47"/>
  <c r="L122" i="9"/>
  <c r="L140" i="47"/>
  <c r="L140" i="9"/>
  <c r="L113" i="47"/>
  <c r="L113" i="9"/>
  <c r="L141" i="47"/>
  <c r="L141" i="9"/>
  <c r="L117" i="47"/>
  <c r="L117" i="9"/>
  <c r="L129" i="47"/>
  <c r="L129" i="9"/>
  <c r="L109" i="47"/>
  <c r="L109" i="9"/>
  <c r="L121" i="47"/>
  <c r="L121" i="9"/>
  <c r="L125" i="47"/>
  <c r="L125" i="9"/>
  <c r="L115" i="47"/>
  <c r="L115" i="9"/>
  <c r="L123" i="47"/>
  <c r="L123" i="9"/>
  <c r="L136" i="47"/>
  <c r="L136" i="9"/>
  <c r="L137" i="47"/>
  <c r="L137" i="9"/>
  <c r="L138" i="47"/>
  <c r="L138" i="9"/>
  <c r="L142" i="47"/>
  <c r="L142" i="9"/>
  <c r="L135" i="47"/>
  <c r="L135" i="9"/>
  <c r="L126" i="47"/>
  <c r="L126" i="9"/>
  <c r="L108" i="47"/>
  <c r="L132" i="47"/>
  <c r="L132" i="9"/>
  <c r="L130" i="47"/>
  <c r="L130" i="9"/>
  <c r="L119" i="47"/>
  <c r="L119" i="9"/>
  <c r="L128" i="47"/>
  <c r="L128" i="9"/>
  <c r="L120" i="47"/>
  <c r="L120" i="9"/>
  <c r="L116" i="47"/>
  <c r="L116" i="9"/>
  <c r="L358" i="47"/>
  <c r="L358" i="9"/>
  <c r="L347" i="47"/>
  <c r="L347" i="9"/>
  <c r="L369" i="47"/>
  <c r="L369" i="9"/>
  <c r="L355" i="47"/>
  <c r="L355" i="9"/>
  <c r="L349" i="47"/>
  <c r="L349" i="9"/>
  <c r="L365" i="47"/>
  <c r="L365" i="9"/>
  <c r="L350" i="47"/>
  <c r="L350" i="9"/>
  <c r="L363" i="47"/>
  <c r="L363" i="9"/>
  <c r="L373" i="47"/>
  <c r="L373" i="9"/>
  <c r="L370" i="47"/>
  <c r="L370" i="9"/>
  <c r="L360" i="47"/>
  <c r="L360" i="9"/>
  <c r="F376" i="9"/>
  <c r="L368" i="47"/>
  <c r="L368" i="9"/>
  <c r="L345" i="47"/>
  <c r="L345" i="9"/>
  <c r="L356" i="47"/>
  <c r="L356" i="9"/>
  <c r="L367" i="47"/>
  <c r="L367" i="9"/>
  <c r="L366" i="47"/>
  <c r="L366" i="9"/>
  <c r="L374" i="47"/>
  <c r="L374" i="9"/>
  <c r="L371" i="47"/>
  <c r="L371" i="9"/>
  <c r="L354" i="47"/>
  <c r="L354" i="9"/>
  <c r="L359" i="47"/>
  <c r="L359" i="9"/>
  <c r="L344" i="47"/>
  <c r="L344" i="9"/>
  <c r="L352" i="47"/>
  <c r="L352" i="9"/>
  <c r="L351" i="47"/>
  <c r="L351" i="9"/>
  <c r="L362" i="47"/>
  <c r="L362" i="9"/>
  <c r="L372" i="47"/>
  <c r="L372" i="9"/>
  <c r="L357" i="47"/>
  <c r="L357" i="9"/>
  <c r="L361" i="47"/>
  <c r="L361" i="9"/>
  <c r="L346" i="47"/>
  <c r="L346" i="9"/>
  <c r="L375" i="47"/>
  <c r="L375" i="9"/>
  <c r="L353" i="47"/>
  <c r="L353" i="9"/>
  <c r="L348" i="47"/>
  <c r="L348" i="9"/>
  <c r="L342" i="47"/>
  <c r="L342" i="9"/>
  <c r="L341" i="47"/>
  <c r="L364" i="47"/>
  <c r="L364" i="9"/>
  <c r="AJ126" i="47"/>
  <c r="AI126" i="47"/>
  <c r="AH126" i="47"/>
  <c r="AH133" i="47"/>
  <c r="AJ133" i="47"/>
  <c r="AI133" i="47"/>
  <c r="AI125" i="47"/>
  <c r="AJ125" i="47"/>
  <c r="AH125" i="47"/>
  <c r="AS352" i="47"/>
  <c r="AR352" i="47"/>
  <c r="AT352" i="47"/>
  <c r="AR342" i="47"/>
  <c r="AS342" i="47"/>
  <c r="AT342" i="47"/>
  <c r="AS349" i="47"/>
  <c r="AT349" i="47"/>
  <c r="AR349" i="47"/>
  <c r="AT373" i="47"/>
  <c r="AR373" i="47"/>
  <c r="AS373" i="47"/>
  <c r="AS249" i="47"/>
  <c r="AT249" i="47"/>
  <c r="AR249" i="47"/>
  <c r="AT247" i="47"/>
  <c r="AR247" i="47"/>
  <c r="AS247" i="47"/>
  <c r="L244" i="47"/>
  <c r="L244" i="9"/>
  <c r="L234" i="47"/>
  <c r="L234" i="9"/>
  <c r="L224" i="47"/>
  <c r="L224" i="9"/>
  <c r="L241" i="47"/>
  <c r="L241" i="9"/>
  <c r="L256" i="47"/>
  <c r="L256" i="9"/>
  <c r="F258" i="9"/>
  <c r="L240" i="47"/>
  <c r="L240" i="9"/>
  <c r="L235" i="47"/>
  <c r="L235" i="9"/>
  <c r="L257" i="47"/>
  <c r="L257" i="9"/>
  <c r="L237" i="47"/>
  <c r="L237" i="9"/>
  <c r="L255" i="47"/>
  <c r="L255" i="9"/>
  <c r="L229" i="47"/>
  <c r="L229" i="9"/>
  <c r="L253" i="47"/>
  <c r="L253" i="9"/>
  <c r="L249" i="47"/>
  <c r="L249" i="9"/>
  <c r="L248" i="47"/>
  <c r="L248" i="9"/>
  <c r="L246" i="47"/>
  <c r="L246" i="9"/>
  <c r="L242" i="47"/>
  <c r="L242" i="9"/>
  <c r="L247" i="47"/>
  <c r="L247" i="9"/>
  <c r="L228" i="47"/>
  <c r="L228" i="9"/>
  <c r="L226" i="47"/>
  <c r="L226" i="9"/>
  <c r="L245" i="47"/>
  <c r="L245" i="9"/>
  <c r="L252" i="47"/>
  <c r="L252" i="9"/>
  <c r="L232" i="47"/>
  <c r="L232" i="9"/>
  <c r="L223" i="47"/>
  <c r="L236" i="47"/>
  <c r="L236" i="9"/>
  <c r="L254" i="47"/>
  <c r="L254" i="9"/>
  <c r="L231" i="47"/>
  <c r="L231" i="9"/>
  <c r="L250" i="47"/>
  <c r="L250" i="9"/>
  <c r="L233" i="47"/>
  <c r="L233" i="9"/>
  <c r="L251" i="47"/>
  <c r="L251" i="9"/>
  <c r="L238" i="47"/>
  <c r="L238" i="9"/>
  <c r="L227" i="47"/>
  <c r="L227" i="9"/>
  <c r="L239" i="47"/>
  <c r="L239" i="9"/>
  <c r="L243" i="47"/>
  <c r="L243" i="9"/>
  <c r="L230" i="47"/>
  <c r="L230" i="9"/>
  <c r="AI249" i="47"/>
  <c r="AJ249" i="47"/>
  <c r="AH249" i="47"/>
  <c r="AH230" i="47"/>
  <c r="AI230" i="47"/>
  <c r="AJ230" i="47"/>
  <c r="AH236" i="47"/>
  <c r="AJ236" i="47"/>
  <c r="AI236" i="47"/>
  <c r="AJ224" i="47"/>
  <c r="AI224" i="47"/>
  <c r="AH224" i="47"/>
  <c r="AI252" i="47"/>
  <c r="AJ252" i="47"/>
  <c r="AH252" i="47"/>
  <c r="K258" i="47"/>
  <c r="K258" i="9"/>
  <c r="K223" i="9"/>
  <c r="AS128" i="47"/>
  <c r="AR128" i="47"/>
  <c r="AT128" i="47"/>
  <c r="AT132" i="47"/>
  <c r="AR132" i="47"/>
  <c r="AS132" i="47"/>
  <c r="AS134" i="47"/>
  <c r="AR134" i="47"/>
  <c r="AT134" i="47"/>
  <c r="AS126" i="47"/>
  <c r="AR126" i="47"/>
  <c r="AT126" i="47"/>
  <c r="AS130" i="47"/>
  <c r="AR130" i="47"/>
  <c r="AT130" i="47"/>
  <c r="AH375" i="47"/>
  <c r="AJ375" i="47"/>
  <c r="AI375" i="47"/>
  <c r="AH347" i="47"/>
  <c r="AJ347" i="47"/>
  <c r="AI347" i="47"/>
  <c r="AH362" i="47"/>
  <c r="AJ362" i="47"/>
  <c r="AI362" i="47"/>
  <c r="AJ367" i="47"/>
  <c r="AH367" i="47"/>
  <c r="AI367" i="47"/>
  <c r="AI350" i="47"/>
  <c r="AJ350" i="47"/>
  <c r="AH350" i="47"/>
  <c r="AH365" i="47"/>
  <c r="AJ365" i="47"/>
  <c r="AI365" i="47"/>
  <c r="AI374" i="47"/>
  <c r="AH374" i="47"/>
  <c r="AJ374" i="47"/>
  <c r="AJ135" i="47"/>
  <c r="AI135" i="47"/>
  <c r="AH135" i="47"/>
  <c r="AJ138" i="47"/>
  <c r="AH138" i="47"/>
  <c r="AI138" i="47"/>
  <c r="AH112" i="47"/>
  <c r="AJ112" i="47"/>
  <c r="AI112" i="47"/>
  <c r="AI120" i="47"/>
  <c r="AH120" i="47"/>
  <c r="AJ120" i="47"/>
  <c r="AH141" i="47"/>
  <c r="AI141" i="47"/>
  <c r="AJ141" i="47"/>
  <c r="AI127" i="47"/>
  <c r="AJ127" i="47"/>
  <c r="AH127" i="47"/>
  <c r="AH139" i="47"/>
  <c r="AJ139" i="47"/>
  <c r="AI139" i="47"/>
  <c r="AH113" i="47"/>
  <c r="AJ113" i="47"/>
  <c r="AI113" i="47"/>
  <c r="AR353" i="47"/>
  <c r="AS353" i="47"/>
  <c r="AT353" i="47"/>
  <c r="AR344" i="47"/>
  <c r="AT344" i="47"/>
  <c r="AS344" i="47"/>
  <c r="AT370" i="47"/>
  <c r="AR370" i="47"/>
  <c r="AS370" i="47"/>
  <c r="AR347" i="47"/>
  <c r="AS347" i="47"/>
  <c r="AT347" i="47"/>
  <c r="AS365" i="47"/>
  <c r="AR365" i="47"/>
  <c r="AT365" i="47"/>
  <c r="AT361" i="47"/>
  <c r="AS361" i="47"/>
  <c r="AR361" i="47"/>
  <c r="AT362" i="47"/>
  <c r="AS362" i="47"/>
  <c r="AR362" i="47"/>
  <c r="AS359" i="47"/>
  <c r="AT359" i="47"/>
  <c r="AR359" i="47"/>
  <c r="AS367" i="47"/>
  <c r="AR367" i="47"/>
  <c r="AT367" i="47"/>
  <c r="AS260" i="47"/>
  <c r="AQ258" i="47"/>
  <c r="AR223" i="47"/>
  <c r="AT223" i="47"/>
  <c r="AS223" i="47"/>
  <c r="AR228" i="47"/>
  <c r="AS228" i="47"/>
  <c r="AT228" i="47"/>
  <c r="AS236" i="47"/>
  <c r="AR236" i="47"/>
  <c r="AT236" i="47"/>
  <c r="AT243" i="47"/>
  <c r="AS243" i="47"/>
  <c r="AR243" i="47"/>
  <c r="AR240" i="47"/>
  <c r="AT240" i="47"/>
  <c r="AS240" i="47"/>
  <c r="AR233" i="47"/>
  <c r="AT233" i="47"/>
  <c r="AS233" i="47"/>
  <c r="AR227" i="47"/>
  <c r="AS227" i="47"/>
  <c r="AT227" i="47"/>
  <c r="AS256" i="47"/>
  <c r="AT256" i="47"/>
  <c r="AR256" i="47"/>
  <c r="AI232" i="47"/>
  <c r="AJ232" i="47"/>
  <c r="AH232" i="47"/>
  <c r="AH237" i="47"/>
  <c r="AJ237" i="47"/>
  <c r="AI237" i="47"/>
  <c r="AH228" i="47"/>
  <c r="AI228" i="47"/>
  <c r="AJ228" i="47"/>
  <c r="AH244" i="47"/>
  <c r="AJ244" i="47"/>
  <c r="AI244" i="47"/>
  <c r="AI251" i="47"/>
  <c r="AH251" i="47"/>
  <c r="AJ251" i="47"/>
  <c r="AH241" i="47"/>
  <c r="AI241" i="47"/>
  <c r="AJ241" i="47"/>
  <c r="AI227" i="47"/>
  <c r="AJ227" i="47"/>
  <c r="AH227" i="47"/>
  <c r="AJ226" i="47"/>
  <c r="AI226" i="47"/>
  <c r="AH226" i="47"/>
  <c r="AI245" i="47"/>
  <c r="AH245" i="47"/>
  <c r="AJ245" i="47"/>
  <c r="AR116" i="47"/>
  <c r="AT116" i="47"/>
  <c r="AS116" i="47"/>
  <c r="AS115" i="47"/>
  <c r="AR115" i="47"/>
  <c r="AT115" i="47"/>
  <c r="AR108" i="47"/>
  <c r="AS145" i="47"/>
  <c r="AT108" i="47"/>
  <c r="AQ143" i="47"/>
  <c r="AS108" i="47"/>
  <c r="AR112" i="47"/>
  <c r="AT112" i="47"/>
  <c r="AS112" i="47"/>
  <c r="AT131" i="47"/>
  <c r="AR131" i="47"/>
  <c r="AS131" i="47"/>
  <c r="AS136" i="47"/>
  <c r="AR136" i="47"/>
  <c r="AT136" i="47"/>
  <c r="AS137" i="47"/>
  <c r="AT137" i="47"/>
  <c r="AR137" i="47"/>
  <c r="AT133" i="47"/>
  <c r="AS133" i="47"/>
  <c r="AR133" i="47"/>
  <c r="AJ353" i="47"/>
  <c r="AI353" i="47"/>
  <c r="AH353" i="47"/>
  <c r="AI346" i="47"/>
  <c r="AH346" i="47"/>
  <c r="AJ346" i="47"/>
  <c r="AJ349" i="47"/>
  <c r="AH349" i="47"/>
  <c r="AI349" i="47"/>
  <c r="AJ370" i="47"/>
  <c r="AH370" i="47"/>
  <c r="AI370" i="47"/>
  <c r="AJ364" i="47"/>
  <c r="AH364" i="47"/>
  <c r="AI364" i="47"/>
  <c r="AI371" i="47"/>
  <c r="AJ371" i="47"/>
  <c r="AH371" i="47"/>
  <c r="AH354" i="47"/>
  <c r="AJ354" i="47"/>
  <c r="AI354" i="47"/>
  <c r="AH345" i="47"/>
  <c r="AI345" i="47"/>
  <c r="AJ345" i="47"/>
  <c r="AJ372" i="47"/>
  <c r="AI372" i="47"/>
  <c r="AH372" i="47"/>
  <c r="K108" i="9"/>
  <c r="K143" i="47"/>
  <c r="K143" i="9"/>
  <c r="K376" i="47"/>
  <c r="K376" i="9"/>
  <c r="K341" i="9"/>
  <c r="AI130" i="47"/>
  <c r="AH130" i="47"/>
  <c r="AJ130" i="47"/>
  <c r="AH118" i="47"/>
  <c r="AJ118" i="47"/>
  <c r="AI118" i="47"/>
  <c r="AI114" i="47"/>
  <c r="AJ114" i="47"/>
  <c r="AH114" i="47"/>
  <c r="AI142" i="47"/>
  <c r="AH142" i="47"/>
  <c r="AJ142" i="47"/>
  <c r="AT348" i="47"/>
  <c r="AS348" i="47"/>
  <c r="AR348" i="47"/>
  <c r="AR346" i="47"/>
  <c r="AT346" i="47"/>
  <c r="AS346" i="47"/>
  <c r="AS368" i="47"/>
  <c r="AR368" i="47"/>
  <c r="AT368" i="47"/>
  <c r="AS244" i="47"/>
  <c r="AR244" i="47"/>
  <c r="AT244" i="47"/>
  <c r="AS234" i="47"/>
  <c r="AR234" i="47"/>
  <c r="AT234" i="47"/>
  <c r="AS255" i="47"/>
  <c r="AR255" i="47"/>
  <c r="AT255" i="47"/>
  <c r="AT252" i="47"/>
  <c r="AR252" i="47"/>
  <c r="AS252" i="47"/>
  <c r="AT237" i="47"/>
  <c r="AR237" i="47"/>
  <c r="AS237" i="47"/>
  <c r="AJ250" i="47"/>
  <c r="AI250" i="47"/>
  <c r="AH250" i="47"/>
  <c r="AH235" i="47"/>
  <c r="AI235" i="47"/>
  <c r="AJ235" i="47"/>
  <c r="AH240" i="47"/>
  <c r="AJ240" i="47"/>
  <c r="AI240" i="47"/>
  <c r="AJ248" i="47"/>
  <c r="AH248" i="47"/>
  <c r="AI248" i="47"/>
  <c r="AI254" i="47"/>
  <c r="AJ254" i="47"/>
  <c r="AH254" i="47"/>
  <c r="AT118" i="47"/>
  <c r="AR118" i="47"/>
  <c r="AS118" i="47"/>
  <c r="AS139" i="47"/>
  <c r="AR139" i="47"/>
  <c r="AT139" i="47"/>
  <c r="AT120" i="47"/>
  <c r="AR120" i="47"/>
  <c r="AS120" i="47"/>
  <c r="AT109" i="47"/>
  <c r="AS109" i="47"/>
  <c r="AR109" i="47"/>
  <c r="AT135" i="47"/>
  <c r="AR135" i="47"/>
  <c r="AS135" i="47"/>
  <c r="AH357" i="47"/>
  <c r="AJ357" i="47"/>
  <c r="AI357" i="47"/>
  <c r="AJ366" i="47"/>
  <c r="AH366" i="47"/>
  <c r="AI366" i="47"/>
  <c r="AH360" i="47"/>
  <c r="AI360" i="47"/>
  <c r="AJ360" i="47"/>
  <c r="AJ351" i="47"/>
  <c r="AH351" i="47"/>
  <c r="AI351" i="47"/>
  <c r="AJ355" i="47"/>
  <c r="AI355" i="47"/>
  <c r="AH355" i="47"/>
  <c r="AH116" i="47"/>
  <c r="AI116" i="47"/>
  <c r="AJ116" i="47"/>
  <c r="AI122" i="47"/>
  <c r="AJ122" i="47"/>
  <c r="AH122" i="47"/>
  <c r="AH119" i="47"/>
  <c r="AJ119" i="47"/>
  <c r="AI119" i="47"/>
  <c r="AI124" i="47"/>
  <c r="AH124" i="47"/>
  <c r="AJ124" i="47"/>
  <c r="AJ128" i="47"/>
  <c r="AI128" i="47"/>
  <c r="AH128" i="47"/>
  <c r="AS371" i="47"/>
  <c r="AR371" i="47"/>
  <c r="AT371" i="47"/>
  <c r="AQ376" i="47"/>
  <c r="AS378" i="47"/>
  <c r="AR341" i="47"/>
  <c r="AT341" i="47"/>
  <c r="AS341" i="47"/>
  <c r="AS345" i="47"/>
  <c r="AR345" i="47"/>
  <c r="AT345" i="47"/>
  <c r="AS354" i="47"/>
  <c r="AR354" i="47"/>
  <c r="AT354" i="47"/>
  <c r="AR364" i="47"/>
  <c r="AT364" i="47"/>
  <c r="AS364" i="47"/>
  <c r="AR245" i="47"/>
  <c r="AT245" i="47"/>
  <c r="AS245" i="47"/>
  <c r="AR242" i="47"/>
  <c r="AT242" i="47"/>
  <c r="AS242" i="47"/>
  <c r="AT241" i="47"/>
  <c r="AS241" i="47"/>
  <c r="AR241" i="47"/>
  <c r="AT232" i="47"/>
  <c r="AS232" i="47"/>
  <c r="AR232" i="47"/>
  <c r="AR226" i="47"/>
  <c r="AT226" i="47"/>
  <c r="AS226" i="47"/>
  <c r="AT231" i="47"/>
  <c r="AR231" i="47"/>
  <c r="AS231" i="47"/>
  <c r="AI246" i="47"/>
  <c r="AJ246" i="47"/>
  <c r="AH246" i="47"/>
  <c r="AH223" i="47"/>
  <c r="AG258" i="47"/>
  <c r="AJ223" i="47"/>
  <c r="AI223" i="47"/>
  <c r="AI260" i="47"/>
  <c r="AH239" i="47"/>
  <c r="AI239" i="47"/>
  <c r="AJ239" i="47"/>
  <c r="AH243" i="47"/>
  <c r="AJ243" i="47"/>
  <c r="AI243" i="47"/>
  <c r="AR121" i="47"/>
  <c r="AT121" i="47"/>
  <c r="AS121" i="47"/>
  <c r="AR122" i="47"/>
  <c r="AT122" i="47"/>
  <c r="AS122" i="47"/>
  <c r="AT124" i="47"/>
  <c r="AS124" i="47"/>
  <c r="AR124" i="47"/>
  <c r="AT125" i="47"/>
  <c r="AR125" i="47"/>
  <c r="AS125" i="47"/>
  <c r="AJ358" i="47"/>
  <c r="AH358" i="47"/>
  <c r="AI358" i="47"/>
  <c r="AJ132" i="47"/>
  <c r="AH132" i="47"/>
  <c r="AI132" i="47"/>
  <c r="AH134" i="47"/>
  <c r="AJ134" i="47"/>
  <c r="AI134" i="47"/>
  <c r="AH108" i="47"/>
  <c r="AJ108" i="47"/>
  <c r="AG143" i="47"/>
  <c r="AI145" i="47"/>
  <c r="AI108" i="47"/>
  <c r="AH115" i="47"/>
  <c r="AI115" i="47"/>
  <c r="AJ115" i="47"/>
  <c r="AI140" i="47"/>
  <c r="AJ140" i="47"/>
  <c r="AH140" i="47"/>
  <c r="AI137" i="47"/>
  <c r="AH137" i="47"/>
  <c r="AJ137" i="47"/>
  <c r="AH131" i="47"/>
  <c r="AI131" i="47"/>
  <c r="AJ131" i="47"/>
  <c r="AI136" i="47"/>
  <c r="AJ136" i="47"/>
  <c r="AH136" i="47"/>
  <c r="AH109" i="47"/>
  <c r="AJ109" i="47"/>
  <c r="AI109" i="47"/>
  <c r="AT351" i="47"/>
  <c r="AR351" i="47"/>
  <c r="AS351" i="47"/>
  <c r="AR356" i="47"/>
  <c r="AS356" i="47"/>
  <c r="AT356" i="47"/>
  <c r="AR369" i="47"/>
  <c r="AT369" i="47"/>
  <c r="AS369" i="47"/>
  <c r="AR375" i="47"/>
  <c r="AT375" i="47"/>
  <c r="AS375" i="47"/>
  <c r="AS357" i="47"/>
  <c r="AT357" i="47"/>
  <c r="AR357" i="47"/>
  <c r="AR360" i="47"/>
  <c r="AS360" i="47"/>
  <c r="AT360" i="47"/>
  <c r="AS366" i="47"/>
  <c r="AR366" i="47"/>
  <c r="AT366" i="47"/>
  <c r="AR358" i="47"/>
  <c r="AS358" i="47"/>
  <c r="AT358" i="47"/>
  <c r="AS250" i="47"/>
  <c r="AT250" i="47"/>
  <c r="AR250" i="47"/>
  <c r="AS254" i="47"/>
  <c r="AT254" i="47"/>
  <c r="AR254" i="47"/>
  <c r="AS239" i="47"/>
  <c r="AT239" i="47"/>
  <c r="AR239" i="47"/>
  <c r="AT238" i="47"/>
  <c r="AR238" i="47"/>
  <c r="AS238" i="47"/>
  <c r="AT257" i="47"/>
  <c r="AS257" i="47"/>
  <c r="AR257" i="47"/>
  <c r="AR251" i="47"/>
  <c r="AT251" i="47"/>
  <c r="AS251" i="47"/>
  <c r="AS230" i="47"/>
  <c r="AR230" i="47"/>
  <c r="AT230" i="47"/>
  <c r="AS235" i="47"/>
  <c r="AR235" i="47"/>
  <c r="AT235" i="47"/>
  <c r="AR224" i="47"/>
  <c r="AT224" i="47"/>
  <c r="AS224" i="47"/>
  <c r="AH253" i="47"/>
  <c r="AI253" i="47"/>
  <c r="AJ253" i="47"/>
  <c r="AH234" i="47"/>
  <c r="AI234" i="47"/>
  <c r="AJ234" i="47"/>
  <c r="AH247" i="47"/>
  <c r="AJ247" i="47"/>
  <c r="AI247" i="47"/>
  <c r="AI238" i="47"/>
  <c r="AJ238" i="47"/>
  <c r="AH238" i="47"/>
  <c r="AJ256" i="47"/>
  <c r="AH256" i="47"/>
  <c r="AI256" i="47"/>
  <c r="AJ255" i="47"/>
  <c r="AH255" i="47"/>
  <c r="AI255" i="47"/>
  <c r="AI257" i="47"/>
  <c r="AH257" i="47"/>
  <c r="AJ257" i="47"/>
  <c r="AI229" i="47"/>
  <c r="AJ229" i="47"/>
  <c r="AH229" i="47"/>
  <c r="AS117" i="47"/>
  <c r="AR117" i="47"/>
  <c r="AT117" i="47"/>
  <c r="AR119" i="47"/>
  <c r="AT119" i="47"/>
  <c r="AS119" i="47"/>
  <c r="AR123" i="47"/>
  <c r="AT123" i="47"/>
  <c r="AS123" i="47"/>
  <c r="AS140" i="47"/>
  <c r="AT140" i="47"/>
  <c r="AR140" i="47"/>
  <c r="AR111" i="47"/>
  <c r="AS111" i="47"/>
  <c r="AT111" i="47"/>
  <c r="AS113" i="47"/>
  <c r="AT113" i="47"/>
  <c r="AR113" i="47"/>
  <c r="AR138" i="47"/>
  <c r="AS138" i="47"/>
  <c r="AT138" i="47"/>
  <c r="AT129" i="47"/>
  <c r="AS129" i="47"/>
  <c r="AR129" i="47"/>
  <c r="AG376" i="47"/>
  <c r="AI378" i="47"/>
  <c r="AH341" i="47"/>
  <c r="AJ341" i="47"/>
  <c r="AI341" i="47"/>
  <c r="AJ342" i="47"/>
  <c r="AH342" i="47"/>
  <c r="AI342" i="47"/>
  <c r="AH359" i="47"/>
  <c r="AI359" i="47"/>
  <c r="AJ359" i="47"/>
  <c r="AI344" i="47"/>
  <c r="AJ344" i="47"/>
  <c r="AH344" i="47"/>
  <c r="AJ352" i="47"/>
  <c r="AH352" i="47"/>
  <c r="AI352" i="47"/>
  <c r="AH348" i="47"/>
  <c r="AI348" i="47"/>
  <c r="AJ348" i="47"/>
  <c r="AJ369" i="47"/>
  <c r="AI369" i="47"/>
  <c r="AH369" i="47"/>
  <c r="AI368" i="47"/>
  <c r="AH368" i="47"/>
  <c r="AJ368" i="47"/>
  <c r="AJ363" i="47"/>
  <c r="AI363" i="47"/>
  <c r="AH363" i="47"/>
  <c r="AV343" i="47"/>
  <c r="AU343" i="47"/>
  <c r="AL343" i="47"/>
  <c r="AK343" i="47"/>
  <c r="AV225" i="47"/>
  <c r="AU225" i="47"/>
  <c r="AL225" i="47"/>
  <c r="AK225" i="47"/>
  <c r="AV110" i="47"/>
  <c r="AU110" i="47"/>
  <c r="AL110" i="47"/>
  <c r="AK110" i="47"/>
  <c r="AJ378" i="47"/>
  <c r="AT378" i="47"/>
  <c r="AL235" i="47"/>
  <c r="AK235" i="47"/>
  <c r="AL260" i="47"/>
  <c r="AK260" i="47"/>
  <c r="AL228" i="47"/>
  <c r="AK228" i="47"/>
  <c r="AL234" i="47"/>
  <c r="AK234" i="47"/>
  <c r="AL248" i="47"/>
  <c r="AK248" i="47"/>
  <c r="AL226" i="47"/>
  <c r="AK226" i="47"/>
  <c r="AL253" i="47"/>
  <c r="AK253" i="47"/>
  <c r="AL241" i="47"/>
  <c r="AK241" i="47"/>
  <c r="AL246" i="47"/>
  <c r="AK246" i="47"/>
  <c r="AL224" i="47"/>
  <c r="AK224" i="47"/>
  <c r="AL378" i="47"/>
  <c r="AK378" i="47"/>
  <c r="AL236" i="47"/>
  <c r="AK236" i="47"/>
  <c r="AL255" i="47"/>
  <c r="AK255" i="47"/>
  <c r="AL233" i="47"/>
  <c r="AK233" i="47"/>
  <c r="AL223" i="47"/>
  <c r="AK223" i="47"/>
  <c r="AL242" i="47"/>
  <c r="AK242" i="47"/>
  <c r="AL231" i="47"/>
  <c r="AK231" i="47"/>
  <c r="AL240" i="47"/>
  <c r="AK240" i="47"/>
  <c r="AL230" i="47"/>
  <c r="AK230" i="47"/>
  <c r="AL250" i="47"/>
  <c r="AK250" i="47"/>
  <c r="AL227" i="47"/>
  <c r="AK227" i="47"/>
  <c r="AL254" i="47"/>
  <c r="AK254" i="47"/>
  <c r="AL257" i="47"/>
  <c r="AK257" i="47"/>
  <c r="AL243" i="47"/>
  <c r="AK243" i="47"/>
  <c r="AL245" i="47"/>
  <c r="AK245" i="47"/>
  <c r="AL252" i="47"/>
  <c r="AK252" i="47"/>
  <c r="AL232" i="47"/>
  <c r="AK232" i="47"/>
  <c r="AL237" i="47"/>
  <c r="AK237" i="47"/>
  <c r="AL229" i="47"/>
  <c r="AK229" i="47"/>
  <c r="AL251" i="47"/>
  <c r="AK251" i="47"/>
  <c r="AL256" i="47"/>
  <c r="AK256" i="47"/>
  <c r="AL249" i="47"/>
  <c r="AK249" i="47"/>
  <c r="AL239" i="47"/>
  <c r="AK239" i="47"/>
  <c r="AL244" i="47"/>
  <c r="AK244" i="47"/>
  <c r="AL247" i="47"/>
  <c r="AK247" i="47"/>
  <c r="AL238" i="47"/>
  <c r="AK238" i="47"/>
  <c r="AJ145" i="47"/>
  <c r="AV363" i="47"/>
  <c r="AU363" i="47"/>
  <c r="AV354" i="47"/>
  <c r="AU354" i="47"/>
  <c r="AV373" i="47"/>
  <c r="AU373" i="47"/>
  <c r="AV357" i="47"/>
  <c r="AU357" i="47"/>
  <c r="AV358" i="47"/>
  <c r="AU358" i="47"/>
  <c r="AV370" i="47"/>
  <c r="AU370" i="47"/>
  <c r="AV351" i="47"/>
  <c r="AU351" i="47"/>
  <c r="AV359" i="47"/>
  <c r="AU359" i="47"/>
  <c r="AV371" i="47"/>
  <c r="AU371" i="47"/>
  <c r="AV365" i="47"/>
  <c r="AU365" i="47"/>
  <c r="AV369" i="47"/>
  <c r="AU369" i="47"/>
  <c r="AV372" i="47"/>
  <c r="AU372" i="47"/>
  <c r="AV375" i="47"/>
  <c r="AU375" i="47"/>
  <c r="AV344" i="47"/>
  <c r="AU344" i="47"/>
  <c r="AV361" i="47"/>
  <c r="AU361" i="47"/>
  <c r="AV364" i="47"/>
  <c r="AU364" i="47"/>
  <c r="AV346" i="47"/>
  <c r="AU346" i="47"/>
  <c r="AV342" i="47"/>
  <c r="AU342" i="47"/>
  <c r="AV341" i="47"/>
  <c r="AU341" i="47"/>
  <c r="AV360" i="47"/>
  <c r="AU360" i="47"/>
  <c r="AV367" i="47"/>
  <c r="AU367" i="47"/>
  <c r="AV349" i="47"/>
  <c r="AU349" i="47"/>
  <c r="AV366" i="47"/>
  <c r="AU366" i="47"/>
  <c r="AV374" i="47"/>
  <c r="AU374" i="47"/>
  <c r="AV356" i="47"/>
  <c r="AU356" i="47"/>
  <c r="AV348" i="47"/>
  <c r="AU348" i="47"/>
  <c r="AV355" i="47"/>
  <c r="AU355" i="47"/>
  <c r="AV352" i="47"/>
  <c r="AU352" i="47"/>
  <c r="AV347" i="47"/>
  <c r="AU347" i="47"/>
  <c r="AV353" i="47"/>
  <c r="AU353" i="47"/>
  <c r="AV368" i="47"/>
  <c r="AU368" i="47"/>
  <c r="AV362" i="47"/>
  <c r="AU362" i="47"/>
  <c r="AV350" i="47"/>
  <c r="AU350" i="47"/>
  <c r="AV345" i="47"/>
  <c r="AU345" i="47"/>
  <c r="AT145" i="47"/>
  <c r="AV113" i="47"/>
  <c r="AU113" i="47"/>
  <c r="AV128" i="47"/>
  <c r="AU128" i="47"/>
  <c r="AV109" i="47"/>
  <c r="AU109" i="47"/>
  <c r="AV123" i="47"/>
  <c r="AU123" i="47"/>
  <c r="AV145" i="47"/>
  <c r="AU145" i="47"/>
  <c r="AV133" i="47"/>
  <c r="AU133" i="47"/>
  <c r="AV135" i="47"/>
  <c r="AU135" i="47"/>
  <c r="AV119" i="47"/>
  <c r="AU119" i="47"/>
  <c r="AV117" i="47"/>
  <c r="AU117" i="47"/>
  <c r="AV132" i="47"/>
  <c r="AU132" i="47"/>
  <c r="AV129" i="47"/>
  <c r="AU129" i="47"/>
  <c r="AV139" i="47"/>
  <c r="AU139" i="47"/>
  <c r="AV114" i="47"/>
  <c r="AU114" i="47"/>
  <c r="AV130" i="47"/>
  <c r="AU130" i="47"/>
  <c r="AV134" i="47"/>
  <c r="AU134" i="47"/>
  <c r="AV121" i="47"/>
  <c r="AU121" i="47"/>
  <c r="AV118" i="47"/>
  <c r="AU118" i="47"/>
  <c r="AV127" i="47"/>
  <c r="AU127" i="47"/>
  <c r="AV124" i="47"/>
  <c r="AU124" i="47"/>
  <c r="AV111" i="47"/>
  <c r="AU111" i="47"/>
  <c r="AV131" i="47"/>
  <c r="AU131" i="47"/>
  <c r="AV116" i="47"/>
  <c r="AU116" i="47"/>
  <c r="AV137" i="47"/>
  <c r="AU137" i="47"/>
  <c r="AV115" i="47"/>
  <c r="AU115" i="47"/>
  <c r="AV126" i="47"/>
  <c r="AU126" i="47"/>
  <c r="AV142" i="47"/>
  <c r="AU142" i="47"/>
  <c r="AV140" i="47"/>
  <c r="AU140" i="47"/>
  <c r="AV136" i="47"/>
  <c r="AU136" i="47"/>
  <c r="AV122" i="47"/>
  <c r="AU122" i="47"/>
  <c r="AV141" i="47"/>
  <c r="AU141" i="47"/>
  <c r="AV125" i="47"/>
  <c r="AU125" i="47"/>
  <c r="AV138" i="47"/>
  <c r="AU138" i="47"/>
  <c r="AV112" i="47"/>
  <c r="AU112" i="47"/>
  <c r="AV120" i="47"/>
  <c r="AU120" i="47"/>
  <c r="AV108" i="47"/>
  <c r="AU108" i="47"/>
  <c r="AT260" i="47"/>
  <c r="AL358" i="47"/>
  <c r="AK358" i="47"/>
  <c r="AL360" i="47"/>
  <c r="AK360" i="47"/>
  <c r="AL368" i="47"/>
  <c r="AK368" i="47"/>
  <c r="AL373" i="47"/>
  <c r="AK373" i="47"/>
  <c r="AL356" i="47"/>
  <c r="AK356" i="47"/>
  <c r="AL353" i="47"/>
  <c r="AK353" i="47"/>
  <c r="AL355" i="47"/>
  <c r="AK355" i="47"/>
  <c r="AL371" i="47"/>
  <c r="AK371" i="47"/>
  <c r="AL349" i="47"/>
  <c r="AK349" i="47"/>
  <c r="AL344" i="47"/>
  <c r="AK344" i="47"/>
  <c r="AL341" i="47"/>
  <c r="AK341" i="47"/>
  <c r="AL361" i="47"/>
  <c r="AK361" i="47"/>
  <c r="AL354" i="47"/>
  <c r="AK354" i="47"/>
  <c r="AL347" i="47"/>
  <c r="AK347" i="47"/>
  <c r="AL345" i="47"/>
  <c r="AK345" i="47"/>
  <c r="AL369" i="47"/>
  <c r="AK369" i="47"/>
  <c r="AL351" i="47"/>
  <c r="AK351" i="47"/>
  <c r="AL350" i="47"/>
  <c r="AK350" i="47"/>
  <c r="AL364" i="47"/>
  <c r="AK364" i="47"/>
  <c r="AL365" i="47"/>
  <c r="AK365" i="47"/>
  <c r="AL362" i="47"/>
  <c r="AK362" i="47"/>
  <c r="AL352" i="47"/>
  <c r="AK352" i="47"/>
  <c r="AL357" i="47"/>
  <c r="AK357" i="47"/>
  <c r="AL363" i="47"/>
  <c r="AK363" i="47"/>
  <c r="AL372" i="47"/>
  <c r="AK372" i="47"/>
  <c r="AL367" i="47"/>
  <c r="AK367" i="47"/>
  <c r="AL370" i="47"/>
  <c r="AK370" i="47"/>
  <c r="AL359" i="47"/>
  <c r="AK359" i="47"/>
  <c r="AL342" i="47"/>
  <c r="AK342" i="47"/>
  <c r="AL346" i="47"/>
  <c r="AK346" i="47"/>
  <c r="AL374" i="47"/>
  <c r="AK374" i="47"/>
  <c r="AL366" i="47"/>
  <c r="AK366" i="47"/>
  <c r="AL348" i="47"/>
  <c r="AK348" i="47"/>
  <c r="AL375" i="47"/>
  <c r="AK375" i="47"/>
  <c r="AJ260" i="47"/>
  <c r="AL140" i="47"/>
  <c r="AK140" i="47"/>
  <c r="AL119" i="47"/>
  <c r="AK119" i="47"/>
  <c r="AL125" i="47"/>
  <c r="AK125" i="47"/>
  <c r="AL139" i="47"/>
  <c r="AK139" i="47"/>
  <c r="AL142" i="47"/>
  <c r="AK142" i="47"/>
  <c r="AL145" i="47"/>
  <c r="AK145" i="47"/>
  <c r="AL118" i="47"/>
  <c r="AK118" i="47"/>
  <c r="AL130" i="47"/>
  <c r="AK130" i="47"/>
  <c r="AL120" i="47"/>
  <c r="AK120" i="47"/>
  <c r="AL108" i="47"/>
  <c r="AK108" i="47"/>
  <c r="AL109" i="47"/>
  <c r="AK109" i="47"/>
  <c r="AL129" i="47"/>
  <c r="AK129" i="47"/>
  <c r="AL113" i="47"/>
  <c r="AK113" i="47"/>
  <c r="AL134" i="47"/>
  <c r="AK134" i="47"/>
  <c r="AL122" i="47"/>
  <c r="AK122" i="47"/>
  <c r="AL135" i="47"/>
  <c r="AK135" i="47"/>
  <c r="AL138" i="47"/>
  <c r="AK138" i="47"/>
  <c r="AL123" i="47"/>
  <c r="AK123" i="47"/>
  <c r="AL128" i="47"/>
  <c r="AK128" i="47"/>
  <c r="AL121" i="47"/>
  <c r="AK121" i="47"/>
  <c r="AL127" i="47"/>
  <c r="AK127" i="47"/>
  <c r="AL131" i="47"/>
  <c r="AK131" i="47"/>
  <c r="AL124" i="47"/>
  <c r="AK124" i="47"/>
  <c r="AL137" i="47"/>
  <c r="AK137" i="47"/>
  <c r="AL112" i="47"/>
  <c r="AK112" i="47"/>
  <c r="AL117" i="47"/>
  <c r="AK117" i="47"/>
  <c r="AL111" i="47"/>
  <c r="AK111" i="47"/>
  <c r="AL115" i="47"/>
  <c r="AK115" i="47"/>
  <c r="AL132" i="47"/>
  <c r="AK132" i="47"/>
  <c r="AL141" i="47"/>
  <c r="AK141" i="47"/>
  <c r="AL136" i="47"/>
  <c r="AK136" i="47"/>
  <c r="AL114" i="47"/>
  <c r="AK114" i="47"/>
  <c r="AL116" i="47"/>
  <c r="AK116" i="47"/>
  <c r="AL133" i="47"/>
  <c r="AK133" i="47"/>
  <c r="AL126" i="47"/>
  <c r="AK126" i="47"/>
  <c r="AV244" i="47"/>
  <c r="AU244" i="47"/>
  <c r="AV248" i="47"/>
  <c r="AU248" i="47"/>
  <c r="AV241" i="47"/>
  <c r="AU241" i="47"/>
  <c r="AV235" i="47"/>
  <c r="AU235" i="47"/>
  <c r="AV240" i="47"/>
  <c r="AU240" i="47"/>
  <c r="AV255" i="47"/>
  <c r="AU255" i="47"/>
  <c r="AV230" i="47"/>
  <c r="AU230" i="47"/>
  <c r="AV253" i="47"/>
  <c r="AU253" i="47"/>
  <c r="AV256" i="47"/>
  <c r="AU256" i="47"/>
  <c r="AV238" i="47"/>
  <c r="AU238" i="47"/>
  <c r="AV236" i="47"/>
  <c r="AU236" i="47"/>
  <c r="AV252" i="47"/>
  <c r="AU252" i="47"/>
  <c r="AV243" i="47"/>
  <c r="AU243" i="47"/>
  <c r="AV232" i="47"/>
  <c r="AU232" i="47"/>
  <c r="AV246" i="47"/>
  <c r="AU246" i="47"/>
  <c r="AV228" i="47"/>
  <c r="AU228" i="47"/>
  <c r="AV226" i="47"/>
  <c r="AU226" i="47"/>
  <c r="AV239" i="47"/>
  <c r="AU239" i="47"/>
  <c r="AV234" i="47"/>
  <c r="AU234" i="47"/>
  <c r="AV247" i="47"/>
  <c r="AU247" i="47"/>
  <c r="AV254" i="47"/>
  <c r="AU254" i="47"/>
  <c r="AV237" i="47"/>
  <c r="AU237" i="47"/>
  <c r="AV224" i="47"/>
  <c r="AU224" i="47"/>
  <c r="AV245" i="47"/>
  <c r="AU245" i="47"/>
  <c r="AV229" i="47"/>
  <c r="AU229" i="47"/>
  <c r="AV242" i="47"/>
  <c r="AU242" i="47"/>
  <c r="AV249" i="47"/>
  <c r="AU249" i="47"/>
  <c r="AV233" i="47"/>
  <c r="AU233" i="47"/>
  <c r="AV251" i="47"/>
  <c r="AU251" i="47"/>
  <c r="AV250" i="47"/>
  <c r="AU250" i="47"/>
  <c r="AV223" i="47"/>
  <c r="AU223" i="47"/>
  <c r="AV227" i="47"/>
  <c r="AU227" i="47"/>
  <c r="AV231" i="47"/>
  <c r="AU231" i="47"/>
  <c r="AV260" i="47"/>
  <c r="AU260" i="47"/>
  <c r="AV257" i="47"/>
  <c r="AU257" i="47"/>
  <c r="L258" i="47"/>
  <c r="L258" i="9"/>
  <c r="L223" i="9"/>
  <c r="L341" i="9"/>
  <c r="L376" i="47"/>
  <c r="L376" i="9"/>
  <c r="L108" i="9"/>
  <c r="L143" i="47"/>
  <c r="L1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gfinlayson</author>
  </authors>
  <commentList>
    <comment ref="B7" authorId="0" shapeId="0" xr:uid="{00000000-0006-0000-0000-000001000000}">
      <text>
        <r>
          <rPr>
            <sz val="11"/>
            <color indexed="81"/>
            <rFont val="Tahoma"/>
            <family val="2"/>
          </rPr>
          <t>These three cells put a label at the top of each worksheet with the plant number and reporting period, but more importantly,  are used when the data is consolidated in a summary tool.
Your plant number is assigned to you by your data coordinator, check with him/her if you do not know your plant number.  You can key in your plant number directly or choose it from the drop down list in the left cell.
The middle cell (Q1, Annual etc.) can be chosen from the drop down box.
The right cell (year) can be chosen from the drop down box.
None of these boxes should be left blank.</t>
        </r>
      </text>
    </comment>
    <comment ref="C7" authorId="0" shapeId="0" xr:uid="{00000000-0006-0000-0000-000002000000}">
      <text>
        <r>
          <rPr>
            <sz val="11"/>
            <color indexed="81"/>
            <rFont val="Tahoma"/>
            <family val="2"/>
          </rPr>
          <t>These three cells put a label at the top of each worksheet with the plant number and reporting period, but more importantly,  are used when the data is consolidated in a summary tool.
Your plant number is assigned to you by your data coordinator, check with him/her if you do not know your plant number.  You can key in your plant number directly or choose it from the drop down list in the left cell.
The middle cell (Q1, Annual etc.) can be chosen from the drop down box.
The right cell (year) can be chosen from the drop down box.
None of these boxes should be left blank.</t>
        </r>
      </text>
    </comment>
    <comment ref="C10" authorId="0" shapeId="0" xr:uid="{00000000-0006-0000-0000-000003000000}">
      <text>
        <r>
          <rPr>
            <b/>
            <sz val="10"/>
            <color indexed="81"/>
            <rFont val="Tahoma"/>
            <family val="2"/>
          </rPr>
          <t xml:space="preserve">The setting in cell B10 will determine what units are displayed in the survey form.  The user will be able to choose which units they use, for each material, but in Canada the default units will be in SI (metric) and in the United States they will be Imperial units.
</t>
        </r>
        <r>
          <rPr>
            <b/>
            <u/>
            <sz val="10"/>
            <color indexed="81"/>
            <rFont val="Tahoma"/>
            <family val="2"/>
          </rPr>
          <t>BEWARE</t>
        </r>
        <r>
          <rPr>
            <b/>
            <sz val="10"/>
            <color indexed="81"/>
            <rFont val="Tahoma"/>
            <family val="2"/>
          </rPr>
          <t xml:space="preserve"> of changing this cell if you have already entered data.  That data will not be converted to the new units if you change this cell and will have to be re-entered. (e.g. if you enter 1 mile for a transportation distance, and then change to Canada-SI units- the form will show 1 km, it will not convert to 1.6 km).
Best practice is to set this parameter before starting the form and not changing it after that.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gfinlayson</author>
  </authors>
  <commentList>
    <comment ref="B9" authorId="0" shapeId="0" xr:uid="{00000000-0006-0000-0A00-000001000000}">
      <text>
        <r>
          <rPr>
            <b/>
            <sz val="9"/>
            <color indexed="81"/>
            <rFont val="Tahoma"/>
            <family val="2"/>
          </rPr>
          <t>gfinlayson:</t>
        </r>
        <r>
          <rPr>
            <sz val="9"/>
            <color indexed="81"/>
            <rFont val="Tahoma"/>
            <family val="2"/>
          </rPr>
          <t xml:space="preserve">
Moslty used for labels, and whether or not to display results at the top of each page.
Survey is for when the tool is used as a survey of plants such as when an EPD is done or updated (on an annual basis), and the results don't matter, we're just collecting data.
Reporting is when the tool is used for the regular quarterly reporting, the results will be displayed and some of the wording will be different,  Reproting period on the welcome page will be by quarte in stead of annual.</t>
        </r>
      </text>
    </comment>
    <comment ref="D24" authorId="0" shapeId="0" xr:uid="{00000000-0006-0000-0A00-000002000000}">
      <text>
        <r>
          <rPr>
            <sz val="11"/>
            <color indexed="81"/>
            <rFont val="Tahoma"/>
            <family val="2"/>
          </rPr>
          <t>From Supplemental LCA Data tab, data from jkm</t>
        </r>
      </text>
    </comment>
    <comment ref="D25" authorId="0" shapeId="0" xr:uid="{00000000-0006-0000-0A00-000003000000}">
      <text>
        <r>
          <rPr>
            <sz val="11"/>
            <color indexed="81"/>
            <rFont val="Tahoma"/>
            <family val="2"/>
          </rPr>
          <t>From Supplemental LCA Data tab, data from jkm</t>
        </r>
      </text>
    </comment>
    <comment ref="D26" authorId="0" shapeId="0" xr:uid="{00000000-0006-0000-0A00-000004000000}">
      <text>
        <r>
          <rPr>
            <sz val="11"/>
            <color indexed="81"/>
            <rFont val="Tahoma"/>
            <family val="2"/>
          </rPr>
          <t>From Supplemental LCA Data tab, data from jkm</t>
        </r>
      </text>
    </comment>
    <comment ref="D27" authorId="0" shapeId="0" xr:uid="{00000000-0006-0000-0A00-000005000000}">
      <text>
        <r>
          <rPr>
            <sz val="11"/>
            <color indexed="81"/>
            <rFont val="Tahoma"/>
            <family val="2"/>
          </rPr>
          <t>From Supplemental LCA Data tab, data from jkm</t>
        </r>
      </text>
    </comment>
    <comment ref="D28" authorId="0" shapeId="0" xr:uid="{00000000-0006-0000-0A00-000006000000}">
      <text>
        <r>
          <rPr>
            <sz val="11"/>
            <color indexed="81"/>
            <rFont val="Tahoma"/>
            <family val="2"/>
          </rPr>
          <t>From Supplemental LCA Data tab, data from jkm</t>
        </r>
      </text>
    </comment>
    <comment ref="D29" authorId="0" shapeId="0" xr:uid="{00000000-0006-0000-0A00-000007000000}">
      <text>
        <r>
          <rPr>
            <sz val="11"/>
            <color indexed="81"/>
            <rFont val="Tahoma"/>
            <family val="2"/>
          </rPr>
          <t>From Supplemental LCA Data tab, data from jkm</t>
        </r>
      </text>
    </comment>
    <comment ref="D30" authorId="0" shapeId="0" xr:uid="{00000000-0006-0000-0A00-000008000000}">
      <text>
        <r>
          <rPr>
            <sz val="11"/>
            <color indexed="81"/>
            <rFont val="Tahoma"/>
            <family val="2"/>
          </rPr>
          <t>From MSDS sheets provided by CPCI - Malcolm Hachborn malcolm.hachborn@resgroup.ca</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Grant Finlayson</author>
    <author>gfinlayson</author>
  </authors>
  <commentList>
    <comment ref="D102" authorId="0" shapeId="0" xr:uid="{00000000-0006-0000-0B00-000001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 ref="AI107" authorId="1" shapeId="0" xr:uid="{00000000-0006-0000-0B00-000002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 ref="AS107" authorId="1" shapeId="0" xr:uid="{00000000-0006-0000-0B00-000003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 ref="D217" authorId="0" shapeId="0" xr:uid="{00000000-0006-0000-0B00-000004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 ref="AI222" authorId="1" shapeId="0" xr:uid="{00000000-0006-0000-0B00-000005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 ref="AS222" authorId="1" shapeId="0" xr:uid="{00000000-0006-0000-0B00-000006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 ref="C298" authorId="1" shapeId="0" xr:uid="{00000000-0006-0000-0B00-000007000000}">
      <text>
        <r>
          <rPr>
            <sz val="11"/>
            <color indexed="81"/>
            <rFont val="Tahoma"/>
            <family val="2"/>
          </rPr>
          <t>Includes material effects, transportation, operations energy and waste processing, but except for materials, they are all zero for now (v2).  If we do get LCA data for water use for any of these, we may have to break them out into their own rows.</t>
        </r>
      </text>
    </comment>
    <comment ref="D335" authorId="0" shapeId="0" xr:uid="{00000000-0006-0000-0B00-000008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 ref="AI340" authorId="1" shapeId="0" xr:uid="{00000000-0006-0000-0B00-000009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 ref="AS340" authorId="1" shapeId="0" xr:uid="{00000000-0006-0000-0B00-00000A000000}">
      <text>
        <r>
          <rPr>
            <b/>
            <sz val="9"/>
            <color indexed="81"/>
            <rFont val="Tahoma"/>
            <family val="2"/>
          </rPr>
          <t>gfinlayson:</t>
        </r>
        <r>
          <rPr>
            <sz val="9"/>
            <color indexed="81"/>
            <rFont val="Tahoma"/>
            <family val="2"/>
          </rPr>
          <t xml:space="preserve">
</t>
        </r>
        <r>
          <rPr>
            <sz val="11"/>
            <color indexed="81"/>
            <rFont val="Tahoma"/>
            <family val="2"/>
          </rPr>
          <t xml:space="preserve">I added a "-ROW()/1000000000000" term to the value.  It adds a tiny number to the value at around the tenth decimal.  By using the row number, it will differentiate the actual value from any other identical value.  In effect, it breaks the tie between identical values, then when ranking the values three columns to the right, are no ties and the MATCH  two columns to the right won't produce duplicate materials since all the values will be unique.
At ten decimal places, the actual difference in the values is irrelevant.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gfinlayson</author>
  </authors>
  <commentList>
    <comment ref="B26" authorId="0" shapeId="0" xr:uid="{00000000-0006-0000-0C00-000001000000}">
      <text>
        <r>
          <rPr>
            <b/>
            <sz val="11"/>
            <color indexed="81"/>
            <rFont val="Tahoma"/>
            <family val="2"/>
          </rPr>
          <t>gfinlayson:</t>
        </r>
        <r>
          <rPr>
            <sz val="11"/>
            <color indexed="81"/>
            <rFont val="Tahoma"/>
            <family val="2"/>
          </rPr>
          <t xml:space="preserve">
These are the master list for units, if you change the name of a unit here, it will change everywhere in the workbook.</t>
        </r>
      </text>
    </comment>
    <comment ref="L34" authorId="0" shapeId="0" xr:uid="{00000000-0006-0000-0C00-000002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M34" authorId="0" shapeId="0" xr:uid="{00000000-0006-0000-0C00-000003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Q34" authorId="0" shapeId="0" xr:uid="{00000000-0006-0000-0C00-000004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T34" authorId="0" shapeId="0" xr:uid="{00000000-0006-0000-0C00-000005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U34" authorId="0" shapeId="0" xr:uid="{00000000-0006-0000-0C00-000006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Z34" authorId="0" shapeId="0" xr:uid="{00000000-0006-0000-0C00-000007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K35" authorId="0" shapeId="0" xr:uid="{00000000-0006-0000-0C00-000008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35" authorId="0" shapeId="0" xr:uid="{00000000-0006-0000-0C00-000009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K36" authorId="0" shapeId="0" xr:uid="{00000000-0006-0000-0C00-00000A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36" authorId="0" shapeId="0" xr:uid="{00000000-0006-0000-0C00-00000B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K40" authorId="0" shapeId="0" xr:uid="{00000000-0006-0000-0C00-00000C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40" authorId="0" shapeId="0" xr:uid="{00000000-0006-0000-0C00-00000D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L42" authorId="0" shapeId="0" xr:uid="{00000000-0006-0000-0C00-00000E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M42" authorId="0" shapeId="0" xr:uid="{00000000-0006-0000-0C00-00000F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Q42" authorId="0" shapeId="0" xr:uid="{00000000-0006-0000-0C00-000010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T42" authorId="0" shapeId="0" xr:uid="{00000000-0006-0000-0C00-000011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U42" authorId="0" shapeId="0" xr:uid="{00000000-0006-0000-0C00-000012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Z42" authorId="0" shapeId="0" xr:uid="{00000000-0006-0000-0C00-000013000000}">
      <text>
        <r>
          <rPr>
            <b/>
            <sz val="9"/>
            <color indexed="81"/>
            <rFont val="Tahoma"/>
            <family val="2"/>
          </rPr>
          <t>gfinlayson:</t>
        </r>
        <r>
          <rPr>
            <sz val="9"/>
            <color indexed="81"/>
            <rFont val="Tahoma"/>
            <family val="2"/>
          </rPr>
          <t xml:space="preserve">
btu/ft3 conversion factor from http://www.eia.gov/tools/faqs/faq.cfm?id=45&amp;t=8
1ft3=1,025btu=1.025Mbtu
</t>
        </r>
      </text>
    </comment>
    <comment ref="K43" authorId="0" shapeId="0" xr:uid="{00000000-0006-0000-0C00-000014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43" authorId="0" shapeId="0" xr:uid="{00000000-0006-0000-0C00-000015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K44" authorId="0" shapeId="0" xr:uid="{00000000-0006-0000-0C00-000016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44" authorId="0" shapeId="0" xr:uid="{00000000-0006-0000-0C00-000017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K49" authorId="0" shapeId="0" xr:uid="{00000000-0006-0000-0C00-000018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 ref="S49" authorId="0" shapeId="0" xr:uid="{00000000-0006-0000-0C00-000019000000}">
      <text>
        <r>
          <rPr>
            <b/>
            <sz val="9"/>
            <color indexed="81"/>
            <rFont val="Tahoma"/>
            <family val="2"/>
          </rPr>
          <t>gfinlayson:</t>
        </r>
        <r>
          <rPr>
            <sz val="9"/>
            <color indexed="81"/>
            <rFont val="Tahoma"/>
            <family val="2"/>
          </rPr>
          <t xml:space="preserve">
Energy Conversion to volume or vice versa is for Natural Gas ONLY, and is based on 1.025Mbtu per ft3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gfinlayson</author>
  </authors>
  <commentList>
    <comment ref="G1" authorId="0" shapeId="0" xr:uid="{00000000-0006-0000-0D00-000001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M6" authorId="0" shapeId="0" xr:uid="{00000000-0006-0000-0D00-000002000000}">
      <text>
        <r>
          <rPr>
            <b/>
            <sz val="11"/>
            <color indexed="81"/>
            <rFont val="Tahoma"/>
            <family val="2"/>
          </rPr>
          <t>gfinlayson:</t>
        </r>
        <r>
          <rPr>
            <sz val="11"/>
            <color indexed="81"/>
            <rFont val="Tahoma"/>
            <family val="2"/>
          </rPr>
          <t xml:space="preserve">
SCMs are considered burden free, so there is no material effects, only transportatiion is considered.</t>
        </r>
      </text>
    </comment>
    <comment ref="N6" authorId="0" shapeId="0" xr:uid="{00000000-0006-0000-0D00-000003000000}">
      <text>
        <r>
          <rPr>
            <b/>
            <sz val="11"/>
            <color indexed="81"/>
            <rFont val="Tahoma"/>
            <family val="2"/>
          </rPr>
          <t>gfinlayson:</t>
        </r>
        <r>
          <rPr>
            <sz val="11"/>
            <color indexed="81"/>
            <rFont val="Tahoma"/>
            <family val="2"/>
          </rPr>
          <t xml:space="preserve">
SCMs are considered burden free, so there is no material effects, only transportatiion is considered.</t>
        </r>
      </text>
    </comment>
    <comment ref="O6" authorId="0" shapeId="0" xr:uid="{00000000-0006-0000-0D00-000004000000}">
      <text>
        <r>
          <rPr>
            <b/>
            <sz val="11"/>
            <color indexed="81"/>
            <rFont val="Tahoma"/>
            <family val="2"/>
          </rPr>
          <t>gfinlayson:</t>
        </r>
        <r>
          <rPr>
            <sz val="11"/>
            <color indexed="81"/>
            <rFont val="Tahoma"/>
            <family val="2"/>
          </rPr>
          <t xml:space="preserve">
SCMs are considered burden free, so there is no material effects, only transportatiion is considered.</t>
        </r>
      </text>
    </comment>
    <comment ref="U6" authorId="0" shapeId="0" xr:uid="{00000000-0006-0000-0D00-000005000000}">
      <text>
        <r>
          <rPr>
            <b/>
            <sz val="9"/>
            <color indexed="81"/>
            <rFont val="Tahoma"/>
            <family val="2"/>
          </rPr>
          <t>gfinlayson:</t>
        </r>
        <r>
          <rPr>
            <sz val="9"/>
            <color indexed="81"/>
            <rFont val="Tahoma"/>
            <family val="2"/>
          </rPr>
          <t xml:space="preserve">
no data for VMA admixture, using average of all the other admixtures</t>
        </r>
      </text>
    </comment>
    <comment ref="Z6" authorId="0" shapeId="0" xr:uid="{00000000-0006-0000-0D00-000006000000}">
      <text>
        <r>
          <rPr>
            <b/>
            <sz val="11"/>
            <color indexed="81"/>
            <rFont val="Tahoma"/>
            <family val="2"/>
          </rPr>
          <t>gfinlayson:</t>
        </r>
        <r>
          <rPr>
            <sz val="11"/>
            <color indexed="81"/>
            <rFont val="Tahoma"/>
            <family val="2"/>
          </rPr>
          <t xml:space="preserve">
Strand is calculated as 10% more than Rebar data. Jkm
</t>
        </r>
      </text>
    </comment>
    <comment ref="AC6" authorId="0" shapeId="0" xr:uid="{00000000-0006-0000-0D00-000007000000}">
      <text>
        <r>
          <rPr>
            <b/>
            <sz val="9"/>
            <color indexed="81"/>
            <rFont val="Tahoma"/>
            <family val="2"/>
          </rPr>
          <t>gfinlayson:</t>
        </r>
        <r>
          <rPr>
            <sz val="9"/>
            <color indexed="81"/>
            <rFont val="Tahoma"/>
            <family val="2"/>
          </rPr>
          <t xml:space="preserve">
Same as rebar as per jkm
</t>
        </r>
      </text>
    </comment>
    <comment ref="AF6" authorId="0" shapeId="0" xr:uid="{00000000-0006-0000-0D00-000008000000}">
      <text>
        <r>
          <rPr>
            <b/>
            <sz val="11"/>
            <color indexed="81"/>
            <rFont val="Tahoma"/>
            <family val="2"/>
          </rPr>
          <t>gfinlayson:</t>
        </r>
        <r>
          <rPr>
            <sz val="11"/>
            <color indexed="81"/>
            <rFont val="Tahoma"/>
            <family val="2"/>
          </rPr>
          <t xml:space="preserve">
Not sure what this is yet, for now, zero material effects.
</t>
        </r>
      </text>
    </comment>
    <comment ref="AI6" authorId="0" shapeId="0" xr:uid="{00000000-0006-0000-0D00-000009000000}">
      <text>
        <r>
          <rPr>
            <b/>
            <sz val="11"/>
            <color indexed="81"/>
            <rFont val="Tahoma"/>
            <family val="2"/>
          </rPr>
          <t>gfinlayson:</t>
        </r>
        <r>
          <rPr>
            <sz val="11"/>
            <color indexed="81"/>
            <rFont val="Tahoma"/>
            <family val="2"/>
          </rPr>
          <t xml:space="preserve">
Not tracking this material now, will in Phase 2
</t>
        </r>
      </text>
    </comment>
    <comment ref="AJ6" authorId="0" shapeId="0" xr:uid="{00000000-0006-0000-0D00-00000A000000}">
      <text>
        <r>
          <rPr>
            <b/>
            <sz val="11"/>
            <color indexed="81"/>
            <rFont val="Tahoma"/>
            <family val="2"/>
          </rPr>
          <t>gfinlayson:</t>
        </r>
        <r>
          <rPr>
            <sz val="11"/>
            <color indexed="81"/>
            <rFont val="Tahoma"/>
            <family val="2"/>
          </rPr>
          <t xml:space="preserve">
Not tracking this material now, will in Phase 2
</t>
        </r>
      </text>
    </comment>
    <comment ref="AK6" authorId="0" shapeId="0" xr:uid="{00000000-0006-0000-0D00-00000B000000}">
      <text>
        <r>
          <rPr>
            <b/>
            <sz val="11"/>
            <color indexed="81"/>
            <rFont val="Tahoma"/>
            <family val="2"/>
          </rPr>
          <t>gfinlayson:</t>
        </r>
        <r>
          <rPr>
            <sz val="11"/>
            <color indexed="81"/>
            <rFont val="Tahoma"/>
            <family val="2"/>
          </rPr>
          <t xml:space="preserve">
Using brick profile from CPCI report</t>
        </r>
      </text>
    </comment>
    <comment ref="AL6" authorId="0" shapeId="0" xr:uid="{00000000-0006-0000-0D00-00000C000000}">
      <text>
        <r>
          <rPr>
            <b/>
            <sz val="11"/>
            <color indexed="81"/>
            <rFont val="Tahoma"/>
            <family val="2"/>
          </rPr>
          <t>gfinlayson:</t>
        </r>
        <r>
          <rPr>
            <sz val="11"/>
            <color indexed="81"/>
            <rFont val="Tahoma"/>
            <family val="2"/>
          </rPr>
          <t xml:space="preserve">
Using the same natural stone granite profile in Ecoinvent that is used for IE Natural Stone.  It's based on a 20kg .5x.5x.03m slab cut with a diamond wire.  CPCI would use crushed granite, but this is as close as we have.
Electricity changed to CAN average.</t>
        </r>
      </text>
    </comment>
    <comment ref="G19" authorId="0" shapeId="0" xr:uid="{00000000-0006-0000-0D00-00000D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9" authorId="0" shapeId="0" xr:uid="{00000000-0006-0000-0D00-00000E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9" authorId="0" shapeId="0" xr:uid="{00000000-0006-0000-0D00-00000F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9" authorId="0" shapeId="0" xr:uid="{00000000-0006-0000-0D00-000010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33" authorId="0" shapeId="0" xr:uid="{00000000-0006-0000-0D00-000011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33" authorId="0" shapeId="0" xr:uid="{00000000-0006-0000-0D00-000012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33" authorId="0" shapeId="0" xr:uid="{00000000-0006-0000-0D00-000013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33" authorId="0" shapeId="0" xr:uid="{00000000-0006-0000-0D00-000014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47" authorId="0" shapeId="0" xr:uid="{00000000-0006-0000-0D00-000015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47" authorId="0" shapeId="0" xr:uid="{00000000-0006-0000-0D00-000016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47" authorId="0" shapeId="0" xr:uid="{00000000-0006-0000-0D00-000017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47" authorId="0" shapeId="0" xr:uid="{00000000-0006-0000-0D00-000018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61" authorId="0" shapeId="0" xr:uid="{00000000-0006-0000-0D00-000019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61" authorId="0" shapeId="0" xr:uid="{00000000-0006-0000-0D00-00001A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61" authorId="0" shapeId="0" xr:uid="{00000000-0006-0000-0D00-00001B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61" authorId="0" shapeId="0" xr:uid="{00000000-0006-0000-0D00-00001C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75" authorId="0" shapeId="0" xr:uid="{00000000-0006-0000-0D00-00001D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75" authorId="0" shapeId="0" xr:uid="{00000000-0006-0000-0D00-00001E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75" authorId="0" shapeId="0" xr:uid="{00000000-0006-0000-0D00-00001F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75" authorId="0" shapeId="0" xr:uid="{00000000-0006-0000-0D00-000020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89" authorId="0" shapeId="0" xr:uid="{00000000-0006-0000-0D00-000021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89" authorId="0" shapeId="0" xr:uid="{00000000-0006-0000-0D00-000022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89" authorId="0" shapeId="0" xr:uid="{00000000-0006-0000-0D00-000023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89" authorId="0" shapeId="0" xr:uid="{00000000-0006-0000-0D00-000024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03" authorId="0" shapeId="0" xr:uid="{00000000-0006-0000-0D00-000025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03" authorId="0" shapeId="0" xr:uid="{00000000-0006-0000-0D00-000026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03" authorId="0" shapeId="0" xr:uid="{00000000-0006-0000-0D00-000027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03" authorId="0" shapeId="0" xr:uid="{00000000-0006-0000-0D00-000028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17" authorId="0" shapeId="0" xr:uid="{00000000-0006-0000-0D00-000029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17" authorId="0" shapeId="0" xr:uid="{00000000-0006-0000-0D00-00002A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17" authorId="0" shapeId="0" xr:uid="{00000000-0006-0000-0D00-00002B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17" authorId="0" shapeId="0" xr:uid="{00000000-0006-0000-0D00-00002C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31" authorId="0" shapeId="0" xr:uid="{00000000-0006-0000-0D00-00002D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31" authorId="0" shapeId="0" xr:uid="{00000000-0006-0000-0D00-00002E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31" authorId="0" shapeId="0" xr:uid="{00000000-0006-0000-0D00-00002F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31" authorId="0" shapeId="0" xr:uid="{00000000-0006-0000-0D00-000030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45" authorId="0" shapeId="0" xr:uid="{00000000-0006-0000-0D00-000031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45" authorId="0" shapeId="0" xr:uid="{00000000-0006-0000-0D00-000032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45" authorId="0" shapeId="0" xr:uid="{00000000-0006-0000-0D00-000033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45" authorId="0" shapeId="0" xr:uid="{00000000-0006-0000-0D00-000034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59" authorId="0" shapeId="0" xr:uid="{00000000-0006-0000-0D00-000035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59" authorId="0" shapeId="0" xr:uid="{00000000-0006-0000-0D00-000036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59" authorId="0" shapeId="0" xr:uid="{00000000-0006-0000-0D00-000037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59" authorId="0" shapeId="0" xr:uid="{00000000-0006-0000-0D00-000038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73" authorId="0" shapeId="0" xr:uid="{00000000-0006-0000-0D00-000039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73" authorId="0" shapeId="0" xr:uid="{00000000-0006-0000-0D00-00003A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73" authorId="0" shapeId="0" xr:uid="{00000000-0006-0000-0D00-00003B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73" authorId="0" shapeId="0" xr:uid="{00000000-0006-0000-0D00-00003C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187" authorId="0" shapeId="0" xr:uid="{00000000-0006-0000-0D00-00003D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187" authorId="0" shapeId="0" xr:uid="{00000000-0006-0000-0D00-00003E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187" authorId="0" shapeId="0" xr:uid="{00000000-0006-0000-0D00-00003F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187" authorId="0" shapeId="0" xr:uid="{00000000-0006-0000-0D00-000040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201" authorId="0" shapeId="0" xr:uid="{00000000-0006-0000-0D00-000041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201" authorId="0" shapeId="0" xr:uid="{00000000-0006-0000-0D00-000042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201" authorId="0" shapeId="0" xr:uid="{00000000-0006-0000-0D00-000043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201" authorId="0" shapeId="0" xr:uid="{00000000-0006-0000-0D00-000044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G215" authorId="0" shapeId="0" xr:uid="{00000000-0006-0000-0D00-000045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H215" authorId="0" shapeId="0" xr:uid="{00000000-0006-0000-0D00-000046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I215" authorId="0" shapeId="0" xr:uid="{00000000-0006-0000-0D00-000047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 ref="J215" authorId="0" shapeId="0" xr:uid="{00000000-0006-0000-0D00-000048000000}">
      <text>
        <r>
          <rPr>
            <sz val="11"/>
            <color indexed="81"/>
            <rFont val="Tahoma"/>
            <family val="2"/>
          </rPr>
          <t xml:space="preserve">In v1 of the tool, we had no water use for natural aggregates, only crushed.  As per Rob Burak (telephone call 20140605), we are adding wash water use to natural aggregates as well in v2.
The SP processes for aggregates from the CPCI project, did not contain any water use (wash water).  We added this water use value 0.00135m3/kg of wash water from EcoInvent, and have divided by 2 to account for  only 50% of aggregate being washed. 
And is the same for all regions, for manufactured fine aggregate and crushed coarse aggregate.
Jkm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gfinlayson</author>
  </authors>
  <commentList>
    <comment ref="Y7" authorId="0" shapeId="0" xr:uid="{00000000-0006-0000-0100-00000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distance unit that everything is DISPLAYED  in.  It is different than the master calculation units.</t>
        </r>
      </text>
    </comment>
    <comment ref="D8" authorId="0" shapeId="0" xr:uid="{00000000-0006-0000-0100-000002000000}">
      <text>
        <r>
          <rPr>
            <sz val="9"/>
            <color indexed="81"/>
            <rFont val="Tahoma"/>
            <family val="2"/>
          </rPr>
          <t>Choose a Source Location from the drop down list by clicking on the cell, then clicking on the down arrow to the right of the cell.
If you are sourcing this material from out of the country, the choices of those locations  appear below the locations of your country.
If you are sourcing this material from an offshore source, there is an Offshore choice at the bottom of the list</t>
        </r>
      </text>
    </comment>
    <comment ref="I8" authorId="0" shapeId="0" xr:uid="{00000000-0006-0000-0100-000003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Portland Cement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J8" authorId="0" shapeId="0" xr:uid="{00000000-0006-0000-0100-000004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Portland Cement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K8" authorId="0" shapeId="0" xr:uid="{00000000-0006-0000-0100-000005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Portland Cement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L8" authorId="0" shapeId="0" xr:uid="{00000000-0006-0000-0100-000006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Portland Cement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M8" authorId="0" shapeId="0" xr:uid="{00000000-0006-0000-0100-000007000000}">
      <text>
        <r>
          <rPr>
            <sz val="9"/>
            <color indexed="81"/>
            <rFont val="Tahoma"/>
            <family val="2"/>
          </rPr>
          <t xml:space="preserve">For high mass materials like cement, enter the distance from the Manufacturing Source (MS), i.e. the cement plant  (not from a distributor).
This column shows which materials require which distances:
</t>
        </r>
        <r>
          <rPr>
            <b/>
            <sz val="9"/>
            <color indexed="81"/>
            <rFont val="Tahoma"/>
            <family val="2"/>
          </rPr>
          <t xml:space="preserve">MS=Manufacturing Source
</t>
        </r>
      </text>
    </comment>
    <comment ref="AJ8" authorId="0" shapeId="0" xr:uid="{00000000-0006-0000-0100-000008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Q13" authorId="0" shapeId="0" xr:uid="{00000000-0006-0000-0100-000009000000}">
      <text>
        <r>
          <rPr>
            <b/>
            <sz val="9"/>
            <color indexed="81"/>
            <rFont val="Tahoma"/>
            <family val="2"/>
          </rPr>
          <t>gfinlayson:</t>
        </r>
        <r>
          <rPr>
            <sz val="9"/>
            <color indexed="81"/>
            <rFont val="Tahoma"/>
            <family val="2"/>
          </rPr>
          <t xml:space="preserve">
if there is a valid entry in the four rows above, or if this table is blank and one the other tables isn't, then it's a valid entry (ie this table can be blank if one of the others isn't)</t>
        </r>
      </text>
    </comment>
    <comment ref="Y19" authorId="0" shapeId="0" xr:uid="{00000000-0006-0000-0100-00000A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distance unit that everything is DISPLAYED  in.  It is different than the master calculation units.</t>
        </r>
      </text>
    </comment>
    <comment ref="D20" authorId="0" shapeId="0" xr:uid="{00000000-0006-0000-0100-00000B000000}">
      <text>
        <r>
          <rPr>
            <sz val="9"/>
            <color indexed="81"/>
            <rFont val="Tahoma"/>
            <family val="2"/>
          </rPr>
          <t>Choose a Source Location from the drop down list by clicking on the cell, then clicking on the down arrow to the right of the cell.
If you are sourcing this material from out of the country, the choices of those locations  appear below the locations of your country.
If you are sourcing this material from an offshore source, there is an Offshore choice at the bottom of the list</t>
        </r>
      </text>
    </comment>
    <comment ref="I20" authorId="0" shapeId="0" xr:uid="{00000000-0006-0000-0100-00000C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J20" authorId="0" shapeId="0" xr:uid="{00000000-0006-0000-0100-00000D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K20" authorId="0" shapeId="0" xr:uid="{00000000-0006-0000-0100-00000E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L20" authorId="0" shapeId="0" xr:uid="{00000000-0006-0000-0100-00000F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M20" authorId="0" shapeId="0" xr:uid="{00000000-0006-0000-0100-000010000000}">
      <text>
        <r>
          <rPr>
            <sz val="9"/>
            <color indexed="81"/>
            <rFont val="Tahoma"/>
            <family val="2"/>
          </rPr>
          <t xml:space="preserve">For high mass materials like cement, enter the distance from the Manufacturing Source (MS), i.e. the cement plant  (not from a distributor).
This column shows which materials require which distances:
</t>
        </r>
        <r>
          <rPr>
            <b/>
            <sz val="9"/>
            <color indexed="81"/>
            <rFont val="Tahoma"/>
            <family val="2"/>
          </rPr>
          <t xml:space="preserve">MS=Manufacturing Source
</t>
        </r>
      </text>
    </comment>
    <comment ref="AJ20" authorId="0" shapeId="0" xr:uid="{00000000-0006-0000-0100-00001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Q25" authorId="0" shapeId="0" xr:uid="{00000000-0006-0000-0100-000012000000}">
      <text>
        <r>
          <rPr>
            <b/>
            <sz val="9"/>
            <color indexed="81"/>
            <rFont val="Tahoma"/>
            <family val="2"/>
          </rPr>
          <t>gfinlayson:</t>
        </r>
        <r>
          <rPr>
            <sz val="9"/>
            <color indexed="81"/>
            <rFont val="Tahoma"/>
            <family val="2"/>
          </rPr>
          <t xml:space="preserve">
if there is a valid entry in the four rows above, or if this table is blank and one the other tables isn't, then it's a valid entry (ie this table can be blank if one of the others isn't)</t>
        </r>
      </text>
    </comment>
    <comment ref="Y32" authorId="0" shapeId="0" xr:uid="{00000000-0006-0000-0100-000013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distance unit that everything is DISPLAYED  in.  It is different than the master calculation units.</t>
        </r>
      </text>
    </comment>
    <comment ref="D33" authorId="0" shapeId="0" xr:uid="{00000000-0006-0000-0100-000014000000}">
      <text>
        <r>
          <rPr>
            <sz val="9"/>
            <color indexed="81"/>
            <rFont val="Tahoma"/>
            <family val="2"/>
          </rPr>
          <t>Choose a Source Location from the drop down list by clicking on the cell, then clicking on the down arrow to the right of the cell.
If you are sourcing this material from out of the country, the choices of those locations  appear below the locations of your country.
If you are sourcing this material from an offshore source, there is an Offshore choice at the bottom of the list</t>
        </r>
      </text>
    </comment>
    <comment ref="I33" authorId="0" shapeId="0" xr:uid="{00000000-0006-0000-0100-000015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J33" authorId="0" shapeId="0" xr:uid="{00000000-0006-0000-0100-000016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K33" authorId="0" shapeId="0" xr:uid="{00000000-0006-0000-0100-000017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L33" authorId="0" shapeId="0" xr:uid="{00000000-0006-0000-0100-000018000000}">
      <text>
        <r>
          <rPr>
            <sz val="10"/>
            <color indexed="81"/>
            <rFont val="Tahoma"/>
            <family val="2"/>
          </rPr>
          <t>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PLC from Montana and Alberta, in row 1 of this table , you can choose Montana as a source location in column D (and complete the amount and transportation information), AND in row 2, choose Alberta as the source location (and its respective amount and transportation information).
If you are sourcing cement from overseas, please include the ocean portion of the journey in the transportation columns, e.g., cement from China to a plant in Montana may be 3,500 miles ocean + 800 miles rail + 50 miles truck.</t>
        </r>
      </text>
    </comment>
    <comment ref="M33" authorId="0" shapeId="0" xr:uid="{00000000-0006-0000-0100-000019000000}">
      <text>
        <r>
          <rPr>
            <sz val="9"/>
            <color indexed="81"/>
            <rFont val="Tahoma"/>
            <family val="2"/>
          </rPr>
          <t xml:space="preserve">For high mass materials like cement, enter the distance from the Manufacturing Source (MS), i.e. the cement plant  (not from a distributor).
This column shows which materials require which distances:
</t>
        </r>
        <r>
          <rPr>
            <b/>
            <sz val="9"/>
            <color indexed="81"/>
            <rFont val="Tahoma"/>
            <family val="2"/>
          </rPr>
          <t xml:space="preserve">MS=Manufacturing Source
</t>
        </r>
      </text>
    </comment>
    <comment ref="P33" authorId="0" shapeId="0" xr:uid="{00000000-0006-0000-0100-00001A000000}">
      <text>
        <r>
          <rPr>
            <b/>
            <sz val="9"/>
            <color indexed="81"/>
            <rFont val="Tahoma"/>
            <family val="2"/>
          </rPr>
          <t>gfinlayson:</t>
        </r>
        <r>
          <rPr>
            <sz val="9"/>
            <color indexed="81"/>
            <rFont val="Tahoma"/>
            <family val="2"/>
          </rPr>
          <t xml:space="preserve">
20150406-Not used, this was in case we wanted the user to specify that they blended their own and we would calculate the effects for the blended alone, but if they blend their own, we're not worried about the calc just for blended, the material effects will be taken care of by their entries in Plant Inputs.
Cell below should be set to No</t>
        </r>
      </text>
    </comment>
    <comment ref="AJ33" authorId="0" shapeId="0" xr:uid="{00000000-0006-0000-0100-00001B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P39" authorId="0" shapeId="0" xr:uid="{00000000-0006-0000-0100-00001C000000}">
      <text>
        <r>
          <rPr>
            <b/>
            <sz val="9"/>
            <color indexed="81"/>
            <rFont val="Tahoma"/>
            <family val="2"/>
          </rPr>
          <t>gfinlayson:</t>
        </r>
        <r>
          <rPr>
            <sz val="9"/>
            <color indexed="81"/>
            <rFont val="Tahoma"/>
            <family val="2"/>
          </rPr>
          <t xml:space="preserve">
20150406-Not used, this was in case we wanted the user to specify that they blended their own and we would calculate the effects for the blended alone, but if they blend their own, we're not worried about the calc just for blended, the material effects will be taken care of by their entries in Plant Inputs.
Cell below should be set to No</t>
        </r>
      </text>
    </comment>
    <comment ref="P45" authorId="0" shapeId="0" xr:uid="{00000000-0006-0000-0100-00001D000000}">
      <text>
        <r>
          <rPr>
            <b/>
            <sz val="9"/>
            <color indexed="81"/>
            <rFont val="Tahoma"/>
            <family val="2"/>
          </rPr>
          <t>gfinlayson:</t>
        </r>
        <r>
          <rPr>
            <sz val="9"/>
            <color indexed="81"/>
            <rFont val="Tahoma"/>
            <family val="2"/>
          </rPr>
          <t xml:space="preserve">
20150406-Not used, this was in case we wanted the user to specify that they blended their own and we would calculate the effects for the blended alone, but if they blend their own, we're not worried about the calc just for blended, the material effects will be taken care of by their entries in Plant Inputs.
Cell below should be set to No</t>
        </r>
      </text>
    </comment>
    <comment ref="P51" authorId="0" shapeId="0" xr:uid="{00000000-0006-0000-0100-00001E000000}">
      <text>
        <r>
          <rPr>
            <b/>
            <sz val="9"/>
            <color indexed="81"/>
            <rFont val="Tahoma"/>
            <family val="2"/>
          </rPr>
          <t>gfinlayson:</t>
        </r>
        <r>
          <rPr>
            <sz val="9"/>
            <color indexed="81"/>
            <rFont val="Tahoma"/>
            <family val="2"/>
          </rPr>
          <t xml:space="preserve">
20150406-Not used, this was in case we wanted the user to specify that they blended their own and we would calculate the effects for the blended alone, but if they blend their own, we're not worried about the calc just for blended, the material effects will be taken care of by their entries in Plant Inputs.
Cell below should be set to No</t>
        </r>
      </text>
    </comment>
    <comment ref="Q58" authorId="0" shapeId="0" xr:uid="{00000000-0006-0000-0100-00001F000000}">
      <text>
        <r>
          <rPr>
            <b/>
            <sz val="9"/>
            <color indexed="81"/>
            <rFont val="Tahoma"/>
            <family val="2"/>
          </rPr>
          <t>gfinlayson:</t>
        </r>
        <r>
          <rPr>
            <sz val="9"/>
            <color indexed="81"/>
            <rFont val="Tahoma"/>
            <family val="2"/>
          </rPr>
          <t xml:space="preserve">
if there is a valid entry in the four rows above, or if this table is blank and one the other tables isn't, then it's a valid entry (ie this table can be blank if one of the others isn't)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AA3" authorId="0" shapeId="0" xr:uid="{00000000-0006-0000-0200-00000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DISPLAYED  in.  It is different than the master calculation units.</t>
        </r>
      </text>
    </comment>
    <comment ref="AA4" authorId="0" shapeId="0" xr:uid="{00000000-0006-0000-0200-00000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AA5" authorId="0" shapeId="0" xr:uid="{00000000-0006-0000-0200-000003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DISPLAYED  in.  It is different than the master calculation units.</t>
        </r>
      </text>
    </comment>
    <comment ref="AA6" authorId="0" shapeId="0" xr:uid="{00000000-0006-0000-0200-000004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AA7" authorId="0" shapeId="0" xr:uid="{00000000-0006-0000-0200-000005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AA8" authorId="0" shapeId="0" xr:uid="{00000000-0006-0000-0200-000006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distance unit that everything is DISPLAYED  in.  It is different than the master calculation units.</t>
        </r>
      </text>
    </comment>
    <comment ref="AA9" authorId="0" shapeId="0" xr:uid="{00000000-0006-0000-0200-000007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distance unit that everything is calculated in.  It is different than the master Display units.</t>
        </r>
      </text>
    </comment>
    <comment ref="AA10" authorId="0" shapeId="0" xr:uid="{00000000-0006-0000-0200-000008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AA11" authorId="0" shapeId="0" xr:uid="{00000000-0006-0000-0200-000009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AA12" authorId="0" shapeId="0" xr:uid="{00000000-0006-0000-0200-00000A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CALCULATED  in.  It is different than the master Display units.</t>
        </r>
      </text>
    </comment>
    <comment ref="AA13" authorId="0" shapeId="0" xr:uid="{00000000-0006-0000-0200-00000B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AA14" authorId="0" shapeId="0" xr:uid="{00000000-0006-0000-0200-00000C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AA15" authorId="0" shapeId="0" xr:uid="{00000000-0006-0000-0200-00000D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CALCULATED  in.  It is different than the master Display units.</t>
        </r>
      </text>
    </comment>
    <comment ref="AA16" authorId="0" shapeId="0" xr:uid="{00000000-0006-0000-0200-00000E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AA17" authorId="0" shapeId="0" xr:uid="{00000000-0006-0000-0200-00000F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D18" authorId="0" shapeId="0" xr:uid="{00000000-0006-0000-0200-000010000000}">
      <text>
        <r>
          <rPr>
            <sz val="12"/>
            <color indexed="81"/>
            <rFont val="Tahoma"/>
            <family val="2"/>
          </rPr>
          <t>Structural Precast Products include superstructure bridge products such as bridge decks, girders, and parapets; substructure bridge products such as abutments, piers, footings, and pile caps; building products such as columns, beams, interior solid bearing and shear walls, double tees, hollowcore, spandrels, and solid slabs; stairs and stadia seating; and other items such as piles, footings, barriers, retaining walls, rail ties, and the like. Structural precast products can be conventionally reinforced or prestressed.</t>
        </r>
      </text>
    </comment>
    <comment ref="AA18" authorId="0" shapeId="0" xr:uid="{00000000-0006-0000-0200-00001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CALCULATED  in.  It is different than the master Display units.</t>
        </r>
      </text>
    </comment>
    <comment ref="D19" authorId="0" shapeId="0" xr:uid="{00000000-0006-0000-0200-000012000000}">
      <text>
        <r>
          <rPr>
            <sz val="12"/>
            <color indexed="81"/>
            <rFont val="Tahoma"/>
            <family val="2"/>
          </rPr>
          <t xml:space="preserve">Architectural Precast Products include single-wythe exterior wall panels and architectural trim products. Architectural precast products can be conventionally reinforced or prestressed concrete that will be permanently exposed to view and therefore require special care in selection of the concrete materials, forming, placing, and finishing to obtain the desired architectural appearance. </t>
        </r>
      </text>
    </comment>
    <comment ref="AA19" authorId="0" shapeId="0" xr:uid="{00000000-0006-0000-0200-000013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everything is DISPLAYED  in.  It is different than the master calculation units.</t>
        </r>
      </text>
    </comment>
    <comment ref="D20" authorId="0" shapeId="0" xr:uid="{00000000-0006-0000-0200-000014000000}">
      <text>
        <r>
          <rPr>
            <sz val="12"/>
            <color indexed="81"/>
            <rFont val="Tahoma"/>
            <family val="2"/>
          </rPr>
          <t>Insulated Architectural Precast Products include two conventionally reinforced or prestressed concrete wythes with a continuous layer of rigid insulation placed between.</t>
        </r>
      </text>
    </comment>
    <comment ref="AA20" authorId="0" shapeId="0" xr:uid="{00000000-0006-0000-0200-000015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D21" authorId="0" shapeId="0" xr:uid="{00000000-0006-0000-0200-000016000000}">
      <text>
        <r>
          <rPr>
            <sz val="12"/>
            <color indexed="81"/>
            <rFont val="Tahoma"/>
            <family val="2"/>
          </rPr>
          <t>Underground Precast Products include pipe and culvert products, man-holes, tanks, chambers, and related products such as electrical utility products. Underground precast products are typically conventionally reinforced.</t>
        </r>
      </text>
    </comment>
    <comment ref="AA21" authorId="0" shapeId="0" xr:uid="{00000000-0006-0000-0200-000017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AA22" authorId="0" shapeId="0" xr:uid="{00000000-0006-0000-0200-000018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AS22" authorId="0" shapeId="0" xr:uid="{00000000-0006-0000-0200-000019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AA23" authorId="0" shapeId="0" xr:uid="{00000000-0006-0000-0200-00001A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BM23" authorId="0" shapeId="0" xr:uid="{00000000-0006-0000-0200-00001B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A24" authorId="0" shapeId="0" xr:uid="{00000000-0006-0000-0200-00001C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AA25" authorId="0" shapeId="0" xr:uid="{00000000-0006-0000-0200-00001D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unit that EPD results are DISPLAYED  in.  It is different than the master calculation units.</t>
        </r>
      </text>
    </comment>
    <comment ref="AG27" authorId="0" shapeId="0" xr:uid="{00000000-0006-0000-0200-00001E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N29" authorId="0" shapeId="0" xr:uid="{00000000-0006-0000-0200-00001F000000}">
      <text>
        <r>
          <rPr>
            <sz val="9"/>
            <color indexed="81"/>
            <rFont val="Tahoma"/>
            <family val="2"/>
          </rPr>
          <t xml:space="preserve">The distances entered wiil depend on the material. 
For high mass materials (cement, aggregate, SCMs, reinforcement), enter the distance from the Manufacturing Source (MS), i.e. the cement plant, quarry or mill (not from a distributor).
For low mass materials (admixtures, consumables) enter the distance from a Depot or Distributor (D), you do not need to know where your distributor sourced the materials from.
This column shows which materials require which distances:
</t>
        </r>
        <r>
          <rPr>
            <b/>
            <sz val="9"/>
            <color indexed="81"/>
            <rFont val="Tahoma"/>
            <family val="2"/>
          </rPr>
          <t>MS=Manufacturing Source
D=Depot or Distributor</t>
        </r>
      </text>
    </comment>
    <comment ref="Z29" authorId="0" shapeId="0" xr:uid="{00000000-0006-0000-0200-000020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29" authorId="0" shapeId="0" xr:uid="{00000000-0006-0000-0200-000021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200-00002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E30" authorId="0" shapeId="0" xr:uid="{00000000-0006-0000-0200-000023000000}">
      <text>
        <r>
          <rPr>
            <sz val="11"/>
            <color indexed="81"/>
            <rFont val="Tahoma"/>
            <family val="2"/>
          </rPr>
          <t>Cement totals cannot be entered directly here. Complete the table on the "Cement Sources" tab, and the totals will appear here automatically.</t>
        </r>
      </text>
    </comment>
    <comment ref="E31" authorId="0" shapeId="0" xr:uid="{00000000-0006-0000-0200-000024000000}">
      <text>
        <r>
          <rPr>
            <sz val="11"/>
            <color indexed="81"/>
            <rFont val="Tahoma"/>
            <family val="2"/>
          </rPr>
          <t>Cement totals cannot be entered directly here. Complete the table on the "Cement Sources" tab, and the totals will appear here automatically.</t>
        </r>
      </text>
    </comment>
    <comment ref="E32" authorId="0" shapeId="0" xr:uid="{00000000-0006-0000-0200-000025000000}">
      <text>
        <r>
          <rPr>
            <sz val="11"/>
            <color indexed="81"/>
            <rFont val="Tahoma"/>
            <family val="2"/>
          </rPr>
          <t>Cement totals cannot be entered directly here. Complete the table on the "Cement Sources" tab, and the totals will appear here automatically.</t>
        </r>
      </text>
    </comment>
    <comment ref="D39" authorId="0" shapeId="0" xr:uid="{00000000-0006-0000-0200-000026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200-000027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200-000028000000}">
      <text>
        <r>
          <rPr>
            <sz val="11"/>
            <color indexed="81"/>
            <rFont val="Tahoma"/>
            <family val="2"/>
          </rPr>
          <t>Includes anchors, installation plates, angles, channels, tubes etc.</t>
        </r>
      </text>
    </comment>
    <comment ref="D64" authorId="0" shapeId="0" xr:uid="{00000000-0006-0000-0200-000029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200-00002A000000}">
      <text/>
    </comment>
    <comment ref="D66" authorId="0" shapeId="0" xr:uid="{00000000-0006-0000-0200-00002B000000}">
      <text/>
    </comment>
    <comment ref="D67" authorId="0" shapeId="0" xr:uid="{00000000-0006-0000-0200-00002C000000}">
      <text/>
    </comment>
    <comment ref="F68" authorId="1" shapeId="0" xr:uid="{00000000-0006-0000-0200-00002D000000}">
      <text>
        <r>
          <rPr>
            <b/>
            <sz val="9"/>
            <color indexed="81"/>
            <rFont val="Tahoma"/>
            <family val="2"/>
          </rPr>
          <t xml:space="preserve">NOTE:
</t>
        </r>
        <r>
          <rPr>
            <sz val="9"/>
            <color indexed="81"/>
            <rFont val="Tahoma"/>
            <family val="2"/>
          </rPr>
          <t>The Total Mass includes the mass of all materials and batch Water, but does not include Net Consumables.</t>
        </r>
      </text>
    </comment>
    <comment ref="F75" authorId="0" shapeId="0" xr:uid="{00000000-0006-0000-0200-00002E000000}">
      <text>
        <r>
          <rPr>
            <sz val="11"/>
            <color indexed="81"/>
            <rFont val="Tahoma"/>
            <family val="2"/>
          </rPr>
          <t>If the Unit cell is red it is because you've chosen an inappropriate unit type.  For example, kWh should only be chosen for Electricity rows, if you choose it for Natural Gas, it will create an error.  Change the Natural Gas unit to a suitable unit, ft3, m3, GJ or therms.</t>
        </r>
      </text>
    </comment>
    <comment ref="Z75" authorId="0" shapeId="0" xr:uid="{00000000-0006-0000-0200-00002F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BM90" authorId="0" shapeId="0" xr:uid="{00000000-0006-0000-0200-000030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200-000031000000}">
      <text>
        <r>
          <rPr>
            <b/>
            <sz val="9"/>
            <color indexed="81"/>
            <rFont val="Tahoma"/>
            <family val="2"/>
          </rPr>
          <t>gfinlayson:</t>
        </r>
        <r>
          <rPr>
            <sz val="9"/>
            <color indexed="81"/>
            <rFont val="Tahoma"/>
            <family val="2"/>
          </rPr>
          <t xml:space="preserve">
0-no
1-yes</t>
        </r>
      </text>
    </comment>
    <comment ref="AG94" authorId="0" shapeId="0" xr:uid="{00000000-0006-0000-0200-000032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200-000033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200-000034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200-000035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97" authorId="0" shapeId="0" xr:uid="{00000000-0006-0000-0200-000036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D98" authorId="0" shapeId="0" xr:uid="{00000000-0006-0000-0200-000037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D99" authorId="0" shapeId="0" xr:uid="{00000000-0006-0000-0200-000038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D100" authorId="0" shapeId="0" xr:uid="{00000000-0006-0000-0200-000039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D101" authorId="0" shapeId="0" xr:uid="{00000000-0006-0000-0200-00003A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D102" authorId="0" shapeId="0" xr:uid="{00000000-0006-0000-0200-00003B000000}">
      <text>
        <r>
          <rPr>
            <sz val="11"/>
            <color indexed="81"/>
            <rFont val="Tahoma"/>
            <family val="2"/>
          </rPr>
          <t>Waste amounts must be entered as a mass unit, if you have waste measured in gallons or litres for example, please convert the amounts to a mass unit.
Petroleum products (oil, grease, solvents, etc.) can be converted using a density of 0.88 kg/litre or 7.34 lbs/gallon.
For any other products please convert using the density of the product.</t>
        </r>
      </text>
    </comment>
    <comment ref="F103" authorId="0" shapeId="0" xr:uid="{00000000-0006-0000-0200-00003C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D18" authorId="0" shapeId="0" xr:uid="{00000000-0006-0000-0300-000001000000}">
      <text>
        <r>
          <rPr>
            <sz val="12"/>
            <color indexed="81"/>
            <rFont val="Tahoma"/>
            <family val="2"/>
          </rPr>
          <t>This value is entered automatically from the Plant Inputs page</t>
        </r>
      </text>
    </comment>
    <comment ref="AS18" authorId="0" shapeId="0" xr:uid="{00000000-0006-0000-0300-00000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BM23" authorId="0" shapeId="0" xr:uid="{00000000-0006-0000-0300-000003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G27" authorId="0" shapeId="0" xr:uid="{00000000-0006-0000-0300-000004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AN29" authorId="0" shapeId="0" xr:uid="{00000000-0006-0000-0300-000005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300-000006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39" authorId="0" shapeId="0" xr:uid="{00000000-0006-0000-0300-000007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300-000008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300-000009000000}">
      <text>
        <r>
          <rPr>
            <sz val="11"/>
            <color indexed="81"/>
            <rFont val="Tahoma"/>
            <family val="2"/>
          </rPr>
          <t>Includes anchors, installation plates, angles, channels, tubes etc.</t>
        </r>
      </text>
    </comment>
    <comment ref="D64" authorId="0" shapeId="0" xr:uid="{00000000-0006-0000-0300-00000A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300-00000B000000}">
      <text/>
    </comment>
    <comment ref="F68" authorId="1" shapeId="0" xr:uid="{00000000-0006-0000-0300-00000C000000}">
      <text>
        <r>
          <rPr>
            <b/>
            <sz val="9"/>
            <color indexed="81"/>
            <rFont val="Tahoma"/>
            <family val="2"/>
          </rPr>
          <t xml:space="preserve">NOTE:
</t>
        </r>
        <r>
          <rPr>
            <sz val="9"/>
            <color indexed="81"/>
            <rFont val="Tahoma"/>
            <family val="2"/>
          </rPr>
          <t>The Total Mass includes Batch Water, but does not include Net Consumables.</t>
        </r>
      </text>
    </comment>
    <comment ref="BM90" authorId="0" shapeId="0" xr:uid="{00000000-0006-0000-0300-00000D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300-00000E000000}">
      <text>
        <r>
          <rPr>
            <b/>
            <sz val="9"/>
            <color indexed="81"/>
            <rFont val="Tahoma"/>
            <family val="2"/>
          </rPr>
          <t>gfinlayson:</t>
        </r>
        <r>
          <rPr>
            <sz val="9"/>
            <color indexed="81"/>
            <rFont val="Tahoma"/>
            <family val="2"/>
          </rPr>
          <t xml:space="preserve">
0-no
1-yes</t>
        </r>
      </text>
    </comment>
    <comment ref="AG94" authorId="0" shapeId="0" xr:uid="{00000000-0006-0000-0300-00000F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300-000010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300-000011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300-00001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F103" authorId="0" shapeId="0" xr:uid="{00000000-0006-0000-0300-000013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D18" authorId="0" shapeId="0" xr:uid="{00000000-0006-0000-0400-000001000000}">
      <text>
        <r>
          <rPr>
            <sz val="12"/>
            <color indexed="81"/>
            <rFont val="Tahoma"/>
            <family val="2"/>
          </rPr>
          <t>This value is entered automatically from the Plant Inputs page</t>
        </r>
      </text>
    </comment>
    <comment ref="AS18" authorId="0" shapeId="0" xr:uid="{00000000-0006-0000-0400-00000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BM23" authorId="0" shapeId="0" xr:uid="{00000000-0006-0000-0400-000003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G27" authorId="0" shapeId="0" xr:uid="{00000000-0006-0000-0400-000004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AN29" authorId="0" shapeId="0" xr:uid="{00000000-0006-0000-0400-000005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400-000006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39" authorId="0" shapeId="0" xr:uid="{00000000-0006-0000-0400-000007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400-000008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400-000009000000}">
      <text>
        <r>
          <rPr>
            <sz val="11"/>
            <color indexed="81"/>
            <rFont val="Tahoma"/>
            <family val="2"/>
          </rPr>
          <t>Includes anchors, installation plates, angles, channels, tubes etc.</t>
        </r>
      </text>
    </comment>
    <comment ref="D64" authorId="0" shapeId="0" xr:uid="{00000000-0006-0000-0400-00000A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400-00000B000000}">
      <text/>
    </comment>
    <comment ref="F68" authorId="1" shapeId="0" xr:uid="{00000000-0006-0000-0400-00000C000000}">
      <text>
        <r>
          <rPr>
            <b/>
            <sz val="9"/>
            <color indexed="81"/>
            <rFont val="Tahoma"/>
            <family val="2"/>
          </rPr>
          <t xml:space="preserve">NOTE:
</t>
        </r>
        <r>
          <rPr>
            <sz val="9"/>
            <color indexed="81"/>
            <rFont val="Tahoma"/>
            <family val="2"/>
          </rPr>
          <t>The Total Mass includes Batch Water, but does not include Net Consumables.</t>
        </r>
      </text>
    </comment>
    <comment ref="BM90" authorId="0" shapeId="0" xr:uid="{00000000-0006-0000-0400-00000D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400-00000E000000}">
      <text>
        <r>
          <rPr>
            <b/>
            <sz val="9"/>
            <color indexed="81"/>
            <rFont val="Tahoma"/>
            <family val="2"/>
          </rPr>
          <t>gfinlayson:</t>
        </r>
        <r>
          <rPr>
            <sz val="9"/>
            <color indexed="81"/>
            <rFont val="Tahoma"/>
            <family val="2"/>
          </rPr>
          <t xml:space="preserve">
0-no
1-yes</t>
        </r>
      </text>
    </comment>
    <comment ref="AG94" authorId="0" shapeId="0" xr:uid="{00000000-0006-0000-0400-00000F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400-000010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400-000011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400-00001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F103" authorId="0" shapeId="0" xr:uid="{00000000-0006-0000-0400-000013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D18" authorId="0" shapeId="0" xr:uid="{00000000-0006-0000-0500-000001000000}">
      <text>
        <r>
          <rPr>
            <sz val="12"/>
            <color indexed="81"/>
            <rFont val="Tahoma"/>
            <family val="2"/>
          </rPr>
          <t>This value is entered automatically from the Plant Inputs page</t>
        </r>
      </text>
    </comment>
    <comment ref="AS18" authorId="0" shapeId="0" xr:uid="{00000000-0006-0000-0500-00000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BM23" authorId="0" shapeId="0" xr:uid="{00000000-0006-0000-0500-000003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G27" authorId="0" shapeId="0" xr:uid="{00000000-0006-0000-0500-000004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AN29" authorId="0" shapeId="0" xr:uid="{00000000-0006-0000-0500-000005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500-000006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39" authorId="0" shapeId="0" xr:uid="{00000000-0006-0000-0500-000007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500-000008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500-000009000000}">
      <text>
        <r>
          <rPr>
            <sz val="11"/>
            <color indexed="81"/>
            <rFont val="Tahoma"/>
            <family val="2"/>
          </rPr>
          <t>Includes anchors, installation plates, angles, channels, tubes etc.</t>
        </r>
      </text>
    </comment>
    <comment ref="D64" authorId="0" shapeId="0" xr:uid="{00000000-0006-0000-0500-00000A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500-00000B000000}">
      <text/>
    </comment>
    <comment ref="F68" authorId="1" shapeId="0" xr:uid="{00000000-0006-0000-0500-00000C000000}">
      <text>
        <r>
          <rPr>
            <b/>
            <sz val="9"/>
            <color indexed="81"/>
            <rFont val="Tahoma"/>
            <family val="2"/>
          </rPr>
          <t xml:space="preserve">NOTE:
</t>
        </r>
        <r>
          <rPr>
            <sz val="9"/>
            <color indexed="81"/>
            <rFont val="Tahoma"/>
            <family val="2"/>
          </rPr>
          <t>The Total Mass includes Batch Water, but does not include Net Consumables.</t>
        </r>
      </text>
    </comment>
    <comment ref="BM90" authorId="0" shapeId="0" xr:uid="{00000000-0006-0000-0500-00000D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500-00000E000000}">
      <text>
        <r>
          <rPr>
            <b/>
            <sz val="9"/>
            <color indexed="81"/>
            <rFont val="Tahoma"/>
            <family val="2"/>
          </rPr>
          <t>gfinlayson:</t>
        </r>
        <r>
          <rPr>
            <sz val="9"/>
            <color indexed="81"/>
            <rFont val="Tahoma"/>
            <family val="2"/>
          </rPr>
          <t xml:space="preserve">
0-no
1-yes</t>
        </r>
      </text>
    </comment>
    <comment ref="AG94" authorId="0" shapeId="0" xr:uid="{00000000-0006-0000-0500-00000F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500-000010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500-000011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500-00001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F103" authorId="0" shapeId="0" xr:uid="{00000000-0006-0000-0500-000013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D18" authorId="0" shapeId="0" xr:uid="{00000000-0006-0000-0600-000001000000}">
      <text>
        <r>
          <rPr>
            <sz val="12"/>
            <color indexed="81"/>
            <rFont val="Tahoma"/>
            <family val="2"/>
          </rPr>
          <t>This value is entered automatically from the Plant Inputs page</t>
        </r>
      </text>
    </comment>
    <comment ref="AS18" authorId="0" shapeId="0" xr:uid="{00000000-0006-0000-0600-00000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BM23" authorId="0" shapeId="0" xr:uid="{00000000-0006-0000-0600-000003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G27" authorId="0" shapeId="0" xr:uid="{00000000-0006-0000-0600-000004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AN29" authorId="0" shapeId="0" xr:uid="{00000000-0006-0000-0600-000005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600-000006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39" authorId="0" shapeId="0" xr:uid="{00000000-0006-0000-0600-000007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600-000008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600-000009000000}">
      <text>
        <r>
          <rPr>
            <sz val="11"/>
            <color indexed="81"/>
            <rFont val="Tahoma"/>
            <family val="2"/>
          </rPr>
          <t>Includes anchors, installation plates, angles, channels, tubes etc.</t>
        </r>
      </text>
    </comment>
    <comment ref="D64" authorId="0" shapeId="0" xr:uid="{00000000-0006-0000-0600-00000A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600-00000B000000}">
      <text/>
    </comment>
    <comment ref="F68" authorId="1" shapeId="0" xr:uid="{00000000-0006-0000-0600-00000C000000}">
      <text>
        <r>
          <rPr>
            <b/>
            <sz val="9"/>
            <color indexed="81"/>
            <rFont val="Tahoma"/>
            <family val="2"/>
          </rPr>
          <t xml:space="preserve">NOTE:
</t>
        </r>
        <r>
          <rPr>
            <sz val="9"/>
            <color indexed="81"/>
            <rFont val="Tahoma"/>
            <family val="2"/>
          </rPr>
          <t>The Total Mass includes Batch Water, but does not include Net Consumables.</t>
        </r>
      </text>
    </comment>
    <comment ref="BM90" authorId="0" shapeId="0" xr:uid="{00000000-0006-0000-0600-00000D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600-00000E000000}">
      <text>
        <r>
          <rPr>
            <b/>
            <sz val="9"/>
            <color indexed="81"/>
            <rFont val="Tahoma"/>
            <family val="2"/>
          </rPr>
          <t>gfinlayson:</t>
        </r>
        <r>
          <rPr>
            <sz val="9"/>
            <color indexed="81"/>
            <rFont val="Tahoma"/>
            <family val="2"/>
          </rPr>
          <t xml:space="preserve">
0-no
1-yes</t>
        </r>
      </text>
    </comment>
    <comment ref="AG94" authorId="0" shapeId="0" xr:uid="{00000000-0006-0000-0600-00000F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600-000010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600-000011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600-000012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F103" authorId="0" shapeId="0" xr:uid="{00000000-0006-0000-0600-000013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Grant Finlayson</author>
  </authors>
  <commentList>
    <comment ref="D102" authorId="0" shapeId="0" xr:uid="{00000000-0006-0000-0700-000001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 ref="D217" authorId="0" shapeId="0" xr:uid="{00000000-0006-0000-0700-000002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 ref="D335" authorId="0" shapeId="0" xr:uid="{00000000-0006-0000-0700-000003000000}">
      <text>
        <r>
          <rPr>
            <sz val="9"/>
            <color indexed="81"/>
            <rFont val="Tahoma"/>
            <family val="2"/>
          </rPr>
          <t>Individual material effects below the Cutoff Criterion percentage will be summed up as "Other".
Changing the Cutoff Criterion will increase or decrease the number of materials represented in the above graphs.
(does not affect the Life Cycle Stage graphs)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gfinlayson</author>
    <author>Chris Goemans</author>
  </authors>
  <commentList>
    <comment ref="AS18" authorId="0" shapeId="0" xr:uid="{00000000-0006-0000-0900-00000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BM23" authorId="0" shapeId="0" xr:uid="{00000000-0006-0000-0900-000002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G27" authorId="0" shapeId="0" xr:uid="{00000000-0006-0000-0900-000003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AN29" authorId="0" shapeId="0" xr:uid="{00000000-0006-0000-0900-000004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29" authorId="0" shapeId="0" xr:uid="{00000000-0006-0000-0900-000005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D39" authorId="0" shapeId="0" xr:uid="{00000000-0006-0000-0900-000006000000}">
      <text>
        <r>
          <rPr>
            <sz val="11"/>
            <color indexed="81"/>
            <rFont val="Tahoma"/>
            <family val="2"/>
          </rPr>
          <t>SCMs are byproducts of other industrial processes and are considered burden free.  Therefore, the only LCA effects are due to transportation.</t>
        </r>
      </text>
    </comment>
    <comment ref="D40" authorId="0" shapeId="0" xr:uid="{00000000-0006-0000-0900-000007000000}">
      <text>
        <r>
          <rPr>
            <sz val="11"/>
            <color indexed="81"/>
            <rFont val="Tahoma"/>
            <family val="2"/>
          </rPr>
          <t>SCMs are byproducts of other industrial processes and are considered burden free.  Therefore, the only LCA effects are due to transportation.</t>
        </r>
      </text>
    </comment>
    <comment ref="D51" authorId="0" shapeId="0" xr:uid="{00000000-0006-0000-0900-000008000000}">
      <text>
        <r>
          <rPr>
            <sz val="11"/>
            <color indexed="81"/>
            <rFont val="Tahoma"/>
            <family val="2"/>
          </rPr>
          <t>Includes anchors, installation plates, angles, channels, tubes etc.</t>
        </r>
      </text>
    </comment>
    <comment ref="D64" authorId="0" shapeId="0" xr:uid="{00000000-0006-0000-0900-000009000000}">
      <text>
        <r>
          <rPr>
            <sz val="11"/>
            <color indexed="81"/>
            <rFont val="Tahoma"/>
            <family val="2"/>
          </rPr>
          <t xml:space="preserve">Liquid Consumables (hydraulic fluids, motor oil, antifreeze, transmission and brake fluids):
Report </t>
        </r>
        <r>
          <rPr>
            <b/>
            <u/>
            <sz val="11"/>
            <color indexed="81"/>
            <rFont val="Tahoma"/>
            <family val="2"/>
          </rPr>
          <t>NET</t>
        </r>
        <r>
          <rPr>
            <sz val="11"/>
            <color indexed="81"/>
            <rFont val="Tahoma"/>
            <family val="2"/>
          </rPr>
          <t xml:space="preserve"> amount - purchased or used amounts, minus recycled amount, in Litres.
Ignore grease lubricants (typically purchased as solids and measured in kg)
</t>
        </r>
      </text>
    </comment>
    <comment ref="D65" authorId="0" shapeId="0" xr:uid="{00000000-0006-0000-0900-00000A000000}">
      <text/>
    </comment>
    <comment ref="F68" authorId="1" shapeId="0" xr:uid="{00000000-0006-0000-0900-00000B000000}">
      <text>
        <r>
          <rPr>
            <b/>
            <sz val="9"/>
            <color indexed="81"/>
            <rFont val="Tahoma"/>
            <family val="2"/>
          </rPr>
          <t xml:space="preserve">NOTE:
</t>
        </r>
        <r>
          <rPr>
            <sz val="9"/>
            <color indexed="81"/>
            <rFont val="Tahoma"/>
            <family val="2"/>
          </rPr>
          <t>The Total Mass includes Batch Water, but does not include Net Consumables.</t>
        </r>
      </text>
    </comment>
    <comment ref="BM90" authorId="0" shapeId="0" xr:uid="{00000000-0006-0000-0900-00000C000000}">
      <text>
        <r>
          <rPr>
            <b/>
            <sz val="11"/>
            <color indexed="81"/>
            <rFont val="Tahoma"/>
            <family val="2"/>
          </rPr>
          <t>gfinlayson:</t>
        </r>
        <r>
          <rPr>
            <sz val="11"/>
            <color indexed="81"/>
            <rFont val="Tahoma"/>
            <family val="2"/>
          </rPr>
          <t xml:space="preserve">
This will multiply all the transportation distances by this value- 
i.e. 1=one way transportation, 
2= two way transportation
</t>
        </r>
      </text>
    </comment>
    <comment ref="AY92" authorId="0" shapeId="0" xr:uid="{00000000-0006-0000-0900-00000D000000}">
      <text>
        <r>
          <rPr>
            <b/>
            <sz val="9"/>
            <color indexed="81"/>
            <rFont val="Tahoma"/>
            <family val="2"/>
          </rPr>
          <t>gfinlayson:</t>
        </r>
        <r>
          <rPr>
            <sz val="9"/>
            <color indexed="81"/>
            <rFont val="Tahoma"/>
            <family val="2"/>
          </rPr>
          <t xml:space="preserve">
0-no
1-yes</t>
        </r>
      </text>
    </comment>
    <comment ref="AG94" authorId="0" shapeId="0" xr:uid="{00000000-0006-0000-0900-00000E000000}">
      <text>
        <r>
          <rPr>
            <b/>
            <sz val="11"/>
            <color indexed="81"/>
            <rFont val="Tahoma"/>
            <family val="2"/>
          </rPr>
          <t>gfinlayson:</t>
        </r>
        <r>
          <rPr>
            <sz val="11"/>
            <color indexed="81"/>
            <rFont val="Tahoma"/>
            <family val="2"/>
          </rPr>
          <t xml:space="preserve">
This is a "master unit", it is set in the Plant Inputs page.
 This is the distance unit that everything is calculated in.  It is different than the master Display units.</t>
        </r>
      </text>
    </comment>
    <comment ref="Z96" authorId="0" shapeId="0" xr:uid="{00000000-0006-0000-0900-00000F000000}">
      <text>
        <r>
          <rPr>
            <sz val="11"/>
            <color indexed="81"/>
            <rFont val="Tahoma"/>
            <family val="2"/>
          </rPr>
          <t>This is to differentiate between materials that were included or not included in previous versions of the tool.
Enter the version number in which the material was introduced, i.e. all materials that were in the original version are 1, any new materials in version 2 are 2.</t>
        </r>
      </text>
    </comment>
    <comment ref="AN96" authorId="0" shapeId="0" xr:uid="{00000000-0006-0000-0900-000010000000}">
      <text>
        <r>
          <rPr>
            <b/>
            <sz val="9"/>
            <color indexed="81"/>
            <rFont val="Tahoma"/>
            <family val="2"/>
          </rPr>
          <t>gfinlayson:</t>
        </r>
        <r>
          <rPr>
            <sz val="9"/>
            <color indexed="81"/>
            <rFont val="Tahoma"/>
            <family val="2"/>
          </rPr>
          <t xml:space="preserve">
Is this a Mass unit or a Volume unit?  
Volume units need to be multiplied by a density to convert it to a mass, mass units do not.</t>
        </r>
      </text>
    </comment>
    <comment ref="AT96" authorId="0" shapeId="0" xr:uid="{00000000-0006-0000-0900-000011000000}">
      <text>
        <r>
          <rPr>
            <b/>
            <sz val="11"/>
            <color indexed="81"/>
            <rFont val="Tahoma"/>
            <family val="2"/>
          </rPr>
          <t>gfinlayson:</t>
        </r>
        <r>
          <rPr>
            <sz val="11"/>
            <color indexed="81"/>
            <rFont val="Tahoma"/>
            <family val="2"/>
          </rPr>
          <t xml:space="preserve">
This is a "master unit", if you change the name of the unit here, it will change elsewhere in the workbook.  This is the mass unit that everything is calculated in.  It is different than the master Display units.</t>
        </r>
      </text>
    </comment>
    <comment ref="F103" authorId="0" shapeId="0" xr:uid="{00000000-0006-0000-0900-000012000000}">
      <text>
        <r>
          <rPr>
            <sz val="11"/>
            <color indexed="81"/>
            <rFont val="Tahoma"/>
            <family val="2"/>
          </rPr>
          <t xml:space="preserve">This is the mass of waste that goes to recycling and/or incineration facilities, divided by the total mass of all waste reported:
Section D, ( Row 2 + Row 3 + Row 5 + Row 6) / SUM (Row 1 to Row 6) </t>
        </r>
      </text>
    </comment>
  </commentList>
</comments>
</file>

<file path=xl/sharedStrings.xml><?xml version="1.0" encoding="utf-8"?>
<sst xmlns="http://schemas.openxmlformats.org/spreadsheetml/2006/main" count="3671" uniqueCount="874">
  <si>
    <t>US Average</t>
  </si>
  <si>
    <t>UOM</t>
  </si>
  <si>
    <t>#</t>
  </si>
  <si>
    <t>yd3</t>
  </si>
  <si>
    <t>TOOL NAME</t>
  </si>
  <si>
    <t>Material</t>
  </si>
  <si>
    <t>Units</t>
  </si>
  <si>
    <t>NOTES:</t>
  </si>
  <si>
    <t>Natural Gas</t>
  </si>
  <si>
    <t>Diesel</t>
  </si>
  <si>
    <t>Energy Type</t>
  </si>
  <si>
    <t>Location</t>
  </si>
  <si>
    <t>Amount</t>
  </si>
  <si>
    <t>Truck</t>
  </si>
  <si>
    <t>Rail</t>
  </si>
  <si>
    <t>Barge</t>
  </si>
  <si>
    <t>Ocean</t>
  </si>
  <si>
    <t>USA</t>
  </si>
  <si>
    <t>Other</t>
  </si>
  <si>
    <t>Total</t>
  </si>
  <si>
    <t>km</t>
  </si>
  <si>
    <t>Portland Cement</t>
  </si>
  <si>
    <t>kg</t>
  </si>
  <si>
    <t>Gasoline</t>
  </si>
  <si>
    <t>m3</t>
  </si>
  <si>
    <t>FROM</t>
  </si>
  <si>
    <t>TO</t>
  </si>
  <si>
    <t>VALUE</t>
  </si>
  <si>
    <t>lbs</t>
  </si>
  <si>
    <t>mile</t>
  </si>
  <si>
    <t>short ton</t>
  </si>
  <si>
    <t>INVERSE</t>
  </si>
  <si>
    <t>MJ</t>
  </si>
  <si>
    <t>kJ</t>
  </si>
  <si>
    <t>liter</t>
  </si>
  <si>
    <t>gallons water</t>
  </si>
  <si>
    <t>ft3</t>
  </si>
  <si>
    <t>kWh</t>
  </si>
  <si>
    <t>Transportation</t>
  </si>
  <si>
    <t>megaliter</t>
  </si>
  <si>
    <t>Megajoule to Million BTU Thermal</t>
  </si>
  <si>
    <t>907 kg per short ton</t>
  </si>
  <si>
    <t>1 million liters per megaliter</t>
  </si>
  <si>
    <t>1000 megajoules per gigajoule</t>
  </si>
  <si>
    <t>1000 kilojoules per megajoule</t>
  </si>
  <si>
    <t>35.31 cubic feet per cubic meter</t>
  </si>
  <si>
    <t>8.345 pounds per gallon of water</t>
  </si>
  <si>
    <t>3.7854 liters per gallon</t>
  </si>
  <si>
    <t>3600 kilojoules per kilowatthour</t>
  </si>
  <si>
    <t>3.6 megajoules per kilowatthour</t>
  </si>
  <si>
    <t>0.62 miles per kilometer</t>
  </si>
  <si>
    <t>2.2 pounds per kilogram</t>
  </si>
  <si>
    <t>In Words</t>
  </si>
  <si>
    <t>1.102 short tons per metric tonne</t>
  </si>
  <si>
    <t>2204 pounds per metric tonne</t>
  </si>
  <si>
    <t>2000 pounds per short ton</t>
  </si>
  <si>
    <t>1000 kilograms per metric tonne</t>
  </si>
  <si>
    <t>CONVERSIONS</t>
  </si>
  <si>
    <t>Plant Location</t>
  </si>
  <si>
    <t>Select a location from the drop down list.</t>
  </si>
  <si>
    <t>SCMs - Fly Ash</t>
  </si>
  <si>
    <t>SCMs - Silica Fume</t>
  </si>
  <si>
    <t>Fine Aggregate - natural sand</t>
  </si>
  <si>
    <t>Coarse Aggregate - natural gravel</t>
  </si>
  <si>
    <t>Completed Fields</t>
  </si>
  <si>
    <t>Needed to be ccompleted</t>
  </si>
  <si>
    <t>percent complete</t>
  </si>
  <si>
    <t>Percentage</t>
  </si>
  <si>
    <t>CONSTANTS</t>
  </si>
  <si>
    <t>DESCRIPTION</t>
  </si>
  <si>
    <t>Average amount of water per truck used for miscellaneous purposes per day</t>
  </si>
  <si>
    <t>RESULTS SUMMARY</t>
  </si>
  <si>
    <t>B. MATERIALS</t>
  </si>
  <si>
    <t>1.3 cubic yards per cubic meter</t>
  </si>
  <si>
    <t>NOTE: If the graphs and tables are not formatting properly when you first open this worksheet, change your zoom setting to forcibly refresh the content on this worksheet.</t>
  </si>
  <si>
    <t>Average amount of water per truck for a single washout</t>
  </si>
  <si>
    <t>Average amount of water per truck for a single washoff</t>
  </si>
  <si>
    <t>One-Way Distance From Material Source to Plant by Tranportation Mode</t>
  </si>
  <si>
    <r>
      <t>Purchased Electricity</t>
    </r>
    <r>
      <rPr>
        <sz val="10"/>
        <rFont val="Arial"/>
        <family val="2"/>
      </rPr>
      <t xml:space="preserve"> (from Regional Electricity Grid)</t>
    </r>
  </si>
  <si>
    <t>Conversion Factor</t>
  </si>
  <si>
    <t>Water Use</t>
  </si>
  <si>
    <t>Alberta</t>
  </si>
  <si>
    <t>British Columbia</t>
  </si>
  <si>
    <t>Manitoba</t>
  </si>
  <si>
    <t>New Brunswick</t>
  </si>
  <si>
    <t>Nova Scotia</t>
  </si>
  <si>
    <t>Ontario</t>
  </si>
  <si>
    <t>Prince Edward Island</t>
  </si>
  <si>
    <t>Quebec</t>
  </si>
  <si>
    <t>Saskatchewan</t>
  </si>
  <si>
    <t>Canada Average</t>
  </si>
  <si>
    <t>Production Data</t>
  </si>
  <si>
    <t>A. LOCATION AND PRODUCTION DATA</t>
  </si>
  <si>
    <t>Form Release Agent</t>
  </si>
  <si>
    <t>Brick</t>
  </si>
  <si>
    <t>Pigments</t>
  </si>
  <si>
    <t>Extruded Polystyrene</t>
  </si>
  <si>
    <t>Canadian_Provinces</t>
  </si>
  <si>
    <t>Mass_Units</t>
  </si>
  <si>
    <t>Volume_Units</t>
  </si>
  <si>
    <t>Energy_Units</t>
  </si>
  <si>
    <t>Product_Units</t>
  </si>
  <si>
    <t>Mass</t>
  </si>
  <si>
    <t>Global warming</t>
  </si>
  <si>
    <t>Total primary energy</t>
  </si>
  <si>
    <t>Water use</t>
  </si>
  <si>
    <t>CAN</t>
  </si>
  <si>
    <t>AB</t>
  </si>
  <si>
    <t>SK</t>
  </si>
  <si>
    <t>MB</t>
  </si>
  <si>
    <t>BC</t>
  </si>
  <si>
    <t>NB</t>
  </si>
  <si>
    <t>NS</t>
  </si>
  <si>
    <t>ON</t>
  </si>
  <si>
    <t>PE</t>
  </si>
  <si>
    <t>QC</t>
  </si>
  <si>
    <t>Plant Value per Production Unit</t>
  </si>
  <si>
    <t>CPCI Sustainable Plant Tool</t>
  </si>
  <si>
    <t>Heavy Fuel Oil</t>
  </si>
  <si>
    <t>3. If a non-numeric value is entered into a cell that expects a numeric value, a "#VALUE!" error message will appear.</t>
  </si>
  <si>
    <t>1. We are assuming zero contribution to primary energy consumption and global warming potential due to the manufacturing processes by which each of the SCMs are manufactured.</t>
  </si>
  <si>
    <t>Materials</t>
  </si>
  <si>
    <t>Fuels</t>
  </si>
  <si>
    <t>Transport</t>
  </si>
  <si>
    <t>Material_Densities</t>
  </si>
  <si>
    <t>Unit in row, times value = unit in column</t>
  </si>
  <si>
    <t>entry unit</t>
  </si>
  <si>
    <t>M</t>
  </si>
  <si>
    <t>V</t>
  </si>
  <si>
    <t>Entry</t>
  </si>
  <si>
    <t>Material Mass</t>
  </si>
  <si>
    <t>.</t>
  </si>
  <si>
    <t>NL</t>
  </si>
  <si>
    <t>Totals</t>
  </si>
  <si>
    <t>Material LCA</t>
  </si>
  <si>
    <t>Grand Totals</t>
  </si>
  <si>
    <t>Unit</t>
  </si>
  <si>
    <t>Rebar</t>
  </si>
  <si>
    <t>Expanded Polystyrene</t>
  </si>
  <si>
    <t>Net Consumables</t>
  </si>
  <si>
    <t>Chemical Admixture - Air Entraining Agent</t>
  </si>
  <si>
    <t>IN THE YELLOW CELLS BELOW, ENTER THE TOTAL QUANTITIES OF MATERIALS USED.</t>
  </si>
  <si>
    <t>Q1</t>
  </si>
  <si>
    <t>Q2</t>
  </si>
  <si>
    <t>Q3</t>
  </si>
  <si>
    <t>Q4</t>
  </si>
  <si>
    <t>Years</t>
  </si>
  <si>
    <t>Reporting Period:</t>
  </si>
  <si>
    <t>Indicator</t>
  </si>
  <si>
    <t>Capital required</t>
  </si>
  <si>
    <t>Timeline</t>
  </si>
  <si>
    <t>The facility maintains a best management practice plan for the control of fugitive dust emissions.</t>
  </si>
  <si>
    <t xml:space="preserve">All bulk cementitious materials are stored in silos equipped with bag houses/dust collectors. </t>
  </si>
  <si>
    <t>%</t>
  </si>
  <si>
    <t>Facility ensures that silo emissions are in compliance with their best management practices.</t>
  </si>
  <si>
    <t xml:space="preserve">All silo emissions meet relevant government requirements. </t>
  </si>
  <si>
    <t>All cementitious material bag houses are inspected a minimum of once per month.</t>
  </si>
  <si>
    <t>All outside aggregate storage is in three-walled enclosures.</t>
  </si>
  <si>
    <t xml:space="preserve">Aggregate is washed prior to receiving at plant.  </t>
  </si>
  <si>
    <t>All exterior aggregate conveyor systems are equipped with protective wind enclosures.</t>
  </si>
  <si>
    <t xml:space="preserve">All weigh hoppers are located inside an enclosed building. </t>
  </si>
  <si>
    <t>All unpaved traffic areas on plant facility (including storage area traffic locations) use approved dust suppression techniques or environmentally friendly chemicals.</t>
  </si>
  <si>
    <t>Paved traffic areas (including storage area traffic locations) have a regular sweeping program in place.</t>
  </si>
  <si>
    <t>All sand blasting (or similar post-manufacture applied finish that creates dust) is done in an environment (indoors or outdoors) that controls and collects fugitive dust.</t>
  </si>
  <si>
    <t xml:space="preserve">Crushing of waste concrete is conducted in such a manner not to affect the environment as defined in their facility best management practices. </t>
  </si>
  <si>
    <t xml:space="preserve">The facility maintains a best management practice plan for the control of process water, waste water and chemical management. </t>
  </si>
  <si>
    <t>Process / waste water is; directed to the storm sewer OR recycled in the process OR collected for transfer to an approved off-site facility OR if discharged to the ground the plant ensures that the runoff has acceptable levels of pH, acceptable levels of suspended solids, and acceptable hydrocarbon concentration.</t>
  </si>
  <si>
    <t>Process water discharged to the ground is sampled and analysed a minimum of once/month.</t>
  </si>
  <si>
    <t>Storm water run-off from the yard and traffic areas is; captured and recycled on site OR captured and discharged to the municipal storm sewer OR captured and transported off-site for disposal OR if discharged to a creek, has been reviewed and is in compliance with local authority approved drainage plans.</t>
  </si>
  <si>
    <t>All effluent from acid etching or retarding chemical washing procedures are captured on site and disposed of according to applicable requirements.</t>
  </si>
  <si>
    <t xml:space="preserve">The facility maintains a best management practice plan for the control of noise. </t>
  </si>
  <si>
    <t>The facility has a noise reduction plan such as; performing lower dBA activities, OR using acoustic enclosures OR enclosing noise sensitive operations when; 1. Manufacturing during non standard hours according to local ordinances and/or 2.  When operating within “reasonably close” distance to sensitive receptors.</t>
  </si>
  <si>
    <t>The facility controls nuisance vibrations to surrounding sensitive receptors.</t>
  </si>
  <si>
    <t>Requirements for Sustainability Performance Standards</t>
  </si>
  <si>
    <t xml:space="preserve">Energy   </t>
  </si>
  <si>
    <t xml:space="preserve">The facility maintains a best management practice plan for energy consumption. </t>
  </si>
  <si>
    <t xml:space="preserve">All energy consumption tied to the manufacturing process is measured and benchmarked; Energy consumption includes electricity, natural gas, and various fossil fuels. </t>
  </si>
  <si>
    <t>i</t>
  </si>
  <si>
    <t>ii</t>
  </si>
  <si>
    <t>iii</t>
  </si>
  <si>
    <t>iv</t>
  </si>
  <si>
    <t>v</t>
  </si>
  <si>
    <t>All energy consumption tied to office and administration is measured and benchmarked.</t>
  </si>
  <si>
    <t xml:space="preserve">The facility implements a reduction plan for plant and office energy consumption. </t>
  </si>
  <si>
    <t>The facility reports (in confidence) energy consumption semi-annually to CPCI, which is then aggregated for industry averaging.  The facility benchmarks against the industry and its plan.</t>
  </si>
  <si>
    <t>The facility maintains a best management practice plan for material usage and disposal.</t>
  </si>
  <si>
    <t>waste to landfill</t>
  </si>
  <si>
    <t>hazardous waste to landfill</t>
  </si>
  <si>
    <t>hazardous waste to incineration</t>
  </si>
  <si>
    <t>lightbulb disposal</t>
  </si>
  <si>
    <t>steel recycling</t>
  </si>
  <si>
    <t>vi</t>
  </si>
  <si>
    <t>concrete recycled</t>
  </si>
  <si>
    <t>vii</t>
  </si>
  <si>
    <t>wood recycled</t>
  </si>
  <si>
    <t>viii</t>
  </si>
  <si>
    <t>plastic recycled</t>
  </si>
  <si>
    <t>ix</t>
  </si>
  <si>
    <t>paper recycled</t>
  </si>
  <si>
    <t>x</t>
  </si>
  <si>
    <t>batteries recycled</t>
  </si>
  <si>
    <t>xi</t>
  </si>
  <si>
    <t>used oil recyled</t>
  </si>
  <si>
    <t xml:space="preserve">The facility maintains a best management practice plan for transportation. </t>
  </si>
  <si>
    <t>The facility engages transportation companies that have a commitment to benchmarking and measuring their energy consumption, and have a plan for year over year reduction.</t>
  </si>
  <si>
    <t xml:space="preserve">The facility tracks fuel consumption for all yard and production vehicles, all company vehicles, and all delivery equipment. </t>
  </si>
  <si>
    <t xml:space="preserve">The facility implements a plan for reduction of fuel consumption for all company activities. </t>
  </si>
  <si>
    <t>Source Location</t>
  </si>
  <si>
    <r>
      <t>Global Warming Potential (CO</t>
    </r>
    <r>
      <rPr>
        <b/>
        <vertAlign val="subscript"/>
        <sz val="10"/>
        <rFont val="Arial"/>
        <family val="2"/>
      </rPr>
      <t>2</t>
    </r>
    <r>
      <rPr>
        <b/>
        <sz val="10"/>
        <rFont val="Arial"/>
        <family val="2"/>
      </rPr>
      <t>e)</t>
    </r>
  </si>
  <si>
    <t>Total Mass</t>
  </si>
  <si>
    <t>Conversion Unit</t>
  </si>
  <si>
    <t>metric tonne/m3</t>
  </si>
  <si>
    <t>Density (tonne/m3)</t>
  </si>
  <si>
    <t>gallon</t>
  </si>
  <si>
    <t>264 gallons per m3</t>
  </si>
  <si>
    <t>Newfoundland</t>
  </si>
  <si>
    <t>GJ</t>
  </si>
  <si>
    <t>MMBtu</t>
  </si>
  <si>
    <t>entry</t>
  </si>
  <si>
    <t>Validation and weighted average of cement transport</t>
  </si>
  <si>
    <t>Plant Operations</t>
  </si>
  <si>
    <t>Operating Energy LCA</t>
  </si>
  <si>
    <t>Total GWP</t>
  </si>
  <si>
    <t>Total PE</t>
  </si>
  <si>
    <t>Material GWP</t>
  </si>
  <si>
    <t>Transportation GWP</t>
  </si>
  <si>
    <t>B. Global Warming Potential by Material</t>
  </si>
  <si>
    <t>GWP_Total_Material Chart</t>
  </si>
  <si>
    <t>GWP_PerTonne_Material Chart</t>
  </si>
  <si>
    <t>Material PE</t>
  </si>
  <si>
    <t>Transportation PE</t>
  </si>
  <si>
    <t>GWP Cutoff Criteria =</t>
  </si>
  <si>
    <t>PE Cutoff Criteria =</t>
  </si>
  <si>
    <t>Cutoff Criterion</t>
  </si>
  <si>
    <t xml:space="preserve">The Graphs and Tables presented below can be reformatted.  </t>
  </si>
  <si>
    <t>1. To reformat a graph, start by right-clicking your mouse on a graph or table then pick "Format Chart Area", "Change Chart Type", or another option.</t>
  </si>
  <si>
    <t>2. To reformat one or more table cells, select one or more of the cells in the table, then use the right-click menu options or click the formatting buttons.</t>
  </si>
  <si>
    <t>3. The GWP and PE graphs by Material types can get too cluttered and busy if too many materials are included (up to 20).  A cutoff criterion is used to sum up any materials below a certain percentage of the total effects (i.e.1%), as "Other".  Increasing the cutoff should decrease the number of materials in the graph, and decreasing the cutoff should increase the number of materials in the graph.</t>
  </si>
  <si>
    <t>4. You can copy the graphs and tables into other Excel spreadsheets and Word documents.  If you Right Click&gt;Copy a graph, you can Paste into another spreadsheet, and you will get a fully editable chart, but the title might get lost.  If you Paste Special&gt;Microsoft Office Excel Chart Object, you will get a formattable picture in the new spreadsheet with the title.  If ypu want to copy a graph into Word document, Right Click&gt;Copy, then Paste in Word and you will have an editable graph.  If you Paste Special in Word, you can paste it as a JPEG or other picture format.</t>
  </si>
  <si>
    <t>IN THE YELLOW CELLS BELOW, ENTER THE TOTAL QUANTITIES,  LOCATIONS AND TRANSPORTATION DISTANCES AND MODES OF CEMENT SOURCES, FOR THE "Plant Inputs" WORKSHEET.</t>
  </si>
  <si>
    <t>% of Total Mass</t>
  </si>
  <si>
    <t>C. PRECAST CONCRETE PLANT OPERATING ENERGY CONSUMPTION</t>
  </si>
  <si>
    <t>IN THE YELLOW CELLS BELOW, ENTER THE PLANT OPERATING ENERGY CONSUMPTION DATA FOR THIS REPORTING PERIOD.</t>
  </si>
  <si>
    <t>IN THE YELLOW CELLS BELOW, ENTER THE LOCATION AND PLANT PRODUCTION DATA.</t>
  </si>
  <si>
    <t>C. PRECAST CONCRETE PLANT OPERATING ENERGY CONSUMPTION PER PRODUCTION UNIT</t>
  </si>
  <si>
    <t>THE TABLE BELOW CONTAINS THE PLANT OPERATING ENERGY FROM THE "PLANT INPUTS" WORKSHEET.</t>
  </si>
  <si>
    <t>423.8 board feet per m3</t>
  </si>
  <si>
    <t>board feet</t>
  </si>
  <si>
    <t>Location from the "Plant Inputs" Worksheet</t>
  </si>
  <si>
    <t>Plant Inputs Completed Fields</t>
  </si>
  <si>
    <t>Plant Inputs needed to be completed</t>
  </si>
  <si>
    <t>Plant Inputs percent complete</t>
  </si>
  <si>
    <t>Welcome and How-to Worksheet</t>
  </si>
  <si>
    <t>Plant Inputs Worksheet</t>
  </si>
  <si>
    <t>The following cell colour coding occurs throughout the tool.</t>
  </si>
  <si>
    <t>This tool works in Microsoft Excel 2007, or a later version.  It will not work in previous versions.</t>
  </si>
  <si>
    <t>Cement Sources Worksheet</t>
  </si>
  <si>
    <t>Total Production for Specified Reporting Period</t>
  </si>
  <si>
    <t xml:space="preserve">Define the operation and maintenance data for the precast concrete plant. </t>
  </si>
  <si>
    <t>General Notes</t>
  </si>
  <si>
    <t>Reporting Period</t>
  </si>
  <si>
    <t>If the data input is incomplete, you may get a "A formula in this worksheet contains one or more invallid references." error message on any of the worksheets.  This is usually due to a zero value for Total Production at the bottom of Section A in Plant Inputs or in Cement Sources, which gives a Divide by Zero error in many places.  This error message will not occur if the data inputs are 100% complete.</t>
  </si>
  <si>
    <t>Total Primary Energy Consumption</t>
  </si>
  <si>
    <t>LPG (Liquified Propane Gas)</t>
  </si>
  <si>
    <t>Fine Aggregate - manufactured</t>
  </si>
  <si>
    <t>Environmental and Sustainability Tracking Program - Plant Evaluation</t>
  </si>
  <si>
    <t>Score</t>
  </si>
  <si>
    <t>Plant Target</t>
  </si>
  <si>
    <t>Plant Specific Notes</t>
  </si>
  <si>
    <t>Plant Specific Actions</t>
  </si>
  <si>
    <t>ED</t>
  </si>
  <si>
    <r>
      <t xml:space="preserve">Dust Control – The facility takes the following measures to control dust </t>
    </r>
    <r>
      <rPr>
        <b/>
        <sz val="12"/>
        <color indexed="8"/>
        <rFont val="Arial"/>
        <family val="2"/>
      </rPr>
      <t xml:space="preserve">including any dust produced by traffic, storage activities or the handling of materials, and meets the requirements of local ordinances. </t>
    </r>
  </si>
  <si>
    <t>ED.1</t>
  </si>
  <si>
    <t>ED.2</t>
  </si>
  <si>
    <t>ED.3</t>
  </si>
  <si>
    <t>ED.4</t>
  </si>
  <si>
    <t>ED.5</t>
  </si>
  <si>
    <t>ED.6</t>
  </si>
  <si>
    <t>ED.7</t>
  </si>
  <si>
    <t>ED.8</t>
  </si>
  <si>
    <t>ED.9</t>
  </si>
  <si>
    <t>ED.10</t>
  </si>
  <si>
    <t>ED.11</t>
  </si>
  <si>
    <t>ED.12</t>
  </si>
  <si>
    <t>ED.13</t>
  </si>
  <si>
    <t>EW</t>
  </si>
  <si>
    <r>
      <t xml:space="preserve">Process Water, Storm Water and Chemical Management Requirements - The site does not discharge untreated process / waste water to the natural environment, </t>
    </r>
    <r>
      <rPr>
        <b/>
        <sz val="12"/>
        <color indexed="8"/>
        <rFont val="Arial"/>
        <family val="2"/>
      </rPr>
      <t xml:space="preserve">and meets the requirements of local ordinances. </t>
    </r>
  </si>
  <si>
    <t>EW.1</t>
  </si>
  <si>
    <t>EW.2</t>
  </si>
  <si>
    <t>EW.3</t>
  </si>
  <si>
    <t>EW.4</t>
  </si>
  <si>
    <t>EW.5</t>
  </si>
  <si>
    <t>EW.6</t>
  </si>
  <si>
    <t>EW.7</t>
  </si>
  <si>
    <t>EW.8</t>
  </si>
  <si>
    <t xml:space="preserve"> All fuel is stored on-site in approved containers and enclosures as required by applicable regulations. </t>
  </si>
  <si>
    <t>EN</t>
  </si>
  <si>
    <r>
      <t xml:space="preserve">Noise Control Requirements - The facility makes efforts to control noise to surrounding sensitive receptors (examples; residences, hotel/motels, nursing homes, hospitals, etc.), </t>
    </r>
    <r>
      <rPr>
        <b/>
        <sz val="12"/>
        <color indexed="8"/>
        <rFont val="Arial"/>
        <family val="2"/>
      </rPr>
      <t xml:space="preserve">and meets the requirements of local ordinances. </t>
    </r>
  </si>
  <si>
    <t>EN.1</t>
  </si>
  <si>
    <t>EN.2</t>
  </si>
  <si>
    <t>EN.3</t>
  </si>
  <si>
    <t>EN.4</t>
  </si>
  <si>
    <t>General - The facility documents in writing all environmental incidents that contravene applicable environmental regulations. Such documentation includes resolution of complaints. The plant notifies regulatory authorities as required by legislation.</t>
  </si>
  <si>
    <t>SE</t>
  </si>
  <si>
    <t>SE.1</t>
  </si>
  <si>
    <t>SE.2</t>
  </si>
  <si>
    <t>SE.3</t>
  </si>
  <si>
    <t>SE.4</t>
  </si>
  <si>
    <t>SE.5</t>
  </si>
  <si>
    <t>SM</t>
  </si>
  <si>
    <t>SM.1</t>
  </si>
  <si>
    <t>SM.2</t>
  </si>
  <si>
    <t>SM.3</t>
  </si>
  <si>
    <r>
      <t xml:space="preserve">The facility recycles waste from </t>
    </r>
    <r>
      <rPr>
        <u/>
        <sz val="12"/>
        <rFont val="Arial"/>
        <family val="2"/>
      </rPr>
      <t>office</t>
    </r>
    <r>
      <rPr>
        <sz val="12"/>
        <rFont val="Arial"/>
        <family val="2"/>
      </rPr>
      <t xml:space="preserve"> and administrative activities.</t>
    </r>
  </si>
  <si>
    <t>SM.4</t>
  </si>
  <si>
    <t>SM.5</t>
  </si>
  <si>
    <r>
      <t>The facility</t>
    </r>
    <r>
      <rPr>
        <sz val="12"/>
        <color indexed="10"/>
        <rFont val="Arial"/>
        <family val="2"/>
      </rPr>
      <t xml:space="preserve"> </t>
    </r>
    <r>
      <rPr>
        <sz val="12"/>
        <rFont val="Arial"/>
        <family val="2"/>
      </rPr>
      <t>tracks all concrete mix material consumption (cement, supplementary cementing materials, admixtures, aggregates etc.) by product as outlined in Sustainable Plant Tracking Tool.</t>
    </r>
  </si>
  <si>
    <t>SM.6</t>
  </si>
  <si>
    <t xml:space="preserve">The facility tracks all production material consumption semi-annually (steel, wood, insulation, etc) by product as outlined in Sustainable Plant Tracking Tool. </t>
  </si>
  <si>
    <t>SM.7</t>
  </si>
  <si>
    <t>ST</t>
  </si>
  <si>
    <t>ST.1</t>
  </si>
  <si>
    <t>ST.2</t>
  </si>
  <si>
    <t>ST.3</t>
  </si>
  <si>
    <t>ST.4</t>
  </si>
  <si>
    <t>ST.5</t>
  </si>
  <si>
    <t>TOTAL</t>
  </si>
  <si>
    <t>GRADE</t>
  </si>
  <si>
    <t>Coarse Aggregate - crushed</t>
  </si>
  <si>
    <t>tonne</t>
  </si>
  <si>
    <r>
      <t xml:space="preserve"> </t>
    </r>
    <r>
      <rPr>
        <b/>
        <u/>
        <sz val="12"/>
        <rFont val="Arial"/>
        <family val="2"/>
      </rPr>
      <t>Requirements for Environmental Performance Measurements</t>
    </r>
  </si>
  <si>
    <t>Developed by the Athena Sustainable Materials Institute</t>
  </si>
  <si>
    <t>Upstream Process Water</t>
  </si>
  <si>
    <t xml:space="preserve">Global Warming Potential (GWP) and Total Primary Energy Consumption (TPE) environmental impact measures associated with this precast plant are presented in both tabular and graphical forms.  The tables and graphs presented below are updated when the information input on the "Plant Inputs" worksheet is modified.
</t>
  </si>
  <si>
    <t>5. When the pie charts regenerate, crowded data labels may end up on top of each other.  You can select individual data labels and drag them to new locations to make them more visible.</t>
  </si>
  <si>
    <t>To the left of each data entry row, a green check mark appears when all the required data has been entered.  If all of the required worksheet data has been entered, then a green "Data Input is 100% complete" message will appear at the top left of the worksheet.  If the data input is not complete the message will be red, and the row or rows that are incomplete will have a yellow ! or a red X next to them.  You need to correct the entries in those rows.</t>
  </si>
  <si>
    <t>One or Two way Transportation? =</t>
  </si>
  <si>
    <t>4. You can copy the graphs and tables into other Excel spreadsheets and Word documents.  If you Right Click&gt;Copy a graph, you can Paste into another spreadsheet, and you will get a fully editable chart, but the title might get lost.  If you Paste Special&gt;Microsoft Office Excel Chart Object, you will get a formattable picture in the new spreadsheet with the title.  If you want to copy a graph into a Word document, Right Click&gt;Copy, then Paste in Word and you will have an editable graph.  If you Paste Special in Word, you can paste it as a JPEG or other picture format.</t>
  </si>
  <si>
    <t>4. Input cells can contain zeroes, do not leave blank cells</t>
  </si>
  <si>
    <t>Define the specific materials used to produce precast concrete and their respective transportation mode and distance (scroll right).</t>
  </si>
  <si>
    <t>PORTLAND CEMENT SOURCES</t>
  </si>
  <si>
    <t>US_States</t>
  </si>
  <si>
    <t>Alabama</t>
  </si>
  <si>
    <t>AL</t>
  </si>
  <si>
    <t>Arizona</t>
  </si>
  <si>
    <t>AZ</t>
  </si>
  <si>
    <t>Arkansas</t>
  </si>
  <si>
    <t>AR</t>
  </si>
  <si>
    <t>California</t>
  </si>
  <si>
    <t>CA</t>
  </si>
  <si>
    <t>Colorado</t>
  </si>
  <si>
    <t>CO</t>
  </si>
  <si>
    <t>Connecticut</t>
  </si>
  <si>
    <t>CT</t>
  </si>
  <si>
    <t>Delaware</t>
  </si>
  <si>
    <t>DE</t>
  </si>
  <si>
    <t>District of Columbia</t>
  </si>
  <si>
    <t>DC</t>
  </si>
  <si>
    <t>Florida</t>
  </si>
  <si>
    <t>FL</t>
  </si>
  <si>
    <t>Georgia</t>
  </si>
  <si>
    <t>GA</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</si>
  <si>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</si>
  <si>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</si>
  <si>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</si>
  <si>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</si>
  <si>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</si>
  <si>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</si>
  <si>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</si>
  <si>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</si>
  <si>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</si>
  <si>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</si>
  <si>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</si>
  <si>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</si>
  <si>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</si>
  <si>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</si>
  <si>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</si>
  <si>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</si>
  <si>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</si>
  <si>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</si>
  <si>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</si>
  <si>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</si>
  <si>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</si>
  <si>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Minnesota</t>
  </si>
  <si>
    <t>MI</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</si>
  <si>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</si>
  <si>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</si>
  <si>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</si>
  <si>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</si>
  <si>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</si>
  <si>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</si>
  <si>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</si>
  <si>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</si>
  <si>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</si>
  <si>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</si>
  <si>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</si>
  <si>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</si>
  <si>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</si>
  <si>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</si>
  <si>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</si>
  <si>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</si>
  <si>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</si>
  <si>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</si>
  <si>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</si>
  <si>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</si>
  <si>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</si>
  <si>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</si>
  <si>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</si>
  <si>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</si>
  <si>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</si>
  <si>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</si>
  <si>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</si>
  <si>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</si>
  <si>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</si>
  <si>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</si>
  <si>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Puerto Rico</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</si>
  <si>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</si>
  <si>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</si>
  <si>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</si>
  <si>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</si>
  <si>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</si>
  <si>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</si>
  <si>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</si>
  <si>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</si>
  <si>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</si>
  <si>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</si>
  <si>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</si>
  <si>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</si>
  <si>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</si>
  <si>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</si>
  <si>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</si>
  <si>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</si>
  <si>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</si>
  <si>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</si>
  <si>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</si>
  <si>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</si>
  <si>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</si>
  <si>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</si>
  <si>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</si>
  <si>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</si>
  <si>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Cement_Sources_CAN</t>
  </si>
  <si>
    <t>Cement_Sources_USA</t>
  </si>
  <si>
    <t>Insert Location</t>
  </si>
  <si>
    <t>Mass Display Unit</t>
  </si>
  <si>
    <t>Distance Display Unit</t>
  </si>
  <si>
    <t>Mass Calc Unit</t>
  </si>
  <si>
    <t>Distance Calc Unit</t>
  </si>
  <si>
    <t>Distance_Units</t>
  </si>
  <si>
    <t>Validation and weighted average of portland lime cement transport</t>
  </si>
  <si>
    <t>Distance</t>
  </si>
  <si>
    <t>Valid Entry?</t>
  </si>
  <si>
    <t>Note: A red cell indicates that some information is missing from that cell or row, either a location, amount or distance.</t>
  </si>
  <si>
    <t>Valid entry ?</t>
  </si>
  <si>
    <t>Chemical Admixture - Accelerator</t>
  </si>
  <si>
    <t>Steel Anchors</t>
  </si>
  <si>
    <t>Polypropylene Fibers</t>
  </si>
  <si>
    <t>Steel Fibers</t>
  </si>
  <si>
    <t>Manufactured Lightweight Aggregate</t>
  </si>
  <si>
    <t>Natural Lightweight Aggregate</t>
  </si>
  <si>
    <t>Chemical Admixture - Corrosion Inhibiting</t>
  </si>
  <si>
    <t>2. If a value is manually keyed into a cell that is validated against a list (i.e., Plant Location), an "N/A" error message will appear if the value does not exactly match a value in the list.</t>
  </si>
  <si>
    <t>Entries</t>
  </si>
  <si>
    <t>Entry Unit</t>
  </si>
  <si>
    <t>Conversions</t>
  </si>
  <si>
    <t>Total Plant Water Use</t>
  </si>
  <si>
    <t>Total Batch Water Use</t>
  </si>
  <si>
    <t>Percentage of Batch Water that is Recycled Water</t>
  </si>
  <si>
    <t>Volume Display Unit</t>
  </si>
  <si>
    <t>Volume Calc Unit</t>
  </si>
  <si>
    <t>Master Units</t>
  </si>
  <si>
    <t>On-Site Generated Electricity - Solar</t>
  </si>
  <si>
    <t>On-Site Generated Electricity - Wind</t>
  </si>
  <si>
    <t>On-Site Generated Electricity - Hydroelectric</t>
  </si>
  <si>
    <t>On-Site Generated Electricity - Geothermal</t>
  </si>
  <si>
    <t>On-Site Generated Electricity - Biomass</t>
  </si>
  <si>
    <t xml:space="preserve"> </t>
  </si>
  <si>
    <t>Elec Grid</t>
  </si>
  <si>
    <t>NAE</t>
  </si>
  <si>
    <t>NAW</t>
  </si>
  <si>
    <t>Elec grid</t>
  </si>
  <si>
    <t>IN THE YELLOW CELLS BELOW, ENTER THE PLANT'S ANNUAL SOLID WASTE, BY TYPE, FOR THE SELECTED REPORTING PERIOD.</t>
  </si>
  <si>
    <r>
      <t xml:space="preserve">If you track this information, enter all </t>
    </r>
    <r>
      <rPr>
        <b/>
        <u/>
        <sz val="11"/>
        <color theme="1"/>
        <rFont val="Arial"/>
        <family val="2"/>
      </rPr>
      <t>production</t>
    </r>
    <r>
      <rPr>
        <b/>
        <sz val="11"/>
        <color theme="1"/>
        <rFont val="Arial"/>
        <family val="2"/>
      </rPr>
      <t xml:space="preserve"> related solid wastes as either hazardous (disposed of in a so designated landfill or incinerated) or non-hazardous (disposed of in an inert landfill)</t>
    </r>
  </si>
  <si>
    <t>Waste Type</t>
  </si>
  <si>
    <t>D. SOLID WASTE REPORTING</t>
  </si>
  <si>
    <t>Waste LCA</t>
  </si>
  <si>
    <t>Energy grid</t>
  </si>
  <si>
    <t>Material Totals</t>
  </si>
  <si>
    <t>Waste Totals</t>
  </si>
  <si>
    <t>Waste</t>
  </si>
  <si>
    <t>Energy Calc Unit</t>
  </si>
  <si>
    <t>Water Calc Unit</t>
  </si>
  <si>
    <t>Production Display</t>
  </si>
  <si>
    <t>CanadaFirstLocations</t>
  </si>
  <si>
    <t>USFirstLocations</t>
  </si>
  <si>
    <t>Calculated</t>
  </si>
  <si>
    <t>Display Unit</t>
  </si>
  <si>
    <t>Display Value</t>
  </si>
  <si>
    <t>Display Text</t>
  </si>
  <si>
    <t>Energy Total Display Unit</t>
  </si>
  <si>
    <t>Energy Per Tonne Display Unit</t>
  </si>
  <si>
    <t>MBtu</t>
  </si>
  <si>
    <t>Per Tonne (ton) totals</t>
  </si>
  <si>
    <t>Water Total Display Unit</t>
  </si>
  <si>
    <t>Water Per Tonne Display Unit</t>
  </si>
  <si>
    <t>kgal</t>
  </si>
  <si>
    <t>LCA (materials, energy,transp., waste )</t>
  </si>
  <si>
    <t>Display Mass</t>
  </si>
  <si>
    <t>Natural Stone</t>
  </si>
  <si>
    <t>Calc Unit</t>
  </si>
  <si>
    <t>Total Display Values</t>
  </si>
  <si>
    <t>Per Tonne Display Values</t>
  </si>
  <si>
    <t>D. Total Primary Energy Consumption by Material</t>
  </si>
  <si>
    <t>Impact category - cradle to gate manufacture of inputs</t>
  </si>
  <si>
    <t>GWP</t>
  </si>
  <si>
    <t>OZD</t>
  </si>
  <si>
    <t>ACI</t>
  </si>
  <si>
    <t>EUT</t>
  </si>
  <si>
    <t>PCO</t>
  </si>
  <si>
    <t>PEC</t>
  </si>
  <si>
    <t>BFW</t>
  </si>
  <si>
    <t>PFW</t>
  </si>
  <si>
    <t>kg CO2 eq</t>
  </si>
  <si>
    <t>kg CFC-11 eq</t>
  </si>
  <si>
    <t>mol H+ eq</t>
  </si>
  <si>
    <t>kg N eq</t>
  </si>
  <si>
    <t>kg O3 eq</t>
  </si>
  <si>
    <t>gal</t>
  </si>
  <si>
    <t>lbs/us gal</t>
  </si>
  <si>
    <t>PC</t>
  </si>
  <si>
    <t>cement</t>
  </si>
  <si>
    <t>lb</t>
  </si>
  <si>
    <t>FA</t>
  </si>
  <si>
    <t>fly ash</t>
  </si>
  <si>
    <t>slag cement</t>
  </si>
  <si>
    <t>NG</t>
  </si>
  <si>
    <t>aggregate - natural</t>
  </si>
  <si>
    <t>CG</t>
  </si>
  <si>
    <t>aggregate - crushed</t>
  </si>
  <si>
    <t>AA</t>
  </si>
  <si>
    <t>admixture (accelerator)</t>
  </si>
  <si>
    <t>oz</t>
  </si>
  <si>
    <t>EA</t>
  </si>
  <si>
    <t>admixture (air entrainer)</t>
  </si>
  <si>
    <t>RA</t>
  </si>
  <si>
    <t>admixture (retarding)</t>
  </si>
  <si>
    <t>admixture (waterproofing)</t>
  </si>
  <si>
    <t>admixture (plasticiser)</t>
  </si>
  <si>
    <t>SA</t>
  </si>
  <si>
    <t>admixture (superplasticiser)</t>
  </si>
  <si>
    <t>BW</t>
  </si>
  <si>
    <t>fresh batch water</t>
  </si>
  <si>
    <t>E.G. GWP is kg co2 eq per unit (lb, oz or gal) of material</t>
  </si>
  <si>
    <t>Primary Energy consumption</t>
  </si>
  <si>
    <t>for missing admixtures let's use an average of all admixtures</t>
  </si>
  <si>
    <t>admixture density is estimated to 10 lbs per US gallon</t>
  </si>
  <si>
    <t xml:space="preserve">Published documents available at </t>
  </si>
  <si>
    <t xml:space="preserve">http://www.efca.info/publications.html </t>
  </si>
  <si>
    <t>tonne/m3</t>
  </si>
  <si>
    <t>1lbs/gallon=</t>
  </si>
  <si>
    <t>1 gal =</t>
  </si>
  <si>
    <t>1 litre =</t>
  </si>
  <si>
    <t>litre</t>
  </si>
  <si>
    <t>Original File from JKM: "Admixture GWP and energy estimates.xlsx"</t>
  </si>
  <si>
    <t>1 lbs =</t>
  </si>
  <si>
    <t xml:space="preserve">1 litre = </t>
  </si>
  <si>
    <t>tonne/m3 or kg/litre</t>
  </si>
  <si>
    <t>Admixture Density=</t>
  </si>
  <si>
    <t xml:space="preserve"> Admixture Density=</t>
  </si>
  <si>
    <t xml:space="preserve">water density = </t>
  </si>
  <si>
    <t>per kg</t>
  </si>
  <si>
    <t>Average admixture</t>
  </si>
  <si>
    <t>A. Global Warming Potential Contribution Analysis</t>
  </si>
  <si>
    <t>Contributor</t>
  </si>
  <si>
    <t>Material Transportation</t>
  </si>
  <si>
    <t>C. Total Primary Energy Consumption Contribution Analysis</t>
  </si>
  <si>
    <t>Total Primary Energy Consumption by Contribution</t>
  </si>
  <si>
    <r>
      <t>Global Warming Potential by Contribution (CO</t>
    </r>
    <r>
      <rPr>
        <b/>
        <vertAlign val="subscript"/>
        <sz val="10"/>
        <color theme="1"/>
        <rFont val="Arial"/>
        <family val="2"/>
      </rPr>
      <t>2</t>
    </r>
    <r>
      <rPr>
        <b/>
        <sz val="10"/>
        <color theme="1"/>
        <rFont val="Arial"/>
        <family val="2"/>
      </rPr>
      <t>e)</t>
    </r>
  </si>
  <si>
    <t>Include Waste results in totals?</t>
  </si>
  <si>
    <t>Previous CPCI values (from SP)</t>
  </si>
  <si>
    <t>Other Water</t>
  </si>
  <si>
    <t>Batch Fresh Water</t>
  </si>
  <si>
    <t>Batch Recycled Water</t>
  </si>
  <si>
    <t>Batch Fresh Water Use</t>
  </si>
  <si>
    <t>A. LOCATION AND PROJECT DATA</t>
  </si>
  <si>
    <t>Average of Portland Cement per kg (for custom project calculator)</t>
  </si>
  <si>
    <t>Average of Portland Lime Cement per kg (for custom project calculator)</t>
  </si>
  <si>
    <t>RPC to PLC conversion:</t>
  </si>
  <si>
    <t>Based on Athena Tech. Brief "CAC PLCvsOPC Final Technical Brief-Jan162013.pdf", Table 5</t>
  </si>
  <si>
    <t>Table 5: LCIA Results Summary for PLC and OPC – 1 kg, absolute basis</t>
  </si>
  <si>
    <t>Impact category</t>
  </si>
  <si>
    <t>OPC Cement-Canada- Cradle-to-Gate</t>
  </si>
  <si>
    <t>PLC Canada- Cradle-to-Gate</t>
  </si>
  <si>
    <t>Non-renewable energy</t>
  </si>
  <si>
    <t>Acidification</t>
  </si>
  <si>
    <t>Eutrophication</t>
  </si>
  <si>
    <t>Respiratory effects</t>
  </si>
  <si>
    <t>Smog</t>
  </si>
  <si>
    <t>Ozone depletion</t>
  </si>
  <si>
    <t xml:space="preserve"> kg CO2 eq</t>
  </si>
  <si>
    <t>kg SO2 eq</t>
  </si>
  <si>
    <t>kg PM2.5 eq</t>
  </si>
  <si>
    <t>Conversion</t>
  </si>
  <si>
    <t>Calculated from Portland Cement profile-see Supplemental LCA tab</t>
  </si>
  <si>
    <t>admixture (corrosion inhibitor)</t>
  </si>
  <si>
    <t>Global Warming Potential 
(kg CO2 eq)</t>
  </si>
  <si>
    <t>Total Primary Energy Consumption MJ</t>
  </si>
  <si>
    <t>Water L</t>
  </si>
  <si>
    <t>TOR Rebar 1tonne CPCI GHG Tool</t>
  </si>
  <si>
    <t>USA Rebar 1tonne CPCI GHG Tool</t>
  </si>
  <si>
    <t>TOR Welded Wire Mesh 1tonne CPCI GHG Tool</t>
  </si>
  <si>
    <t>USA Welded Wire Mesh 1tonne CPCI GHG Tool</t>
  </si>
  <si>
    <t>TOR HSS 1tonne CPCI GHG Tool</t>
  </si>
  <si>
    <t>USA HSS 1tonne CPCI GHG Tool</t>
  </si>
  <si>
    <t>Steel LCA results from IE4B for 1 tonne</t>
  </si>
  <si>
    <t>Portland Limestone Cement (PLC)</t>
  </si>
  <si>
    <t>PORTLAND LIMESTONE CEMENT (PLC) SOURCES</t>
  </si>
  <si>
    <t>Chemical Admixture - Water Reducer/Plasticizer</t>
  </si>
  <si>
    <t>Chemical Admixture - High Range Water Reducer (HRWR)/Super Plasticizer</t>
  </si>
  <si>
    <t>Chemical Admixture - Viscosity Modifying Admixture (VMA)</t>
  </si>
  <si>
    <t>Welded Wire Reinforcement (WWR)</t>
  </si>
  <si>
    <t>Steel Stressing Strand</t>
  </si>
  <si>
    <t>Glass Fibre Reinforced Polymer (GFRP) reinforcing bars</t>
  </si>
  <si>
    <t>Carbon Fibre Reinforced Polymer (CFRP) reinforcing bars</t>
  </si>
  <si>
    <t>Fibre Reinforced Polymer (FRP) wrap</t>
  </si>
  <si>
    <t>Carbon Fibre Reinforced Polymer (CFRP) strand</t>
  </si>
  <si>
    <r>
      <rPr>
        <b/>
        <sz val="14"/>
        <color theme="1"/>
        <rFont val="Arial"/>
        <family val="2"/>
      </rPr>
      <t>5.</t>
    </r>
    <r>
      <rPr>
        <sz val="14"/>
        <color theme="1"/>
        <rFont val="Arial"/>
        <family val="2"/>
      </rPr>
      <t xml:space="preserve"> in Section B, complete the amounts and one-way transportation distances for each mode of transport, for each material.  You can input the amounts in one of several units in the drop down boxes in column F, and they will be converted to metric tonnes or short tons in column G.  The total mass of all materials, excluding wash water and consumables, is calculated at the bottom of section B.  Each material requires a transportation distance in at least one of the modes of transportation or a warning will occur to the left of the row.  Materials can be transported by more than one transportation mode.</t>
    </r>
  </si>
  <si>
    <t>Offshore</t>
  </si>
  <si>
    <t>Cement Data</t>
  </si>
  <si>
    <t>Portland Limestone cement is based on a proportional mix of 13% Limestone, 5% Gypsum and 82% Clinker</t>
  </si>
  <si>
    <t>Define the locations, masses and transportation modes and distances of each cement source.</t>
  </si>
  <si>
    <t>D</t>
  </si>
  <si>
    <t>Read This</t>
  </si>
  <si>
    <t xml:space="preserve">All sealants, acids, chemical retarding agents or form release agents meet applicable regulations for VOC requirements.  </t>
  </si>
  <si>
    <t xml:space="preserve">The facility tracks and measures all waste streams, both recyclable, non-recyclables and hazardous waste.  </t>
  </si>
  <si>
    <t xml:space="preserve">The facility implements a plan to reduce waste to landfill or incineration. </t>
  </si>
  <si>
    <r>
      <t xml:space="preserve">The facility recycles </t>
    </r>
    <r>
      <rPr>
        <u/>
        <sz val="12"/>
        <rFont val="Arial"/>
        <family val="2"/>
      </rPr>
      <t>production</t>
    </r>
    <r>
      <rPr>
        <sz val="12"/>
        <rFont val="Arial"/>
        <family val="2"/>
      </rPr>
      <t xml:space="preserve"> waste.</t>
    </r>
  </si>
  <si>
    <t>The facility reports (in confidence) year over year waste reduction from operations to their Precast Industry Association which is then aggregated for industry averaging.  The facility benchmarks against the industry and its plan.</t>
  </si>
  <si>
    <t>SM.8</t>
  </si>
  <si>
    <t>SM.9</t>
  </si>
  <si>
    <t xml:space="preserve">The facility reports (in confidence) material consumption, by product, semi-annually to their Precast Industry Association. The Precast Industry Association will calculate the environmental footprint by product, consistent with the LCA study guidelines. The facility benchmarks against the industry and its plan. </t>
  </si>
  <si>
    <t xml:space="preserve">The facility reports (in confidence) fuel consumption from operations semi-annually to their Precast Industry Association which is then aggregated for industry averaging.  </t>
  </si>
  <si>
    <t xml:space="preserve">("Y" = 10, "N" = 0, % Compliance is multiplied by 10 - ex. "40" = 4) (For Yellow Fields Enter "Y" or "N" and For Orange Fields Enter Whole Number) </t>
  </si>
  <si>
    <t>One-Way Distance From Plant to Waste Facility by Tranportation Mode</t>
  </si>
  <si>
    <t>SM.2 WEIGHTED AVERAGE</t>
  </si>
  <si>
    <t>Other (incl. furniture)</t>
  </si>
  <si>
    <t>All chemicals stored in clearly marked containers with safety markings, and enclosed in spill containment areas where required by WHMIS or OSHA.</t>
  </si>
  <si>
    <t>SM.3 WEIGHTED AVERAGE</t>
  </si>
  <si>
    <t>Hazardous Waste to Landfill</t>
  </si>
  <si>
    <t>Hazardous Waste to Recycling Facility</t>
  </si>
  <si>
    <t>Non-Hazardous Waste to Landfill</t>
  </si>
  <si>
    <t>Non-Hazardous Waste to Recycling Facility</t>
  </si>
  <si>
    <t>Non-Hazardous Waste to Incineration Facility</t>
  </si>
  <si>
    <t>Hazardous Waste to Incineration Facility</t>
  </si>
  <si>
    <t>ounce</t>
  </si>
  <si>
    <t>gram</t>
  </si>
  <si>
    <t>therms</t>
  </si>
  <si>
    <t>fl. ounce</t>
  </si>
  <si>
    <t>Material Water</t>
  </si>
  <si>
    <t>PE_Total_Material Chart</t>
  </si>
  <si>
    <t>Water_Total_Material Chart</t>
  </si>
  <si>
    <t>Water_PerTonne_Material Chart</t>
  </si>
  <si>
    <t>PE_PerTonne_Material Chart</t>
  </si>
  <si>
    <t>Total Water</t>
  </si>
  <si>
    <t>Transportation Water</t>
  </si>
  <si>
    <t>E. Total Water Use Contribution Analysis</t>
  </si>
  <si>
    <t>F. Total Water Use by Material</t>
  </si>
  <si>
    <t>Version Number</t>
  </si>
  <si>
    <t>Chart title</t>
  </si>
  <si>
    <t>Chart Y axis label</t>
  </si>
  <si>
    <t>Water Use by Contribution</t>
  </si>
  <si>
    <t>xii</t>
  </si>
  <si>
    <t>Potential Percentage Diverted from Landfill</t>
  </si>
  <si>
    <t>Metric tonnes and short tons are the primary units of measure for many of the materials in this tool and are sometimes represented by different units.  The tool uses "tonne" to express metric tonnes and may be abbreviated as "t".  Just to be clear, tonne = t = metric tonne = 1000kg = 1.1023 short tons.  
Materials can be entered in "short tons" which is an imperial measurement, 1 short ton = 2000 lbs = 0.9072  tonnes.</t>
  </si>
  <si>
    <t>Material Version Number</t>
  </si>
  <si>
    <t>Waste Version Number</t>
  </si>
  <si>
    <t>Energy Version Number</t>
  </si>
  <si>
    <t>used oil recycled</t>
  </si>
  <si>
    <t>Operations</t>
  </si>
  <si>
    <t>Wash Water</t>
  </si>
  <si>
    <t>Fresh Batch Water</t>
  </si>
  <si>
    <t>Other Water Use (washing, recycled for batch, etc.)</t>
  </si>
  <si>
    <t>Export Data to Roll Up tool - per tonne of precast</t>
  </si>
  <si>
    <t>Water Cutoff Criteria =</t>
  </si>
  <si>
    <t>Association Version</t>
  </si>
  <si>
    <t>PlantNumbersCPCI</t>
  </si>
  <si>
    <t>PlantNumbersPCI</t>
  </si>
  <si>
    <t>PlantNumbersNPCA</t>
  </si>
  <si>
    <t>Plant Number</t>
  </si>
  <si>
    <r>
      <t xml:space="preserve">Display Units </t>
    </r>
    <r>
      <rPr>
        <b/>
        <sz val="14"/>
        <color rgb="FFFF0000"/>
        <rFont val="Arial"/>
        <family val="2"/>
      </rPr>
      <t>(read comment by hovering over cell C10)</t>
    </r>
  </si>
  <si>
    <t>C10</t>
  </si>
  <si>
    <t>Current Reporting Quarter Default</t>
  </si>
  <si>
    <t>Current Reporting Year Default</t>
  </si>
  <si>
    <t>Annual</t>
  </si>
  <si>
    <t>Natural Gas Display Unit</t>
  </si>
  <si>
    <t>THINGS TO DO FOR EACH VERSION</t>
  </si>
  <si>
    <t>Apply the correction version number (B4)</t>
  </si>
  <si>
    <t>Apply the correct Asssociation version (B6)</t>
  </si>
  <si>
    <t>Apply the correct tool name (C1)</t>
  </si>
  <si>
    <t>Set Display units on Welcome page, SI for CPCI, and Imperial for PCI and NPCA</t>
  </si>
  <si>
    <t>Average of Blended Cement per kg (for custom project calculator)</t>
  </si>
  <si>
    <t>Total primary energy consumption</t>
  </si>
  <si>
    <t>Material resources consumption</t>
  </si>
  <si>
    <t>Net fresh water (inputs minus outputs) L</t>
  </si>
  <si>
    <t>Non-hazardous waste generated kg</t>
  </si>
  <si>
    <t>Hazardous waste generated kg</t>
  </si>
  <si>
    <t>Global warming potential (GWP)</t>
  </si>
  <si>
    <t>Acidification potential</t>
  </si>
  <si>
    <t>Eutrophication potential</t>
  </si>
  <si>
    <t>Smog creation potential</t>
  </si>
  <si>
    <t>Ozone depletion potential</t>
  </si>
  <si>
    <t>Nonrenewable energy resources</t>
  </si>
  <si>
    <t>Renewable energy resources</t>
  </si>
  <si>
    <t>Nonrenewable material resources</t>
  </si>
  <si>
    <t>Renewable material resources</t>
  </si>
  <si>
    <t>kg CO2 equiv</t>
  </si>
  <si>
    <t>kg SO2 equiv</t>
  </si>
  <si>
    <t>kg N equiv</t>
  </si>
  <si>
    <t>kg O3 equiv</t>
  </si>
  <si>
    <t>kg CFC-11 equiv</t>
  </si>
  <si>
    <t>MJ (HHV)</t>
  </si>
  <si>
    <t>EPD_Measures</t>
  </si>
  <si>
    <t>EPD_Units</t>
  </si>
  <si>
    <t>The percentage of cement and SCMs must be defined for each blended cement source.</t>
  </si>
  <si>
    <t>Blend your own?</t>
  </si>
  <si>
    <t>No</t>
  </si>
  <si>
    <t>Make sure that all units are set to the proper display units</t>
  </si>
  <si>
    <t>Transportation Totals</t>
  </si>
  <si>
    <t>Waste Transportation</t>
  </si>
  <si>
    <t>Waste Transportation Totals</t>
  </si>
  <si>
    <t>Waste TransportationTotals</t>
  </si>
  <si>
    <t>Old Display Units, do we keep them (US or SI), or do we report everything in the EPD Units?</t>
  </si>
  <si>
    <t>EPDTRACIUnit</t>
  </si>
  <si>
    <t>EPDEnergyUnit</t>
  </si>
  <si>
    <t>EPDMaterialUnit</t>
  </si>
  <si>
    <t>EPDWaterUnit</t>
  </si>
  <si>
    <t>EPDWasteUnit</t>
  </si>
  <si>
    <t>How to verbiage for the PCR/EPD</t>
  </si>
  <si>
    <t>Non-hazardous waste generated</t>
  </si>
  <si>
    <t>Hazardous waste generated</t>
  </si>
  <si>
    <t>Net Fresh Water</t>
  </si>
  <si>
    <t>EPDProductionUnit</t>
  </si>
  <si>
    <t>must use  pcr conversion factors</t>
  </si>
  <si>
    <t>TRACI Total Display Unit</t>
  </si>
  <si>
    <t>TRACI per tonne Display Unit</t>
  </si>
  <si>
    <t>TRACI CalcUnit</t>
  </si>
  <si>
    <t>Mass Calc Unit 2</t>
  </si>
  <si>
    <t>EPD_Calc_Units</t>
  </si>
  <si>
    <t>THE TABLE BELOW CONTAINS THE PLANT SOLID WASTE RATES FROM THE "PLANT INPUTS" WORKSHEET.</t>
  </si>
  <si>
    <t>kg CO2-eq</t>
  </si>
  <si>
    <t>ODP</t>
  </si>
  <si>
    <t xml:space="preserve">kg CFC-11-eq </t>
  </si>
  <si>
    <t>AP</t>
  </si>
  <si>
    <t xml:space="preserve">kg SO2-eq </t>
  </si>
  <si>
    <t>EP</t>
  </si>
  <si>
    <t xml:space="preserve">kg N-eq </t>
  </si>
  <si>
    <t>POCP</t>
  </si>
  <si>
    <t xml:space="preserve">kg O3-eq </t>
  </si>
  <si>
    <t xml:space="preserve">MJ </t>
  </si>
  <si>
    <t>NRE</t>
  </si>
  <si>
    <t>RE</t>
  </si>
  <si>
    <t>NRM</t>
  </si>
  <si>
    <t xml:space="preserve">kg </t>
  </si>
  <si>
    <t>RM</t>
  </si>
  <si>
    <t>water use, are we still counting LCA water, or just batch water?</t>
  </si>
  <si>
    <t>Admixture acidification data is in moles H</t>
  </si>
  <si>
    <t>Admixte PEC data, not in RE andNRE</t>
  </si>
  <si>
    <t>M18</t>
  </si>
  <si>
    <t>M19</t>
  </si>
  <si>
    <t>M20</t>
  </si>
  <si>
    <t>M21</t>
  </si>
  <si>
    <t>M22</t>
  </si>
  <si>
    <t>M23</t>
  </si>
  <si>
    <t>M24</t>
  </si>
  <si>
    <t>M25</t>
  </si>
  <si>
    <t>M26</t>
  </si>
  <si>
    <t>AANC</t>
  </si>
  <si>
    <t>AE</t>
  </si>
  <si>
    <t>SRA</t>
  </si>
  <si>
    <t xml:space="preserve">Material </t>
  </si>
  <si>
    <t>CBW</t>
  </si>
  <si>
    <t>CWW</t>
  </si>
  <si>
    <t>TW</t>
  </si>
  <si>
    <t>CHW</t>
  </si>
  <si>
    <t>CNHW</t>
  </si>
  <si>
    <t>Accelerating Admixture-Chlorides</t>
  </si>
  <si>
    <t>Accelerating Admixture-Non Chlorides</t>
  </si>
  <si>
    <t>Air Entraining Admixture</t>
  </si>
  <si>
    <t>Water Retarding Admixture</t>
  </si>
  <si>
    <t>Waterproofing Admixture</t>
  </si>
  <si>
    <t>Water Reducing Admixture (plasticizer)</t>
  </si>
  <si>
    <t>High Range Water Reducing Admixture (superplasticizer)</t>
  </si>
  <si>
    <t>Shrinkage Reducing Admixture</t>
  </si>
  <si>
    <t>Corrosion Inhibiting Admixture</t>
  </si>
  <si>
    <t>Version 2 used these values for GWP and PEC, Verson 3 switched to the A1 values from the NRMCA project below (I think Lindita used the same data, but I'm just copying her NRMCA values)</t>
  </si>
  <si>
    <t>The following table is from The NRMCA project,"NRMCA- Master LCA Spreadsheet-July 10, updated Aug 25,14.xlsx"-A1 Tab</t>
  </si>
  <si>
    <t>1 kg
See Supplemental LCA Data tab</t>
  </si>
  <si>
    <t>lbs/kg</t>
  </si>
  <si>
    <t>Acidification units are Moles, NRMCA units are SO2, so usign those values instead</t>
  </si>
  <si>
    <t>No data, using average of of the other admixtures</t>
  </si>
  <si>
    <t>Lightweight aggregate?</t>
  </si>
  <si>
    <t>on site generated elec profile, only have GWP and TPE for now</t>
  </si>
  <si>
    <t>Pre-Blended Cement</t>
  </si>
  <si>
    <t>PRE-BLENDED CEMENT SOURCES</t>
  </si>
  <si>
    <t>Enter Pre-Blended cement data for blended cement that you have purchased from another source (not cement that you blend yourself)</t>
  </si>
  <si>
    <t xml:space="preserve">Tab Name </t>
  </si>
  <si>
    <t>Title name</t>
  </si>
  <si>
    <t>Tab Type</t>
  </si>
  <si>
    <r>
      <rPr>
        <b/>
        <sz val="14"/>
        <color theme="1"/>
        <rFont val="Arial"/>
        <family val="2"/>
      </rPr>
      <t>7.</t>
    </r>
    <r>
      <rPr>
        <sz val="14"/>
        <color theme="1"/>
        <rFont val="Arial"/>
        <family val="2"/>
      </rPr>
      <t xml:space="preserve"> In Section C, enter your plant’s operating energy consumption by fuel type for the specified reporting period.  The “Per tonne of Precast” operating energy values are used in the PCR category and custom project calculator pages to estimate energy use on a unit product basis.</t>
    </r>
  </si>
  <si>
    <t>PCR worksheets</t>
  </si>
  <si>
    <t>IE4BV 5.0.0125- Product Stage Totals-1tonne/1000=1kg (Rebar)-using Toronto for CAN locations and US Average for US locations</t>
  </si>
  <si>
    <t>IE4BV 5.0.0125- Product Stage Totals-1tonne/1000=1kg (WWM)-using Toronto for CAN locations and US Average for US locations</t>
  </si>
  <si>
    <t>IE4BV 5.0.0125- Product Stage Totals-1tonne/1000=1kg (HSS)-using Toronto for CAN locations and US Average for US locations</t>
  </si>
  <si>
    <t>SP 8.01
1 kg Form Release Agent - Canada - Cradle-to-Gate CPCI SP Tool EPD (of db Athena Commom/project CPCI SP Tool EPD Update)</t>
  </si>
  <si>
    <t>v3 assuming same as NRE</t>
  </si>
  <si>
    <t>v3 assumption</t>
  </si>
  <si>
    <t>Slag Cement</t>
  </si>
  <si>
    <t>Aggregate wash water</t>
  </si>
  <si>
    <t>A</t>
  </si>
  <si>
    <t>It is possible to enter zero values in cells, do not leave blank cells.  A blank "Amount" cell for example, will produce a yellow or red warning to the left of that row.  In sections A and C of the "Plant Inputs" worksheet, you are only required to enter an amount in column E, in sections B and D you are required to enter an amount in column E and at least one distance in either of the modes of transportation in columns J to M.  The tool is initially shipped with all input value fields left blank - be sure to enter zero values in rows that are not applicable to your plant. If for example you enter a source location and an amount for a material, but not a transportation mode and distance for a material, the transportation cells will turn red just to warn you that that information is missing.</t>
  </si>
  <si>
    <r>
      <rPr>
        <b/>
        <sz val="14"/>
        <color theme="1"/>
        <rFont val="Arial"/>
        <family val="2"/>
      </rPr>
      <t>9.</t>
    </r>
    <r>
      <rPr>
        <sz val="14"/>
        <color theme="1"/>
        <rFont val="Arial"/>
        <family val="2"/>
      </rPr>
      <t xml:space="preserve"> EPD results for the entire plant are presented in a table at the top of the worksheet, on a per tonne or short ton basis.</t>
    </r>
  </si>
  <si>
    <r>
      <rPr>
        <b/>
        <sz val="14"/>
        <color theme="1"/>
        <rFont val="Arial"/>
        <family val="2"/>
      </rPr>
      <t>10.</t>
    </r>
    <r>
      <rPr>
        <sz val="14"/>
        <color theme="1"/>
        <rFont val="Arial"/>
        <family val="2"/>
      </rPr>
      <t xml:space="preserve"> It is possible that your plant may be sourcing Cement from outside your province/state.  On this worksheet, enter the source locations and cement amounts for up to four source locations, and the one-way transportation of each mode of transport.  If an amount is entered in column E, and all the transportation distances are blank, an error will occur, there must be at least one transportation mode for each cement source.  
Keep in mind that you need to enter the transportation distances and modes from the manufacturing source location to your plant, i.e, from the plant or quarry, not from a distributor or depot.
For example, if your plant is located in Montana, your plant location in cell E16 of the Plant Inputs worksheet will be Montana.  But if you source your Portland Cement from Montana and Alberta, in row 1 of the PORTLAND CEMENT SOURCES table in the Cement Sources worksheet, you can choose Montana as a source location in column D (and complete the amount and transportation information), AND in row 2 of the same table, choose Alberta as the source location (and its respective amount and transportation information).
If you are sourcing cement from overseas, choose Offshore as a source location (at the bottom of the drop down list) and please include the ocean portion of the journey in the transportation columns, e.g., cement from China to a plant in Montana may be 5,000 miles ocean + 800 miles rail + 50 miles truck.</t>
    </r>
  </si>
  <si>
    <r>
      <rPr>
        <b/>
        <sz val="14"/>
        <color theme="1"/>
        <rFont val="Arial"/>
        <family val="2"/>
      </rPr>
      <t>11.</t>
    </r>
    <r>
      <rPr>
        <sz val="14"/>
        <color theme="1"/>
        <rFont val="Arial"/>
        <family val="2"/>
      </rPr>
      <t xml:space="preserve"> Four Pre-Blended cement sources can be entered in a similar fashion, with some addtitiional information.  For each source, enter the amount and distances from the source, but you must also enter the percentages of cements and SCMs, for each source in column E.</t>
    </r>
  </si>
  <si>
    <r>
      <rPr>
        <b/>
        <sz val="14"/>
        <color theme="1"/>
        <rFont val="Arial"/>
        <family val="2"/>
      </rPr>
      <t>12.</t>
    </r>
    <r>
      <rPr>
        <sz val="14"/>
        <color theme="1"/>
        <rFont val="Arial"/>
        <family val="2"/>
      </rPr>
      <t xml:space="preserve"> A weighted average LCA profile for cement and transportation is calculated and the values are automatically entered in the Cement rows in the Plant Inputs worksheet.  </t>
    </r>
  </si>
  <si>
    <r>
      <rPr>
        <b/>
        <sz val="14"/>
        <color theme="1"/>
        <rFont val="Arial"/>
        <family val="2"/>
      </rPr>
      <t>13.</t>
    </r>
    <r>
      <rPr>
        <sz val="14"/>
        <color theme="1"/>
        <rFont val="Arial"/>
        <family val="2"/>
      </rPr>
      <t xml:space="preserve"> Their are four PCR worksheets, one for each of the PCR product sub categories, Structural, Architectural, Insulated Architectural and Underground precast products.  Each worksheet will provide EPD results for that sub category at the top of the worksheet.  Enter the total production of that sub category in Table A, and the material quantities that were used in that production in Table B  The transportation distances and modes and plant operation energies from the Plant Inputs worksheet are used to calculate the LCA effects for that product. </t>
    </r>
    <r>
      <rPr>
        <b/>
        <sz val="14"/>
        <color theme="1"/>
        <rFont val="Arial"/>
        <family val="2"/>
      </rPr>
      <t>NOTE:</t>
    </r>
    <r>
      <rPr>
        <sz val="14"/>
        <color theme="1"/>
        <rFont val="Arial"/>
        <family val="2"/>
      </rPr>
      <t xml:space="preserve"> If the Plant Inputs worksheet is not 100% complete, then no results are available on the PCR worksheet.  Once data entry in both worksheets are 100% complete, the custom results will appear at the top of the PCR worksheet.</t>
    </r>
  </si>
  <si>
    <t>SP 8.01
1 kWh Electricity, at grid, CAN Average CAN/NA Grid, Athena 2012 (of db Athena Commom/project CPCI SP Tool EPD Update)</t>
  </si>
  <si>
    <t>SP 8.01
1 l Gasoline, combusted in equipment/US, Athena CPCI SP Tool EPD (of db Athena Commom/project CPCI SP Tool EPD Update)</t>
  </si>
  <si>
    <t>SP 8.01
1 l Diesel, combusted in industrial equipment/US, Athena CPCI SP Tool EPD (of db Athena Commom/project CPCI SP Tool EPD Update)</t>
  </si>
  <si>
    <t>SP 8.01
1 m3 Natural gas, combusted in industrial boiler/US, Athena CPCI SP Tool EPD (of db Athena Commom/project CPCI SP Tool EPD Update)</t>
  </si>
  <si>
    <t>SP 8.01
1 l Residual fuel oil, combusted in industrial boiler/US, Athena CPCI SP Tool EPD (of db Athena Commom/project CPCI SP Tool EPD Update)</t>
  </si>
  <si>
    <t>SP 8.01
1 l Liquefied petroleum gas, combusted in industrial boiler/US, Athena CPCI SP Tool EPD (of db Athena Commom/project CPCI SP Tool EPD Update)</t>
  </si>
  <si>
    <t>SP 8.01
1 tkm Transport, combination truck, diesel powered/US, Athena CPCI SP Tool EPD (of db Athena Commom/project CPCI SP Tool EPD Update)</t>
  </si>
  <si>
    <t>SP 8.01
1 tkm Transport, combination truck, gasoline powered/US, Athena CPCI SP Tool EPD (of db Athena Commom/project CPCI SP Tool EPD Update)</t>
  </si>
  <si>
    <t>SP 8.01
1 tkm Transport, train, diesel powered/US, Athena CPCI SP Tool EPD (of db Athena Commom/project CPCI SP Tool EPD Update)</t>
  </si>
  <si>
    <t>SP 8.01
1 tkm Transport, ocean freighter, residual fuel oil powered/US, Athena CPCI SP Tool EPD (of db Athena Commom/project CPCI SP Tool EPD Update)</t>
  </si>
  <si>
    <t>SP 8.01
1 tkm Transport, barge, average fuel mix/US, Athena CPCI SP Tool EPD (of db Athena Commom/project CPCI SP Tool EPD Update)</t>
  </si>
  <si>
    <t>ToolType</t>
  </si>
  <si>
    <t>Reporting_Periods_Reporting</t>
  </si>
  <si>
    <t>Reporting_Periods_Survey</t>
  </si>
  <si>
    <t>If the tool is for a survey, make sure dates on the welcome page are correct and year is locked and hide the rows that are invisible</t>
  </si>
  <si>
    <t>B</t>
  </si>
  <si>
    <t>C</t>
  </si>
  <si>
    <t xml:space="preserve">The Canadian Precast/Prestressed Concrete Institute (CPCI), the National Precast Concrete Association (NPCA) and the Precast/Prestressed Concrete Institute (PCI) commissioned the Athena Sustanable Materials Institute to create a data collection and benchmarking tool that can be used to support their joint Sustainable Plant Program and provide the necessary transparency to support EPD development for various precast product groups.  The scope of the tool is cradle-to-gate with the cradle being the "earth" and the gate being the finished product ready for shipment at the precast plant . </t>
  </si>
  <si>
    <r>
      <rPr>
        <b/>
        <sz val="14"/>
        <color theme="1"/>
        <rFont val="Arial"/>
        <family val="2"/>
      </rPr>
      <t>2.</t>
    </r>
    <r>
      <rPr>
        <sz val="14"/>
        <color theme="1"/>
        <rFont val="Arial"/>
        <family val="2"/>
      </rPr>
      <t xml:space="preserve"> Choose the units that you wish to work in, SI (Metric) or US Imperial.  You will be able to choose which units you use for each material from drop down boxes, but in Canada the default units will be in SI (metric) and in the United States they will be Imperial units.
</t>
    </r>
    <r>
      <rPr>
        <u/>
        <sz val="14"/>
        <color theme="1"/>
        <rFont val="Arial"/>
        <family val="2"/>
      </rPr>
      <t>It is STRONGLY recommended that you choose a unit system before completing the survey, and then never change it after you've started.</t>
    </r>
    <r>
      <rPr>
        <sz val="14"/>
        <color theme="1"/>
        <rFont val="Arial"/>
        <family val="2"/>
      </rPr>
      <t xml:space="preserve">  Changing the unit system after you've entered data will not convert your entries to the new system, it will just list your entry in a new unit (e.g. if you enter 1 mile for a transportation distance, and then change to Canada-SI units- the form will show 1 km, it will not convert to 1.6 km), and your data will need to be re-entered.</t>
    </r>
  </si>
  <si>
    <r>
      <rPr>
        <b/>
        <sz val="14"/>
        <color theme="1"/>
        <rFont val="Arial"/>
        <family val="2"/>
      </rPr>
      <t>3.</t>
    </r>
    <r>
      <rPr>
        <sz val="14"/>
        <color theme="1"/>
        <rFont val="Arial"/>
        <family val="2"/>
      </rPr>
      <t xml:space="preserve"> In Section A, pick your plant's state or provincial location from the dropdown list.  This will identify manufacturing and energy grid data for your plant location.</t>
    </r>
  </si>
  <si>
    <t>SP 8.01
1 kg RPC - CAN - Cradle-to-Gate CPCI SP Tool EPD or Portland cement, at plant, NRMCA USA CPCI SP Tool EPD (of db Athena Commom/project CPCI SP Tool EPD Update)</t>
  </si>
  <si>
    <t>SP 8.01
1 kg Fine Aggregate - Canada - Raw Materials Extraction CPCI SP Tool EPD(of db Athena Commom/project CPCI SP Tool EPD Update)</t>
  </si>
  <si>
    <t>SP 8.01
1 kg Fine Aggregate -Crushed - Canada - Raw Materials Extraction CPCI SP Tool EPD (of db Athena Commom/project CPCI SP Tool EPD Update)</t>
  </si>
  <si>
    <t>SP 8.01
1 kg Coarse Aggregate - Canada - Raw Materials Extraction CPCI SP Tool EPD (of db Athena Commom/project CPCI SP Tool EPD Update)</t>
  </si>
  <si>
    <t>SP 8.01
1 kg Coarse Aggregate -Crushed - Canada - Raw Materials Extraction CPCI SP Tool EPD (of db Athena Commom/project CPCI SP Tool EPD Update)</t>
  </si>
  <si>
    <t>SP 8.01
1 kg EPS Insulation - Canada - Polystyrene foam slab, at plant/Athena Modified CPCI SP Tool EPD (of db Athena Commom/project CPCI SP Tool EPD Update)</t>
  </si>
  <si>
    <t>SP 8.01
1 kg XPS Insulation - Canada - Polystyrene, extruded (XPS), at plant/Athena Modified CPCI SP Tool EPD (of db Athena Commom/project CPCI SP Tool EPD Update)</t>
  </si>
  <si>
    <t>SP 8.01
1 kg Brick - Canada - Cradle-to-Gate CPCI SP Tool EPD (of db Athena Commom/project CPCI SP Tool EPD Update)</t>
  </si>
  <si>
    <t>SP 8.01
1 kg Natural stone plate, cut, at regional storage/CH U CAN CPCI SP Tool EPD (of db Athena Commom/project CPCI SP Tool EPD Update)</t>
  </si>
  <si>
    <t>SP 8.01
1 kg Titanium dioxide, production mix, at plant/RER U CPCI SP Tool EPD (of db Athena Commom/project CPCI SP Tool EPD Update)</t>
  </si>
  <si>
    <t>SP 8.01
1 kg Lubricating Oil - Canada - Lubricating oil, at plant/Athena Modified CPCI SP Tool EPD (of db Athena Commom/project CPCI SP Tool EPD Update)</t>
  </si>
  <si>
    <t>SP 8.01
1 kWh Electricity, biomass, at power plant/US CPCI SP Tool EPD (of db Athena Commom/project CPCI SP Tool EPD Update)</t>
  </si>
  <si>
    <t>PCI</t>
  </si>
  <si>
    <t>Make sure the correct logo is showing in the Welcome and Principal Summary tabs</t>
  </si>
  <si>
    <t>3.0</t>
  </si>
  <si>
    <r>
      <rPr>
        <b/>
        <sz val="14"/>
        <color theme="1"/>
        <rFont val="Arial"/>
        <family val="2"/>
      </rPr>
      <t>1.</t>
    </r>
    <r>
      <rPr>
        <sz val="14"/>
        <color theme="1"/>
        <rFont val="Arial"/>
        <family val="2"/>
      </rPr>
      <t xml:space="preserve"> Select your Plant Number and complete the Reporting Period cells at the top of this worksheet. </t>
    </r>
  </si>
  <si>
    <r>
      <rPr>
        <b/>
        <sz val="14"/>
        <color theme="1"/>
        <rFont val="Arial"/>
        <family val="2"/>
      </rPr>
      <t>4.</t>
    </r>
    <r>
      <rPr>
        <sz val="14"/>
        <color theme="1"/>
        <rFont val="Arial"/>
        <family val="2"/>
      </rPr>
      <t xml:space="preserve"> In Section A, enter the product  masses for each of the four product categories, for the reporting period.  The "Total Production for Specified Reporting Period" mass at the bottom of section A will be used to calculate the "per tonne" material values in the results tables at the top of the worksheet.  </t>
    </r>
  </si>
  <si>
    <r>
      <rPr>
        <b/>
        <sz val="14"/>
        <color theme="1"/>
        <rFont val="Arial"/>
        <family val="2"/>
      </rPr>
      <t>6.</t>
    </r>
    <r>
      <rPr>
        <sz val="14"/>
        <color theme="1"/>
        <rFont val="Arial"/>
        <family val="2"/>
      </rPr>
      <t xml:space="preserve"> In Section B, the amount and transportation distances for Portland,Portland Limestone and Pre-Blended Cements cannot be entered directly in this worksheet, they must be entered in the </t>
    </r>
    <r>
      <rPr>
        <b/>
        <sz val="14"/>
        <color theme="1"/>
        <rFont val="Arial"/>
        <family val="2"/>
      </rPr>
      <t>Cement Sources</t>
    </r>
    <r>
      <rPr>
        <sz val="14"/>
        <color theme="1"/>
        <rFont val="Arial"/>
        <family val="2"/>
      </rPr>
      <t xml:space="preserve"> worksheet (see #10 below).</t>
    </r>
  </si>
  <si>
    <r>
      <rPr>
        <b/>
        <sz val="14"/>
        <color theme="1"/>
        <rFont val="Arial"/>
        <family val="2"/>
      </rPr>
      <t>8.</t>
    </r>
    <r>
      <rPr>
        <sz val="14"/>
        <color theme="1"/>
        <rFont val="Arial"/>
        <family val="2"/>
      </rPr>
      <t xml:space="preserve"> In Section D, you can enter your solid waste totals and transportation mode and distances, for hazardous and non-hazardous waste. There are no LCA effects applied to this waste, as it falls outside of the cradle-to-gate system boundary of this too, however, hazardous waste and non-hazardous waste generated will be reported in the EPD Results.</t>
    </r>
  </si>
  <si>
    <t>Category Descriptions</t>
  </si>
  <si>
    <t>superstructure bridge products such as bridge decks, girders, and parapets; substructure bridge products such as abutments, piers, footings, and pile caps; building products such as columns, beams, interior solid bearing and shear walls, double tees, hollowcore, spandrels, and solid slabs; stairs and stadia seating; and other items such as piles, footings, barriers, retaining walls, rail ties, and the like. Structural precast products can be conventionally reinforced or prestressed.</t>
  </si>
  <si>
    <t>single-wythe exterior wall panels and architectural trim products. Architectural precast products can be conventionally reinforced or prestressed concrete that will be permanently exposed to view and therefore require special care in selection of the concrete materials, forming, placing, and finishing to obtain the desired architectural appearance.</t>
  </si>
  <si>
    <t>two conventionally reinforced or prestressed concrete wythes with a continuous layer of rigid insulation placed between.</t>
  </si>
  <si>
    <t>pipe and culvert products, man-holes, tanks, chambers, and related products such as electrical utility products. Underground precast products are typically conventionally reinforced.</t>
  </si>
  <si>
    <t>Survey</t>
  </si>
  <si>
    <t>Custom</t>
  </si>
  <si>
    <t>A-Structural Products</t>
  </si>
  <si>
    <t>B-Architectural Products</t>
  </si>
  <si>
    <t>C-Insulated Architectural Products</t>
  </si>
  <si>
    <t>D-Underground Products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</si>
</sst>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_(* \(#,##0\);_(* &quot;-&quot;_);_(@_)"/>
    <numFmt numFmtId="44" formatCode="_(&quot;$&quot;* #,##0.00_);_(&quot;$&quot;* \(#,##0.00\);_(&quot;$&quot;* &quot;-&quot;??_);_(@_)"/>
    <numFmt numFmtId="43" formatCode="_(* #,##0.00_);_(* \(#,##0.00\);_(* &quot;-&quot;??_);_(@_)"/>
    <numFmt numFmtId="164" formatCode="0.0000"/>
    <numFmt numFmtId="165" formatCode="0.000"/>
    <numFmt numFmtId="166" formatCode="#,##0.00_ ;\-#,##0.00\ "/>
    <numFmt numFmtId="167" formatCode="#,##0.0"/>
    <numFmt numFmtId="168" formatCode="#,##0_ ;\-#,##0\ "/>
    <numFmt numFmtId="169" formatCode="#,##0&quot; kg&quot;"/>
    <numFmt numFmtId="170" formatCode="#,##0&quot; tonnes&quot;"/>
    <numFmt numFmtId="171" formatCode="#,##0.0_ ;\-#,##0.0\ "/>
    <numFmt numFmtId="172" formatCode="0.0"/>
    <numFmt numFmtId="173" formatCode="0.0%"/>
    <numFmt numFmtId="174" formatCode="0.0000%"/>
    <numFmt numFmtId="175" formatCode="#,##0.000"/>
    <numFmt numFmtId="176" formatCode="0.000E+00"/>
    <numFmt numFmtId="177" formatCode="#,##0.0000"/>
    <numFmt numFmtId="178" formatCode="0.000000"/>
    <numFmt numFmtId="179" formatCode="0.00000000000000000000"/>
    <numFmt numFmtId="180" formatCode="#,##0.00000"/>
    <numFmt numFmtId="181" formatCode="0.0E+00"/>
  </numFmts>
  <fonts count="93">
    <font>
      <sz val="11"/>
      <color theme="1"/>
      <name val="Calibri"/>
      <family val="2"/>
      <scheme val="minor"/>
    </font>
    <font>
      <sz val="10"/>
      <name val="Arial"/>
      <family val="2"/>
    </font>
    <font>
      <sz val="11"/>
      <color indexed="8"/>
      <name val="Calibri"/>
      <family val="2"/>
    </font>
    <font>
      <b/>
      <sz val="14"/>
      <color indexed="8"/>
      <name val="Calibri"/>
      <family val="2"/>
    </font>
    <font>
      <sz val="11"/>
      <color indexed="60"/>
      <name val="Calibri"/>
      <family val="2"/>
    </font>
    <font>
      <sz val="8"/>
      <name val="Calibri"/>
      <family val="2"/>
    </font>
    <font>
      <sz val="9"/>
      <color indexed="81"/>
      <name val="Tahoma"/>
      <family val="2"/>
    </font>
    <font>
      <b/>
      <sz val="9"/>
      <color indexed="81"/>
      <name val="Tahoma"/>
      <family val="2"/>
    </font>
    <font>
      <b/>
      <sz val="10"/>
      <name val="Arial"/>
      <family val="2"/>
    </font>
    <font>
      <b/>
      <sz val="14"/>
      <name val="Arial"/>
      <family val="2"/>
    </font>
    <font>
      <b/>
      <sz val="11"/>
      <name val="Arial"/>
      <family val="2"/>
    </font>
    <font>
      <b/>
      <sz val="11"/>
      <color indexed="8"/>
      <name val="Arial"/>
      <family val="2"/>
    </font>
    <font>
      <b/>
      <sz val="16"/>
      <name val="Arial"/>
      <family val="2"/>
    </font>
    <font>
      <b/>
      <sz val="16"/>
      <color indexed="50"/>
      <name val="Arial"/>
      <family val="2"/>
    </font>
    <font>
      <b/>
      <sz val="10"/>
      <color indexed="60"/>
      <name val="Arial"/>
      <family val="2"/>
    </font>
    <font>
      <b/>
      <sz val="10"/>
      <color indexed="10"/>
      <name val="Arial"/>
      <family val="2"/>
    </font>
    <font>
      <b/>
      <sz val="14"/>
      <color indexed="50"/>
      <name val="Arial"/>
      <family val="2"/>
    </font>
    <font>
      <b/>
      <sz val="10"/>
      <color indexed="50"/>
      <name val="Arial"/>
      <family val="2"/>
    </font>
    <font>
      <sz val="11"/>
      <color indexed="81"/>
      <name val="Tahoma"/>
      <family val="2"/>
    </font>
    <font>
      <b/>
      <sz val="11"/>
      <color indexed="81"/>
      <name val="Tahoma"/>
      <family val="2"/>
    </font>
    <font>
      <b/>
      <u/>
      <sz val="11"/>
      <color indexed="81"/>
      <name val="Tahoma"/>
      <family val="2"/>
    </font>
    <font>
      <b/>
      <vertAlign val="subscript"/>
      <sz val="10"/>
      <name val="Arial"/>
      <family val="2"/>
    </font>
    <font>
      <sz val="11"/>
      <color theme="1"/>
      <name val="Calibri"/>
      <family val="2"/>
      <scheme val="minor"/>
    </font>
    <font>
      <sz val="10"/>
      <color theme="1"/>
      <name val="Arial"/>
      <family val="2"/>
    </font>
    <font>
      <sz val="14"/>
      <color theme="1"/>
      <name val="Arial"/>
      <family val="2"/>
    </font>
    <font>
      <sz val="11"/>
      <color theme="1"/>
      <name val="Arial"/>
      <family val="2"/>
    </font>
    <font>
      <b/>
      <sz val="11"/>
      <color theme="1"/>
      <name val="Calibri"/>
      <family val="2"/>
      <scheme val="minor"/>
    </font>
    <font>
      <sz val="11"/>
      <color theme="0"/>
      <name val="Arial"/>
      <family val="2"/>
    </font>
    <font>
      <b/>
      <sz val="16"/>
      <color rgb="FFFF0000"/>
      <name val="Arial"/>
      <family val="2"/>
    </font>
    <font>
      <b/>
      <sz val="10"/>
      <color theme="4"/>
      <name val="Arial"/>
      <family val="2"/>
    </font>
    <font>
      <b/>
      <sz val="10"/>
      <color rgb="FFFF0000"/>
      <name val="Arial"/>
      <family val="2"/>
    </font>
    <font>
      <b/>
      <sz val="12"/>
      <color rgb="FF000000"/>
      <name val="Arial"/>
      <family val="2"/>
    </font>
    <font>
      <sz val="11"/>
      <color theme="0" tint="-0.34998626667073579"/>
      <name val="Calibri"/>
      <family val="2"/>
      <scheme val="minor"/>
    </font>
    <font>
      <b/>
      <sz val="14"/>
      <color rgb="FF000000"/>
      <name val="Arial"/>
      <family val="2"/>
    </font>
    <font>
      <sz val="11"/>
      <color rgb="FFFF0000"/>
      <name val="Calibri"/>
      <family val="2"/>
      <scheme val="minor"/>
    </font>
    <font>
      <b/>
      <sz val="10"/>
      <color theme="1"/>
      <name val="Arial"/>
      <family val="2"/>
    </font>
    <font>
      <b/>
      <sz val="10"/>
      <color theme="0"/>
      <name val="Arial"/>
      <family val="2"/>
    </font>
    <font>
      <sz val="10"/>
      <color theme="0"/>
      <name val="Arial"/>
      <family val="2"/>
    </font>
    <font>
      <sz val="14"/>
      <color theme="0"/>
      <name val="Arial"/>
      <family val="2"/>
    </font>
    <font>
      <sz val="11"/>
      <color theme="0"/>
      <name val="Calibri"/>
      <family val="2"/>
      <scheme val="minor"/>
    </font>
    <font>
      <b/>
      <sz val="12"/>
      <color rgb="FFFF0000"/>
      <name val="Arial"/>
      <family val="2"/>
    </font>
    <font>
      <b/>
      <sz val="14"/>
      <color theme="1"/>
      <name val="Arial"/>
      <family val="2"/>
    </font>
    <font>
      <sz val="14"/>
      <color theme="1"/>
      <name val="Calibri"/>
      <family val="2"/>
      <scheme val="minor"/>
    </font>
    <font>
      <sz val="14"/>
      <color indexed="60"/>
      <name val="Arial"/>
      <family val="2"/>
    </font>
    <font>
      <b/>
      <sz val="18"/>
      <color theme="1"/>
      <name val="Arial"/>
      <family val="2"/>
    </font>
    <font>
      <b/>
      <sz val="12"/>
      <name val="Arial"/>
      <family val="2"/>
    </font>
    <font>
      <b/>
      <u/>
      <sz val="12"/>
      <name val="Arial"/>
      <family val="2"/>
    </font>
    <font>
      <sz val="12"/>
      <name val="Arial"/>
      <family val="2"/>
    </font>
    <font>
      <b/>
      <sz val="12"/>
      <color indexed="8"/>
      <name val="Arial"/>
      <family val="2"/>
    </font>
    <font>
      <u/>
      <sz val="12"/>
      <name val="Arial"/>
      <family val="2"/>
    </font>
    <font>
      <sz val="12"/>
      <color indexed="10"/>
      <name val="Arial"/>
      <family val="2"/>
    </font>
    <font>
      <i/>
      <sz val="9"/>
      <color theme="1"/>
      <name val="Arial"/>
      <family val="2"/>
    </font>
    <font>
      <i/>
      <sz val="11"/>
      <color theme="1"/>
      <name val="Calibri"/>
      <family val="2"/>
      <scheme val="minor"/>
    </font>
    <font>
      <sz val="14"/>
      <color rgb="FFFF0000"/>
      <name val="Arial"/>
      <family val="2"/>
    </font>
    <font>
      <b/>
      <u/>
      <sz val="14"/>
      <color theme="1"/>
      <name val="Arial"/>
      <family val="2"/>
    </font>
    <font>
      <sz val="14"/>
      <name val="Arial"/>
      <family val="2"/>
    </font>
    <font>
      <sz val="11"/>
      <name val="Calibri"/>
      <family val="2"/>
      <scheme val="minor"/>
    </font>
    <font>
      <b/>
      <sz val="11"/>
      <color theme="1"/>
      <name val="Arial"/>
      <family val="2"/>
    </font>
    <font>
      <b/>
      <sz val="14"/>
      <color rgb="FFFF0000"/>
      <name val="Calibri"/>
      <family val="2"/>
      <scheme val="minor"/>
    </font>
    <font>
      <sz val="9"/>
      <name val="Arial"/>
      <family val="2"/>
    </font>
    <font>
      <b/>
      <u/>
      <sz val="11"/>
      <color theme="1"/>
      <name val="Arial"/>
      <family val="2"/>
    </font>
    <font>
      <sz val="10"/>
      <color theme="0" tint="-0.249977111117893"/>
      <name val="Arial"/>
      <family val="2"/>
    </font>
    <font>
      <sz val="11"/>
      <color rgb="FF9C0006"/>
      <name val="Calibri"/>
      <family val="2"/>
      <scheme val="minor"/>
    </font>
    <font>
      <sz val="10"/>
      <color theme="1"/>
      <name val="Trebuchet MS"/>
      <family val="2"/>
    </font>
    <font>
      <sz val="8"/>
      <color theme="1"/>
      <name val="TrebuchetMS"/>
    </font>
    <font>
      <u/>
      <sz val="10"/>
      <color theme="10"/>
      <name val="Trebuchet MS"/>
      <family val="2"/>
    </font>
    <font>
      <sz val="1"/>
      <color indexed="8"/>
      <name val="Courier"/>
      <family val="3"/>
    </font>
    <font>
      <i/>
      <sz val="1"/>
      <color indexed="8"/>
      <name val="Courier"/>
      <family val="3"/>
    </font>
    <font>
      <u/>
      <sz val="10"/>
      <color indexed="12"/>
      <name val="Arial"/>
      <family val="2"/>
    </font>
    <font>
      <sz val="10"/>
      <color indexed="8"/>
      <name val="Arial"/>
      <family val="2"/>
    </font>
    <font>
      <sz val="10"/>
      <name val="Verdana"/>
      <family val="2"/>
    </font>
    <font>
      <sz val="12"/>
      <color theme="1"/>
      <name val="Calibri"/>
      <family val="2"/>
      <scheme val="minor"/>
    </font>
    <font>
      <sz val="9"/>
      <name val="Helvetica"/>
      <family val="2"/>
    </font>
    <font>
      <sz val="10"/>
      <color rgb="FFFF0000"/>
      <name val="Trebuchet MS"/>
      <family val="2"/>
    </font>
    <font>
      <b/>
      <vertAlign val="subscript"/>
      <sz val="10"/>
      <color theme="1"/>
      <name val="Arial"/>
      <family val="2"/>
    </font>
    <font>
      <sz val="10"/>
      <color indexed="81"/>
      <name val="Tahoma"/>
      <family val="2"/>
    </font>
    <font>
      <b/>
      <sz val="10"/>
      <color indexed="81"/>
      <name val="Tahoma"/>
      <family val="2"/>
    </font>
    <font>
      <b/>
      <u/>
      <sz val="10"/>
      <color indexed="81"/>
      <name val="Tahoma"/>
      <family val="2"/>
    </font>
    <font>
      <b/>
      <sz val="16"/>
      <color theme="1"/>
      <name val="Calibri"/>
      <family val="2"/>
      <scheme val="minor"/>
    </font>
    <font>
      <b/>
      <sz val="14"/>
      <color rgb="FFFF0000"/>
      <name val="Arial"/>
      <family val="2"/>
    </font>
    <font>
      <sz val="10"/>
      <color rgb="FFFF0000"/>
      <name val="Arial"/>
      <family val="2"/>
    </font>
    <font>
      <b/>
      <sz val="11"/>
      <color rgb="FFFF0000"/>
      <name val="Calibri"/>
      <family val="2"/>
      <scheme val="minor"/>
    </font>
    <font>
      <sz val="12"/>
      <color rgb="FFFF0000"/>
      <name val="Calibri"/>
      <family val="2"/>
      <scheme val="minor"/>
    </font>
    <font>
      <b/>
      <sz val="10"/>
      <name val="Calibri"/>
      <family val="2"/>
      <scheme val="minor"/>
    </font>
    <font>
      <sz val="10"/>
      <name val="Calibri"/>
      <family val="2"/>
      <scheme val="minor"/>
    </font>
    <font>
      <sz val="12"/>
      <name val="Times New Roman"/>
      <family val="1"/>
    </font>
    <font>
      <sz val="11"/>
      <color theme="4"/>
      <name val="Calibri"/>
      <family val="2"/>
      <scheme val="minor"/>
    </font>
    <font>
      <b/>
      <sz val="11"/>
      <color rgb="FFFF0000"/>
      <name val="Arial"/>
      <family val="2"/>
    </font>
    <font>
      <sz val="11"/>
      <color theme="0" tint="-0.249977111117893"/>
      <name val="Calibri"/>
      <family val="2"/>
      <scheme val="minor"/>
    </font>
    <font>
      <sz val="13"/>
      <color rgb="FFFF0000"/>
      <name val="Calibri"/>
      <family val="2"/>
      <scheme val="minor"/>
    </font>
    <font>
      <u/>
      <sz val="14"/>
      <color theme="1"/>
      <name val="Arial"/>
      <family val="2"/>
    </font>
    <font>
      <sz val="12"/>
      <color indexed="81"/>
      <name val="Tahoma"/>
      <family val="2"/>
    </font>
    <font>
      <sz val="11"/>
      <color rgb="FF000000"/>
      <name val="Calibri"/>
      <family val="2"/>
    </font>
  </fonts>
  <fills count="5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8"/>
        <bgColor indexed="64"/>
      </patternFill>
    </fill>
    <fill>
      <patternFill patternType="solid">
        <fgColor indexed="27"/>
        <bgColor indexed="64"/>
      </patternFill>
    </fill>
    <fill>
      <patternFill patternType="solid">
        <fgColor indexed="43"/>
        <bgColor indexed="64"/>
      </patternFill>
    </fill>
    <fill>
      <patternFill patternType="solid">
        <fgColor indexed="47"/>
        <bgColor indexed="64"/>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000"/>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CCFF"/>
        <bgColor indexed="64"/>
      </patternFill>
    </fill>
    <fill>
      <patternFill patternType="solid">
        <fgColor rgb="FFFF00FF"/>
        <bgColor indexed="64"/>
      </patternFill>
    </fill>
    <fill>
      <patternFill patternType="solid">
        <fgColor rgb="FFFF9999"/>
        <bgColor indexed="64"/>
      </patternFill>
    </fill>
    <fill>
      <patternFill patternType="solid">
        <fgColor rgb="FFFF5050"/>
        <bgColor indexed="64"/>
      </patternFill>
    </fill>
    <fill>
      <patternFill patternType="solid">
        <fgColor rgb="FF99CCFF"/>
        <bgColor indexed="64"/>
      </patternFill>
    </fill>
    <fill>
      <patternFill patternType="solid">
        <fgColor rgb="FF6699FF"/>
        <bgColor indexed="64"/>
      </patternFill>
    </fill>
    <fill>
      <patternFill patternType="solid">
        <fgColor rgb="FF66FF66"/>
        <bgColor indexed="64"/>
      </patternFill>
    </fill>
    <fill>
      <patternFill patternType="solid">
        <fgColor rgb="FFFF9900"/>
        <bgColor indexed="64"/>
      </patternFill>
    </fill>
    <fill>
      <patternFill patternType="solid">
        <fgColor rgb="FFFFCC66"/>
        <bgColor indexed="64"/>
      </patternFill>
    </fill>
    <fill>
      <patternFill patternType="solid">
        <fgColor rgb="FFFFFFCC"/>
        <bgColor indexed="64"/>
      </patternFill>
    </fill>
    <fill>
      <patternFill patternType="solid">
        <fgColor rgb="FFFF66FF"/>
        <bgColor indexed="64"/>
      </patternFill>
    </fill>
    <fill>
      <patternFill patternType="solid">
        <fgColor rgb="FFFF7C80"/>
        <bgColor indexed="64"/>
      </patternFill>
    </fill>
    <fill>
      <patternFill patternType="solid">
        <fgColor rgb="FF00B050"/>
        <bgColor indexed="64"/>
      </patternFill>
    </fill>
    <fill>
      <patternFill patternType="solid">
        <fgColor rgb="FF00B0F0"/>
        <bgColor indexed="64"/>
      </patternFill>
    </fill>
    <fill>
      <patternFill patternType="solid">
        <fgColor rgb="FFCCECFF"/>
        <bgColor indexed="64"/>
      </patternFill>
    </fill>
    <fill>
      <patternFill patternType="solid">
        <fgColor rgb="FFFFC7CE"/>
      </patternFill>
    </fill>
    <fill>
      <patternFill patternType="solid">
        <fgColor indexed="41"/>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6633"/>
        <bgColor indexed="64"/>
      </patternFill>
    </fill>
    <fill>
      <patternFill patternType="solid">
        <fgColor rgb="FFCC9900"/>
        <bgColor indexed="64"/>
      </patternFill>
    </fill>
    <fill>
      <patternFill patternType="solid">
        <fgColor rgb="FFCC6600"/>
        <bgColor indexed="64"/>
      </patternFill>
    </fill>
    <fill>
      <patternFill patternType="solid">
        <fgColor rgb="FFCC3300"/>
        <bgColor indexed="64"/>
      </patternFill>
    </fill>
    <fill>
      <patternFill patternType="solid">
        <fgColor rgb="FF993300"/>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161">
    <xf numFmtId="0" fontId="0" fillId="0" borderId="0"/>
    <xf numFmtId="43" fontId="2" fillId="0" borderId="0" applyFont="0" applyFill="0" applyBorder="0" applyAlignment="0" applyProtection="0"/>
    <xf numFmtId="0" fontId="1" fillId="0" borderId="0"/>
    <xf numFmtId="0" fontId="1" fillId="0" borderId="0">
      <alignment textRotation="23"/>
    </xf>
    <xf numFmtId="0" fontId="1" fillId="0" borderId="0">
      <alignment textRotation="23"/>
    </xf>
    <xf numFmtId="9" fontId="2" fillId="0" borderId="0" applyFont="0" applyFill="0" applyBorder="0" applyAlignment="0" applyProtection="0"/>
    <xf numFmtId="0" fontId="63" fillId="0" borderId="0"/>
    <xf numFmtId="0" fontId="65" fillId="0" borderId="0" applyNumberFormat="0" applyFill="0" applyBorder="0" applyAlignment="0" applyProtection="0"/>
    <xf numFmtId="0" fontId="62" fillId="44"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6" fillId="0" borderId="0">
      <protection locked="0"/>
    </xf>
    <xf numFmtId="0" fontId="67" fillId="0" borderId="0">
      <protection locked="0"/>
    </xf>
    <xf numFmtId="0" fontId="68" fillId="0" borderId="0" applyNumberFormat="0" applyFill="0" applyBorder="0" applyAlignment="0" applyProtection="0">
      <alignment vertical="top"/>
      <protection locked="0"/>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2"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71" fillId="0" borderId="0"/>
    <xf numFmtId="0" fontId="1" fillId="0" borderId="0"/>
    <xf numFmtId="0" fontId="1" fillId="0" borderId="0"/>
    <xf numFmtId="0" fontId="69" fillId="0" borderId="0"/>
    <xf numFmtId="0" fontId="72" fillId="0" borderId="0">
      <alignment horizontal="left" vertical="center" wrapText="1"/>
    </xf>
    <xf numFmtId="0" fontId="72" fillId="45" borderId="0">
      <alignment horizontal="left" vertical="center"/>
    </xf>
    <xf numFmtId="43" fontId="2"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0" fontId="85" fillId="0" borderId="0"/>
    <xf numFmtId="9" fontId="85" fillId="0" borderId="0" applyFont="0" applyFill="0" applyBorder="0" applyAlignment="0" applyProtection="0"/>
    <xf numFmtId="9" fontId="22" fillId="0" borderId="0" applyFont="0" applyFill="0" applyBorder="0" applyAlignment="0" applyProtection="0"/>
    <xf numFmtId="0" fontId="24" fillId="13" borderId="0">
      <alignment horizontal="left" indent="2"/>
    </xf>
  </cellStyleXfs>
  <cellXfs count="742">
    <xf numFmtId="0" fontId="0" fillId="0" borderId="0" xfId="0"/>
    <xf numFmtId="0" fontId="0" fillId="0" borderId="0" xfId="0" applyAlignment="1">
      <alignment horizontal="right"/>
    </xf>
    <xf numFmtId="0" fontId="0" fillId="0" borderId="1" xfId="0" applyBorder="1"/>
    <xf numFmtId="0" fontId="0" fillId="9" borderId="0" xfId="0" applyFill="1"/>
    <xf numFmtId="165" fontId="0" fillId="0" borderId="0" xfId="0" applyNumberFormat="1"/>
    <xf numFmtId="10" fontId="22" fillId="0" borderId="0" xfId="5" applyNumberFormat="1" applyFont="1" applyBorder="1" applyAlignment="1">
      <alignment horizontal="center"/>
    </xf>
    <xf numFmtId="0" fontId="3" fillId="3" borderId="2" xfId="0" applyFont="1" applyFill="1" applyBorder="1"/>
    <xf numFmtId="0" fontId="3" fillId="3" borderId="3" xfId="0" applyFont="1" applyFill="1" applyBorder="1"/>
    <xf numFmtId="0" fontId="0" fillId="3" borderId="4" xfId="0" applyFill="1" applyBorder="1"/>
    <xf numFmtId="0" fontId="0" fillId="10" borderId="1" xfId="0" applyFill="1" applyBorder="1"/>
    <xf numFmtId="0" fontId="4" fillId="9" borderId="0" xfId="0" applyFont="1" applyFill="1"/>
    <xf numFmtId="0" fontId="24" fillId="9" borderId="0" xfId="0" applyFont="1" applyFill="1"/>
    <xf numFmtId="0" fontId="25" fillId="2" borderId="0" xfId="0" applyFont="1" applyFill="1"/>
    <xf numFmtId="0" fontId="23" fillId="2" borderId="0" xfId="0" applyFont="1" applyFill="1"/>
    <xf numFmtId="2" fontId="12" fillId="2" borderId="0" xfId="4" applyNumberFormat="1" applyFont="1" applyFill="1" applyAlignment="1"/>
    <xf numFmtId="2" fontId="8" fillId="2" borderId="0" xfId="4" applyNumberFormat="1" applyFont="1" applyFill="1" applyAlignment="1"/>
    <xf numFmtId="0" fontId="13" fillId="5" borderId="8" xfId="3" applyFont="1" applyFill="1" applyBorder="1" applyAlignment="1">
      <alignment vertical="center"/>
    </xf>
    <xf numFmtId="0" fontId="13" fillId="5" borderId="5" xfId="3" applyFont="1" applyFill="1" applyBorder="1" applyAlignment="1">
      <alignment vertical="center"/>
    </xf>
    <xf numFmtId="0" fontId="13" fillId="5" borderId="9" xfId="3" applyFont="1" applyFill="1" applyBorder="1" applyAlignment="1">
      <alignment vertical="center"/>
    </xf>
    <xf numFmtId="0" fontId="14" fillId="2" borderId="10" xfId="3" applyFont="1" applyFill="1" applyBorder="1" applyAlignment="1">
      <alignment vertical="top"/>
    </xf>
    <xf numFmtId="0" fontId="14" fillId="2" borderId="0" xfId="3" applyFont="1" applyFill="1" applyAlignment="1">
      <alignment vertical="top"/>
    </xf>
    <xf numFmtId="0" fontId="10" fillId="2" borderId="10" xfId="3" applyFont="1" applyFill="1" applyBorder="1" applyAlignment="1">
      <alignment vertical="top"/>
    </xf>
    <xf numFmtId="0" fontId="15" fillId="2" borderId="0" xfId="3" applyFont="1" applyFill="1" applyAlignment="1">
      <alignment vertical="top"/>
    </xf>
    <xf numFmtId="0" fontId="8" fillId="3" borderId="11" xfId="3" applyFont="1" applyFill="1" applyBorder="1" applyAlignment="1">
      <alignment horizontal="center"/>
    </xf>
    <xf numFmtId="0" fontId="8" fillId="3" borderId="1" xfId="3" applyFont="1" applyFill="1" applyBorder="1" applyAlignment="1">
      <alignment horizontal="left"/>
    </xf>
    <xf numFmtId="0" fontId="8" fillId="3" borderId="1" xfId="3" applyFont="1" applyFill="1" applyBorder="1" applyAlignment="1">
      <alignment horizontal="center"/>
    </xf>
    <xf numFmtId="0" fontId="8" fillId="0" borderId="11" xfId="3" applyFont="1" applyBorder="1" applyAlignment="1">
      <alignment horizontal="center" vertical="center"/>
    </xf>
    <xf numFmtId="0" fontId="8" fillId="0" borderId="1" xfId="3" applyFont="1" applyBorder="1" applyAlignment="1">
      <alignment horizontal="left" vertical="center"/>
    </xf>
    <xf numFmtId="0" fontId="8" fillId="3" borderId="12" xfId="3" applyFont="1" applyFill="1" applyBorder="1" applyAlignment="1">
      <alignment horizontal="center" vertical="center"/>
    </xf>
    <xf numFmtId="0" fontId="8" fillId="2" borderId="11" xfId="3" applyFont="1" applyFill="1" applyBorder="1" applyAlignment="1">
      <alignment horizontal="center" vertical="center"/>
    </xf>
    <xf numFmtId="0" fontId="10" fillId="2" borderId="0" xfId="3" applyFont="1" applyFill="1" applyAlignment="1">
      <alignment vertical="top"/>
    </xf>
    <xf numFmtId="0" fontId="25" fillId="2" borderId="10" xfId="0" applyFont="1" applyFill="1" applyBorder="1"/>
    <xf numFmtId="0" fontId="8" fillId="0" borderId="13" xfId="3" applyFont="1" applyBorder="1" applyAlignment="1">
      <alignment horizontal="center" vertical="center"/>
    </xf>
    <xf numFmtId="43" fontId="25" fillId="2" borderId="0" xfId="0" applyNumberFormat="1" applyFont="1" applyFill="1"/>
    <xf numFmtId="0" fontId="8" fillId="12" borderId="13" xfId="3" applyFont="1" applyFill="1" applyBorder="1" applyAlignment="1">
      <alignment horizontal="center" vertical="center"/>
    </xf>
    <xf numFmtId="0" fontId="0" fillId="9" borderId="1" xfId="0" applyFill="1" applyBorder="1"/>
    <xf numFmtId="0" fontId="26" fillId="9" borderId="14" xfId="0" applyFont="1" applyFill="1" applyBorder="1"/>
    <xf numFmtId="1" fontId="8" fillId="7" borderId="1" xfId="5" applyNumberFormat="1" applyFont="1" applyFill="1" applyBorder="1" applyAlignment="1" applyProtection="1">
      <alignment horizontal="center"/>
      <protection locked="0"/>
    </xf>
    <xf numFmtId="43" fontId="25" fillId="2" borderId="0" xfId="1" applyFont="1" applyFill="1" applyAlignment="1" applyProtection="1"/>
    <xf numFmtId="0" fontId="26" fillId="9" borderId="1" xfId="0" applyFont="1" applyFill="1" applyBorder="1"/>
    <xf numFmtId="0" fontId="25" fillId="0" borderId="0" xfId="0" applyFont="1"/>
    <xf numFmtId="2" fontId="8" fillId="0" borderId="1" xfId="3" applyNumberFormat="1" applyFont="1" applyBorder="1" applyAlignment="1">
      <alignment horizontal="left" wrapText="1"/>
    </xf>
    <xf numFmtId="2" fontId="8" fillId="3" borderId="14" xfId="3" applyNumberFormat="1" applyFont="1" applyFill="1" applyBorder="1" applyAlignment="1">
      <alignment horizontal="center"/>
    </xf>
    <xf numFmtId="0" fontId="10" fillId="2" borderId="15" xfId="3" applyFont="1" applyFill="1" applyBorder="1" applyAlignment="1">
      <alignment vertical="top"/>
    </xf>
    <xf numFmtId="0" fontId="10" fillId="2" borderId="16" xfId="3" applyFont="1" applyFill="1" applyBorder="1" applyAlignment="1">
      <alignment vertical="top"/>
    </xf>
    <xf numFmtId="2" fontId="8" fillId="3" borderId="17" xfId="3" applyNumberFormat="1" applyFont="1" applyFill="1" applyBorder="1" applyAlignment="1">
      <alignment horizontal="center"/>
    </xf>
    <xf numFmtId="0" fontId="8" fillId="0" borderId="1" xfId="3" applyFont="1" applyBorder="1" applyAlignment="1">
      <alignment horizontal="left" vertical="center" wrapText="1"/>
    </xf>
    <xf numFmtId="0" fontId="8" fillId="0" borderId="6" xfId="3" applyFont="1" applyBorder="1" applyAlignment="1">
      <alignment horizontal="left" vertical="center" wrapText="1"/>
    </xf>
    <xf numFmtId="0" fontId="8" fillId="12" borderId="6" xfId="3" applyFont="1" applyFill="1" applyBorder="1" applyAlignment="1">
      <alignment horizontal="left" vertical="center" wrapText="1"/>
    </xf>
    <xf numFmtId="43" fontId="22" fillId="9" borderId="1" xfId="1" applyFont="1" applyFill="1" applyBorder="1"/>
    <xf numFmtId="9" fontId="1" fillId="9" borderId="0" xfId="5" applyFont="1" applyFill="1" applyBorder="1" applyAlignment="1" applyProtection="1">
      <alignment horizontal="right"/>
    </xf>
    <xf numFmtId="2" fontId="1" fillId="9" borderId="0" xfId="3" applyNumberFormat="1" applyFill="1" applyAlignment="1">
      <alignment horizontal="center"/>
    </xf>
    <xf numFmtId="2" fontId="8" fillId="3" borderId="19" xfId="3" applyNumberFormat="1" applyFont="1" applyFill="1" applyBorder="1" applyAlignment="1">
      <alignment horizontal="center"/>
    </xf>
    <xf numFmtId="0" fontId="27" fillId="2" borderId="0" xfId="0" applyFont="1" applyFill="1" applyAlignment="1">
      <alignment horizontal="right"/>
    </xf>
    <xf numFmtId="2" fontId="28" fillId="2" borderId="0" xfId="4" applyNumberFormat="1" applyFont="1" applyFill="1" applyAlignment="1">
      <alignment horizontal="center"/>
    </xf>
    <xf numFmtId="166" fontId="25" fillId="2" borderId="0" xfId="0" applyNumberFormat="1" applyFont="1" applyFill="1"/>
    <xf numFmtId="0" fontId="8" fillId="0" borderId="0" xfId="3" applyFont="1" applyAlignment="1">
      <alignment horizontal="center" vertical="center"/>
    </xf>
    <xf numFmtId="0" fontId="8" fillId="0" borderId="0" xfId="3" applyFont="1" applyAlignment="1">
      <alignment horizontal="left" vertical="center" wrapText="1"/>
    </xf>
    <xf numFmtId="0" fontId="27" fillId="2" borderId="0" xfId="0" applyFont="1" applyFill="1" applyAlignment="1">
      <alignment vertical="top" wrapText="1"/>
    </xf>
    <xf numFmtId="0" fontId="23" fillId="2" borderId="0" xfId="0" applyFont="1" applyFill="1" applyAlignment="1">
      <alignment vertical="top" wrapText="1"/>
    </xf>
    <xf numFmtId="0" fontId="25" fillId="2" borderId="0" xfId="0" applyFont="1" applyFill="1" applyAlignment="1">
      <alignment vertical="top" wrapText="1"/>
    </xf>
    <xf numFmtId="0" fontId="27" fillId="2" borderId="0" xfId="0" applyFont="1" applyFill="1" applyAlignment="1">
      <alignment vertical="top"/>
    </xf>
    <xf numFmtId="0" fontId="23" fillId="2" borderId="0" xfId="0" applyFont="1" applyFill="1" applyAlignment="1">
      <alignment vertical="top"/>
    </xf>
    <xf numFmtId="0" fontId="25" fillId="2" borderId="0" xfId="0" applyFont="1" applyFill="1" applyAlignment="1">
      <alignment vertical="top"/>
    </xf>
    <xf numFmtId="0" fontId="23" fillId="0" borderId="0" xfId="0" applyFont="1"/>
    <xf numFmtId="0" fontId="29" fillId="2" borderId="0" xfId="0" applyFont="1" applyFill="1" applyAlignment="1">
      <alignment horizontal="center"/>
    </xf>
    <xf numFmtId="9" fontId="29" fillId="2" borderId="0" xfId="5" applyFont="1" applyFill="1" applyAlignment="1" applyProtection="1">
      <alignment horizontal="center"/>
    </xf>
    <xf numFmtId="168" fontId="29" fillId="2" borderId="0" xfId="0" applyNumberFormat="1" applyFont="1" applyFill="1" applyAlignment="1">
      <alignment horizontal="center"/>
    </xf>
    <xf numFmtId="0" fontId="29" fillId="2" borderId="0" xfId="0" applyFont="1" applyFill="1" applyAlignment="1">
      <alignment vertical="top" wrapText="1"/>
    </xf>
    <xf numFmtId="0" fontId="29" fillId="2" borderId="0" xfId="0" applyFont="1" applyFill="1" applyAlignment="1">
      <alignment vertical="top"/>
    </xf>
    <xf numFmtId="0" fontId="17" fillId="5" borderId="9" xfId="3" applyFont="1" applyFill="1" applyBorder="1" applyAlignment="1">
      <alignment vertical="center"/>
    </xf>
    <xf numFmtId="43" fontId="23" fillId="2" borderId="0" xfId="1" applyFont="1" applyFill="1" applyAlignment="1" applyProtection="1"/>
    <xf numFmtId="166" fontId="23" fillId="2" borderId="0" xfId="0" applyNumberFormat="1" applyFont="1" applyFill="1"/>
    <xf numFmtId="0" fontId="14" fillId="2" borderId="8" xfId="3" applyFont="1" applyFill="1" applyBorder="1" applyAlignment="1">
      <alignment vertical="top"/>
    </xf>
    <xf numFmtId="0" fontId="14" fillId="2" borderId="5" xfId="3" applyFont="1" applyFill="1" applyBorder="1" applyAlignment="1">
      <alignment vertical="top"/>
    </xf>
    <xf numFmtId="1" fontId="23" fillId="2" borderId="0" xfId="0" applyNumberFormat="1" applyFont="1" applyFill="1" applyAlignment="1">
      <alignment horizontal="left"/>
    </xf>
    <xf numFmtId="1" fontId="23" fillId="2" borderId="0" xfId="0" applyNumberFormat="1" applyFont="1" applyFill="1"/>
    <xf numFmtId="0" fontId="23" fillId="2" borderId="21" xfId="0" applyFont="1" applyFill="1" applyBorder="1"/>
    <xf numFmtId="0" fontId="23" fillId="2" borderId="22" xfId="0" applyFont="1" applyFill="1" applyBorder="1"/>
    <xf numFmtId="0" fontId="14" fillId="2" borderId="9" xfId="3" applyFont="1" applyFill="1" applyBorder="1" applyAlignment="1">
      <alignment vertical="top"/>
    </xf>
    <xf numFmtId="0" fontId="10" fillId="2" borderId="23" xfId="3" applyFont="1" applyFill="1" applyBorder="1" applyAlignment="1">
      <alignment vertical="top"/>
    </xf>
    <xf numFmtId="0" fontId="10" fillId="2" borderId="24" xfId="3" applyFont="1" applyFill="1" applyBorder="1" applyAlignment="1">
      <alignment vertical="top"/>
    </xf>
    <xf numFmtId="0" fontId="10" fillId="2" borderId="25" xfId="3" applyFont="1" applyFill="1" applyBorder="1" applyAlignment="1">
      <alignment vertical="top"/>
    </xf>
    <xf numFmtId="2" fontId="12" fillId="6" borderId="8" xfId="4" applyNumberFormat="1" applyFont="1" applyFill="1" applyBorder="1" applyAlignment="1"/>
    <xf numFmtId="2" fontId="12" fillId="6" borderId="5" xfId="4" applyNumberFormat="1" applyFont="1" applyFill="1" applyBorder="1" applyAlignment="1"/>
    <xf numFmtId="2" fontId="12" fillId="6" borderId="9" xfId="4" applyNumberFormat="1" applyFont="1" applyFill="1" applyBorder="1" applyAlignment="1"/>
    <xf numFmtId="0" fontId="10" fillId="2" borderId="26" xfId="3" applyFont="1" applyFill="1" applyBorder="1" applyAlignment="1">
      <alignment vertical="top"/>
    </xf>
    <xf numFmtId="0" fontId="0" fillId="0" borderId="0" xfId="0" applyAlignment="1">
      <alignment horizontal="left"/>
    </xf>
    <xf numFmtId="164" fontId="0" fillId="0" borderId="0" xfId="0" applyNumberFormat="1"/>
    <xf numFmtId="0" fontId="32" fillId="0" borderId="0" xfId="0" applyFont="1" applyAlignment="1">
      <alignment horizontal="right"/>
    </xf>
    <xf numFmtId="0" fontId="32" fillId="0" borderId="0" xfId="0" applyFont="1"/>
    <xf numFmtId="0" fontId="32" fillId="0" borderId="0" xfId="0" applyFont="1" applyAlignment="1">
      <alignment horizontal="left"/>
    </xf>
    <xf numFmtId="2" fontId="8" fillId="3" borderId="13" xfId="3" applyNumberFormat="1" applyFont="1" applyFill="1" applyBorder="1" applyAlignment="1">
      <alignment horizontal="right"/>
    </xf>
    <xf numFmtId="0" fontId="10" fillId="2" borderId="3" xfId="3" applyFont="1" applyFill="1" applyBorder="1" applyAlignment="1">
      <alignment vertical="top"/>
    </xf>
    <xf numFmtId="0" fontId="10" fillId="2" borderId="4" xfId="3" applyFont="1" applyFill="1" applyBorder="1" applyAlignment="1">
      <alignment vertical="top"/>
    </xf>
    <xf numFmtId="0" fontId="10" fillId="2" borderId="29" xfId="3" applyFont="1" applyFill="1" applyBorder="1" applyAlignment="1">
      <alignment vertical="top"/>
    </xf>
    <xf numFmtId="0" fontId="10" fillId="2" borderId="30" xfId="3" applyFont="1" applyFill="1" applyBorder="1" applyAlignment="1">
      <alignment vertical="top"/>
    </xf>
    <xf numFmtId="167" fontId="0" fillId="0" borderId="0" xfId="0" applyNumberFormat="1"/>
    <xf numFmtId="0" fontId="10" fillId="2" borderId="19" xfId="3" applyFont="1" applyFill="1" applyBorder="1" applyAlignment="1">
      <alignment vertical="top"/>
    </xf>
    <xf numFmtId="4" fontId="1" fillId="7" borderId="1" xfId="1" applyNumberFormat="1" applyFont="1" applyFill="1" applyBorder="1" applyAlignment="1" applyProtection="1">
      <alignment horizontal="right" indent="1"/>
      <protection locked="0"/>
    </xf>
    <xf numFmtId="4" fontId="1" fillId="4" borderId="6" xfId="1" applyNumberFormat="1" applyFont="1" applyFill="1" applyBorder="1" applyAlignment="1" applyProtection="1">
      <alignment horizontal="right" indent="1"/>
    </xf>
    <xf numFmtId="4" fontId="1" fillId="7" borderId="31" xfId="1" applyNumberFormat="1" applyFont="1" applyFill="1" applyBorder="1" applyAlignment="1" applyProtection="1">
      <alignment horizontal="right" indent="1"/>
      <protection locked="0"/>
    </xf>
    <xf numFmtId="4" fontId="1" fillId="7" borderId="6" xfId="1" applyNumberFormat="1" applyFont="1" applyFill="1" applyBorder="1" applyAlignment="1" applyProtection="1">
      <alignment horizontal="right" indent="1"/>
      <protection locked="0"/>
    </xf>
    <xf numFmtId="4" fontId="1" fillId="13" borderId="1" xfId="3" applyNumberFormat="1" applyFill="1" applyBorder="1" applyAlignment="1">
      <alignment horizontal="right" indent="1"/>
    </xf>
    <xf numFmtId="1" fontId="1" fillId="7" borderId="1" xfId="5" applyNumberFormat="1" applyFont="1" applyFill="1" applyBorder="1" applyAlignment="1" applyProtection="1">
      <alignment horizontal="center"/>
      <protection locked="0"/>
    </xf>
    <xf numFmtId="1" fontId="1" fillId="7" borderId="6" xfId="5" applyNumberFormat="1" applyFont="1" applyFill="1" applyBorder="1" applyAlignment="1" applyProtection="1">
      <alignment horizontal="center"/>
      <protection locked="0"/>
    </xf>
    <xf numFmtId="2" fontId="1" fillId="14" borderId="1" xfId="3" applyNumberFormat="1" applyFill="1" applyBorder="1" applyAlignment="1" applyProtection="1">
      <alignment horizontal="center"/>
      <protection locked="0"/>
    </xf>
    <xf numFmtId="2" fontId="8" fillId="3" borderId="17" xfId="3" applyNumberFormat="1" applyFont="1" applyFill="1" applyBorder="1" applyAlignment="1">
      <alignment horizontal="right"/>
    </xf>
    <xf numFmtId="2" fontId="0" fillId="0" borderId="0" xfId="0" applyNumberFormat="1"/>
    <xf numFmtId="0" fontId="0" fillId="15" borderId="0" xfId="0" applyFill="1" applyAlignment="1">
      <alignment horizontal="center"/>
    </xf>
    <xf numFmtId="0" fontId="0" fillId="16" borderId="0" xfId="0" applyFill="1" applyAlignment="1">
      <alignment horizontal="center"/>
    </xf>
    <xf numFmtId="0" fontId="0" fillId="17" borderId="0" xfId="0" applyFill="1" applyAlignment="1">
      <alignment horizontal="center"/>
    </xf>
    <xf numFmtId="0" fontId="0" fillId="17" borderId="0" xfId="0" applyFill="1"/>
    <xf numFmtId="0" fontId="8" fillId="18" borderId="1" xfId="3" applyFont="1" applyFill="1" applyBorder="1" applyAlignment="1" applyProtection="1">
      <alignment horizontal="left" vertical="center" wrapText="1"/>
      <protection locked="0"/>
    </xf>
    <xf numFmtId="0" fontId="8" fillId="3" borderId="14" xfId="3" applyFont="1" applyFill="1" applyBorder="1" applyAlignment="1">
      <alignment horizontal="center"/>
    </xf>
    <xf numFmtId="2" fontId="8" fillId="19" borderId="2" xfId="4" applyNumberFormat="1" applyFont="1" applyFill="1" applyBorder="1" applyAlignment="1"/>
    <xf numFmtId="2" fontId="8" fillId="19" borderId="10" xfId="4" applyNumberFormat="1" applyFont="1" applyFill="1" applyBorder="1" applyAlignment="1"/>
    <xf numFmtId="2" fontId="8" fillId="19" borderId="4" xfId="4" applyNumberFormat="1" applyFont="1" applyFill="1" applyBorder="1" applyAlignment="1"/>
    <xf numFmtId="2" fontId="8" fillId="19" borderId="41" xfId="4" applyNumberFormat="1" applyFont="1" applyFill="1" applyBorder="1" applyAlignment="1"/>
    <xf numFmtId="2" fontId="1" fillId="6" borderId="23" xfId="3" applyNumberFormat="1" applyFill="1" applyBorder="1" applyAlignment="1" applyProtection="1">
      <alignment horizontal="center"/>
      <protection locked="0"/>
    </xf>
    <xf numFmtId="164" fontId="0" fillId="17" borderId="1" xfId="0" applyNumberFormat="1" applyFill="1" applyBorder="1" applyAlignment="1">
      <alignment wrapText="1"/>
    </xf>
    <xf numFmtId="0" fontId="0" fillId="17" borderId="1" xfId="0" applyFill="1" applyBorder="1" applyAlignment="1">
      <alignment wrapText="1"/>
    </xf>
    <xf numFmtId="2" fontId="0" fillId="17" borderId="1" xfId="0" applyNumberFormat="1" applyFill="1" applyBorder="1" applyAlignment="1">
      <alignment wrapText="1"/>
    </xf>
    <xf numFmtId="164" fontId="0" fillId="17" borderId="1" xfId="0" applyNumberFormat="1" applyFill="1" applyBorder="1"/>
    <xf numFmtId="0" fontId="0" fillId="20" borderId="1" xfId="0" applyFill="1" applyBorder="1"/>
    <xf numFmtId="164" fontId="0" fillId="16" borderId="1" xfId="0" applyNumberFormat="1" applyFill="1" applyBorder="1" applyAlignment="1">
      <alignment wrapText="1"/>
    </xf>
    <xf numFmtId="0" fontId="0" fillId="15" borderId="1" xfId="0" applyFill="1" applyBorder="1" applyAlignment="1">
      <alignment wrapText="1"/>
    </xf>
    <xf numFmtId="0" fontId="0" fillId="15" borderId="1" xfId="0" applyFill="1" applyBorder="1" applyAlignment="1">
      <alignment horizontal="center" wrapText="1"/>
    </xf>
    <xf numFmtId="0" fontId="0" fillId="16" borderId="1" xfId="0" applyFill="1" applyBorder="1" applyAlignment="1">
      <alignment wrapText="1"/>
    </xf>
    <xf numFmtId="164" fontId="0" fillId="16" borderId="1" xfId="0" applyNumberFormat="1" applyFill="1" applyBorder="1"/>
    <xf numFmtId="164" fontId="0" fillId="15" borderId="1" xfId="0" applyNumberFormat="1" applyFill="1" applyBorder="1"/>
    <xf numFmtId="0" fontId="14" fillId="2" borderId="3" xfId="3" applyFont="1" applyFill="1" applyBorder="1" applyAlignment="1">
      <alignment vertical="top"/>
    </xf>
    <xf numFmtId="2" fontId="8" fillId="3" borderId="14" xfId="3" applyNumberFormat="1" applyFont="1" applyFill="1" applyBorder="1" applyAlignment="1">
      <alignment horizontal="center" vertical="center" wrapText="1"/>
    </xf>
    <xf numFmtId="0" fontId="14" fillId="9" borderId="9" xfId="3" applyFont="1" applyFill="1" applyBorder="1" applyAlignment="1">
      <alignment vertical="top"/>
    </xf>
    <xf numFmtId="0" fontId="0" fillId="9" borderId="41" xfId="0" applyFill="1" applyBorder="1"/>
    <xf numFmtId="2" fontId="8" fillId="3" borderId="1" xfId="3" applyNumberFormat="1" applyFont="1" applyFill="1" applyBorder="1" applyAlignment="1">
      <alignment horizontal="center" vertical="center"/>
    </xf>
    <xf numFmtId="2" fontId="8" fillId="3" borderId="18" xfId="3" applyNumberFormat="1" applyFont="1" applyFill="1" applyBorder="1" applyAlignment="1">
      <alignment horizontal="center" vertical="center" wrapText="1"/>
    </xf>
    <xf numFmtId="3" fontId="1" fillId="4" borderId="1" xfId="3" applyNumberFormat="1" applyFill="1" applyBorder="1" applyAlignment="1">
      <alignment horizontal="center" vertical="center"/>
    </xf>
    <xf numFmtId="3" fontId="1" fillId="4" borderId="18" xfId="3" applyNumberFormat="1" applyFill="1" applyBorder="1" applyAlignment="1">
      <alignment horizontal="center" vertical="center"/>
    </xf>
    <xf numFmtId="3" fontId="1" fillId="4" borderId="31" xfId="3" applyNumberFormat="1" applyFill="1" applyBorder="1" applyAlignment="1">
      <alignment horizontal="center" vertical="center"/>
    </xf>
    <xf numFmtId="169" fontId="34" fillId="9" borderId="10" xfId="0" applyNumberFormat="1" applyFont="1" applyFill="1" applyBorder="1" applyAlignment="1">
      <alignment vertical="top"/>
    </xf>
    <xf numFmtId="0" fontId="34" fillId="9" borderId="0" xfId="0" applyFont="1" applyFill="1" applyAlignment="1">
      <alignment vertical="top" wrapText="1"/>
    </xf>
    <xf numFmtId="3" fontId="10" fillId="2" borderId="0" xfId="3" applyNumberFormat="1" applyFont="1" applyFill="1" applyAlignment="1">
      <alignment vertical="top"/>
    </xf>
    <xf numFmtId="0" fontId="0" fillId="15" borderId="1" xfId="0" applyFill="1" applyBorder="1" applyAlignment="1">
      <alignment horizontal="right"/>
    </xf>
    <xf numFmtId="167" fontId="0" fillId="15" borderId="1" xfId="0" applyNumberFormat="1" applyFill="1" applyBorder="1"/>
    <xf numFmtId="0" fontId="0" fillId="21" borderId="1" xfId="0" applyFill="1" applyBorder="1" applyAlignment="1">
      <alignment horizontal="center"/>
    </xf>
    <xf numFmtId="0" fontId="0" fillId="21" borderId="1" xfId="0" applyFill="1" applyBorder="1"/>
    <xf numFmtId="0" fontId="0" fillId="0" borderId="44" xfId="0" applyBorder="1" applyAlignment="1">
      <alignment horizontal="center"/>
    </xf>
    <xf numFmtId="0" fontId="0" fillId="21" borderId="1" xfId="0" applyFill="1" applyBorder="1" applyAlignment="1">
      <alignment horizontal="right"/>
    </xf>
    <xf numFmtId="0" fontId="32" fillId="21" borderId="1" xfId="0" applyFont="1" applyFill="1" applyBorder="1" applyAlignment="1">
      <alignment horizontal="right"/>
    </xf>
    <xf numFmtId="9" fontId="1" fillId="13" borderId="26" xfId="5" applyFont="1" applyFill="1" applyBorder="1" applyAlignment="1" applyProtection="1">
      <alignment horizontal="center"/>
    </xf>
    <xf numFmtId="0" fontId="0" fillId="24" borderId="1" xfId="0" applyFill="1" applyBorder="1"/>
    <xf numFmtId="0" fontId="0" fillId="24" borderId="1" xfId="0" applyFill="1" applyBorder="1" applyAlignment="1">
      <alignment horizontal="center"/>
    </xf>
    <xf numFmtId="2" fontId="1" fillId="6" borderId="18" xfId="3" applyNumberFormat="1" applyFill="1" applyBorder="1" applyAlignment="1" applyProtection="1">
      <alignment horizontal="center"/>
      <protection locked="0"/>
    </xf>
    <xf numFmtId="4" fontId="1" fillId="7" borderId="14" xfId="1" applyNumberFormat="1" applyFont="1" applyFill="1" applyBorder="1" applyAlignment="1" applyProtection="1">
      <alignment horizontal="right" indent="1"/>
      <protection locked="0"/>
    </xf>
    <xf numFmtId="0" fontId="8" fillId="3" borderId="27" xfId="3" applyFont="1" applyFill="1" applyBorder="1" applyAlignment="1">
      <alignment horizontal="center"/>
    </xf>
    <xf numFmtId="9" fontId="1" fillId="13" borderId="19" xfId="5" applyFont="1" applyFill="1" applyBorder="1" applyAlignment="1" applyProtection="1">
      <alignment horizontal="center"/>
    </xf>
    <xf numFmtId="9" fontId="1" fillId="13" borderId="22" xfId="5" applyFont="1" applyFill="1" applyBorder="1" applyAlignment="1" applyProtection="1">
      <alignment horizontal="center"/>
    </xf>
    <xf numFmtId="175" fontId="1" fillId="13" borderId="1" xfId="3" applyNumberFormat="1" applyFill="1" applyBorder="1" applyAlignment="1">
      <alignment horizontal="center"/>
    </xf>
    <xf numFmtId="175" fontId="8" fillId="4" borderId="6" xfId="1" applyNumberFormat="1" applyFont="1" applyFill="1" applyBorder="1" applyAlignment="1" applyProtection="1">
      <alignment horizontal="center"/>
    </xf>
    <xf numFmtId="171" fontId="1" fillId="4" borderId="1" xfId="1" applyNumberFormat="1" applyFont="1" applyFill="1" applyBorder="1" applyAlignment="1" applyProtection="1"/>
    <xf numFmtId="168" fontId="1" fillId="7" borderId="1" xfId="1" applyNumberFormat="1" applyFont="1" applyFill="1" applyBorder="1" applyAlignment="1" applyProtection="1">
      <alignment horizontal="right"/>
      <protection locked="0"/>
    </xf>
    <xf numFmtId="168" fontId="1" fillId="7" borderId="6" xfId="1" applyNumberFormat="1" applyFont="1" applyFill="1" applyBorder="1" applyAlignment="1" applyProtection="1">
      <alignment horizontal="right"/>
      <protection locked="0"/>
    </xf>
    <xf numFmtId="171" fontId="1" fillId="4" borderId="6" xfId="1" applyNumberFormat="1" applyFont="1" applyFill="1" applyBorder="1" applyAlignment="1" applyProtection="1"/>
    <xf numFmtId="2" fontId="0" fillId="0" borderId="0" xfId="0" applyNumberFormat="1" applyAlignment="1">
      <alignment horizontal="right"/>
    </xf>
    <xf numFmtId="0" fontId="14" fillId="2" borderId="4" xfId="3" applyFont="1" applyFill="1" applyBorder="1" applyAlignment="1">
      <alignment vertical="top"/>
    </xf>
    <xf numFmtId="2" fontId="8" fillId="3" borderId="18" xfId="3" applyNumberFormat="1" applyFont="1" applyFill="1" applyBorder="1" applyAlignment="1">
      <alignment horizontal="center" vertical="center"/>
    </xf>
    <xf numFmtId="0" fontId="8" fillId="3" borderId="1" xfId="3" applyFont="1" applyFill="1" applyBorder="1" applyAlignment="1">
      <alignment horizontal="center" vertical="center"/>
    </xf>
    <xf numFmtId="0" fontId="8" fillId="3" borderId="23" xfId="3" applyFont="1" applyFill="1" applyBorder="1" applyAlignment="1">
      <alignment horizontal="center" vertical="center" wrapText="1"/>
    </xf>
    <xf numFmtId="0" fontId="0" fillId="9" borderId="1" xfId="0" applyFill="1" applyBorder="1" applyAlignment="1">
      <alignment horizontal="center"/>
    </xf>
    <xf numFmtId="0" fontId="0" fillId="9" borderId="0" xfId="0" applyFill="1" applyAlignment="1">
      <alignment horizontal="center" wrapText="1"/>
    </xf>
    <xf numFmtId="0" fontId="0" fillId="9" borderId="0" xfId="0" applyFill="1" applyAlignment="1">
      <alignment horizontal="right"/>
    </xf>
    <xf numFmtId="0" fontId="0" fillId="9" borderId="0" xfId="0" applyFill="1" applyAlignment="1">
      <alignment horizontal="left"/>
    </xf>
    <xf numFmtId="166" fontId="0" fillId="9" borderId="0" xfId="0" applyNumberFormat="1" applyFill="1"/>
    <xf numFmtId="0" fontId="25" fillId="9" borderId="0" xfId="0" applyFont="1" applyFill="1"/>
    <xf numFmtId="0" fontId="33" fillId="9" borderId="0" xfId="0" applyFont="1" applyFill="1" applyAlignment="1">
      <alignment horizontal="left" wrapText="1"/>
    </xf>
    <xf numFmtId="0" fontId="41" fillId="9" borderId="0" xfId="0" applyFont="1" applyFill="1"/>
    <xf numFmtId="171" fontId="1" fillId="4" borderId="18" xfId="1" applyNumberFormat="1" applyFont="1" applyFill="1" applyBorder="1" applyAlignment="1" applyProtection="1"/>
    <xf numFmtId="171" fontId="1" fillId="4" borderId="7" xfId="1" applyNumberFormat="1" applyFont="1" applyFill="1" applyBorder="1" applyAlignment="1" applyProtection="1"/>
    <xf numFmtId="170" fontId="1" fillId="4" borderId="6" xfId="3" applyNumberFormat="1" applyFill="1" applyBorder="1" applyAlignment="1">
      <alignment horizontal="center" vertical="center"/>
    </xf>
    <xf numFmtId="167" fontId="0" fillId="9" borderId="0" xfId="0" applyNumberFormat="1" applyFill="1" applyAlignment="1">
      <alignment horizontal="right"/>
    </xf>
    <xf numFmtId="0" fontId="42" fillId="9" borderId="0" xfId="0" applyFont="1" applyFill="1"/>
    <xf numFmtId="0" fontId="43" fillId="9" borderId="0" xfId="0" applyFont="1" applyFill="1"/>
    <xf numFmtId="2" fontId="1" fillId="6" borderId="1" xfId="3" applyNumberFormat="1" applyFill="1" applyBorder="1" applyAlignment="1" applyProtection="1">
      <alignment horizontal="center"/>
      <protection locked="0"/>
    </xf>
    <xf numFmtId="2" fontId="1" fillId="6" borderId="6" xfId="3" applyNumberFormat="1" applyFill="1" applyBorder="1" applyAlignment="1" applyProtection="1">
      <alignment horizontal="center"/>
      <protection locked="0"/>
    </xf>
    <xf numFmtId="4" fontId="1" fillId="13" borderId="1" xfId="1" applyNumberFormat="1" applyFont="1" applyFill="1" applyBorder="1" applyAlignment="1" applyProtection="1">
      <alignment horizontal="right" indent="1"/>
    </xf>
    <xf numFmtId="2" fontId="1" fillId="9" borderId="3" xfId="3" applyNumberFormat="1" applyFill="1" applyBorder="1" applyAlignment="1">
      <alignment horizontal="center"/>
    </xf>
    <xf numFmtId="170" fontId="1" fillId="4" borderId="7" xfId="3" applyNumberFormat="1" applyFill="1" applyBorder="1" applyAlignment="1">
      <alignment horizontal="center" vertical="center"/>
    </xf>
    <xf numFmtId="0" fontId="52" fillId="9" borderId="0" xfId="0" applyFont="1" applyFill="1" applyAlignment="1">
      <alignment horizontal="center"/>
    </xf>
    <xf numFmtId="0" fontId="47" fillId="0" borderId="1" xfId="2" applyFont="1" applyBorder="1" applyAlignment="1" applyProtection="1">
      <alignment wrapText="1"/>
      <protection locked="0"/>
    </xf>
    <xf numFmtId="0" fontId="47" fillId="0" borderId="1" xfId="2" applyFont="1" applyBorder="1" applyAlignment="1" applyProtection="1">
      <alignment horizontal="left" vertical="top" wrapText="1"/>
      <protection locked="0"/>
    </xf>
    <xf numFmtId="0" fontId="47" fillId="0" borderId="1" xfId="2" applyFont="1" applyBorder="1" applyProtection="1">
      <protection locked="0"/>
    </xf>
    <xf numFmtId="0" fontId="47" fillId="0" borderId="18" xfId="2" applyFont="1" applyBorder="1" applyProtection="1">
      <protection locked="0"/>
    </xf>
    <xf numFmtId="9" fontId="47" fillId="0" borderId="1" xfId="2" applyNumberFormat="1" applyFont="1" applyBorder="1" applyAlignment="1" applyProtection="1">
      <alignment horizontal="left" vertical="top" wrapText="1"/>
      <protection locked="0"/>
    </xf>
    <xf numFmtId="0" fontId="47" fillId="0" borderId="23" xfId="2" applyFont="1" applyBorder="1" applyProtection="1">
      <protection locked="0"/>
    </xf>
    <xf numFmtId="0" fontId="47" fillId="0" borderId="18" xfId="2" applyFont="1" applyBorder="1" applyAlignment="1" applyProtection="1">
      <alignment wrapText="1"/>
      <protection locked="0"/>
    </xf>
    <xf numFmtId="49" fontId="47" fillId="0" borderId="1" xfId="2" applyNumberFormat="1" applyFont="1" applyBorder="1" applyAlignment="1" applyProtection="1">
      <alignment horizontal="left" vertical="top" wrapText="1"/>
      <protection locked="0"/>
    </xf>
    <xf numFmtId="0" fontId="47" fillId="0" borderId="6" xfId="2" applyFont="1" applyBorder="1" applyAlignment="1" applyProtection="1">
      <alignment horizontal="left" vertical="top" wrapText="1"/>
      <protection locked="0"/>
    </xf>
    <xf numFmtId="0" fontId="47" fillId="0" borderId="6" xfId="2" applyFont="1" applyBorder="1" applyProtection="1">
      <protection locked="0"/>
    </xf>
    <xf numFmtId="0" fontId="47" fillId="0" borderId="7" xfId="2" applyFont="1" applyBorder="1" applyProtection="1">
      <protection locked="0"/>
    </xf>
    <xf numFmtId="167" fontId="1" fillId="13" borderId="26" xfId="1" applyNumberFormat="1" applyFont="1" applyFill="1" applyBorder="1" applyAlignment="1" applyProtection="1">
      <alignment horizontal="right" indent="1"/>
    </xf>
    <xf numFmtId="167" fontId="1" fillId="7" borderId="32" xfId="1" applyNumberFormat="1" applyFont="1" applyFill="1" applyBorder="1" applyAlignment="1" applyProtection="1">
      <alignment horizontal="right" indent="1"/>
      <protection locked="0"/>
    </xf>
    <xf numFmtId="167" fontId="1" fillId="7" borderId="26" xfId="1" applyNumberFormat="1" applyFont="1" applyFill="1" applyBorder="1" applyAlignment="1" applyProtection="1">
      <alignment horizontal="right" indent="1"/>
      <protection locked="0"/>
    </xf>
    <xf numFmtId="0" fontId="0" fillId="26" borderId="0" xfId="0" applyFill="1"/>
    <xf numFmtId="2" fontId="1" fillId="13" borderId="1" xfId="3" applyNumberFormat="1" applyFill="1" applyBorder="1" applyAlignment="1">
      <alignment horizontal="center"/>
    </xf>
    <xf numFmtId="2" fontId="1" fillId="13" borderId="33" xfId="3" applyNumberFormat="1" applyFill="1" applyBorder="1" applyAlignment="1">
      <alignment horizontal="center"/>
    </xf>
    <xf numFmtId="2" fontId="1" fillId="13" borderId="28" xfId="3" applyNumberFormat="1" applyFill="1" applyBorder="1" applyAlignment="1">
      <alignment horizontal="center"/>
    </xf>
    <xf numFmtId="0" fontId="57" fillId="2" borderId="10" xfId="0" applyFont="1" applyFill="1" applyBorder="1"/>
    <xf numFmtId="0" fontId="0" fillId="9" borderId="0" xfId="0" applyFill="1" applyAlignment="1">
      <alignment horizontal="center"/>
    </xf>
    <xf numFmtId="2" fontId="0" fillId="9" borderId="0" xfId="0" applyNumberFormat="1" applyFill="1"/>
    <xf numFmtId="2" fontId="0" fillId="9" borderId="0" xfId="0" applyNumberFormat="1" applyFill="1" applyAlignment="1">
      <alignment horizontal="left"/>
    </xf>
    <xf numFmtId="0" fontId="0" fillId="26" borderId="0" xfId="0" applyFill="1" applyAlignment="1">
      <alignment horizontal="left"/>
    </xf>
    <xf numFmtId="0" fontId="58" fillId="9" borderId="0" xfId="0" applyFont="1" applyFill="1"/>
    <xf numFmtId="2" fontId="1" fillId="13" borderId="23" xfId="3" applyNumberFormat="1" applyFill="1" applyBorder="1" applyAlignment="1">
      <alignment horizontal="center"/>
    </xf>
    <xf numFmtId="2" fontId="1" fillId="13" borderId="7" xfId="3" applyNumberFormat="1" applyFill="1" applyBorder="1" applyAlignment="1">
      <alignment horizontal="center"/>
    </xf>
    <xf numFmtId="2" fontId="1" fillId="13" borderId="18" xfId="3" applyNumberFormat="1" applyFill="1" applyBorder="1" applyAlignment="1">
      <alignment horizontal="center"/>
    </xf>
    <xf numFmtId="0" fontId="23" fillId="2" borderId="0" xfId="0" applyFont="1" applyFill="1" applyAlignment="1">
      <alignment horizontal="left"/>
    </xf>
    <xf numFmtId="2" fontId="23" fillId="2" borderId="0" xfId="0" applyNumberFormat="1" applyFont="1" applyFill="1" applyAlignment="1">
      <alignment horizontal="left"/>
    </xf>
    <xf numFmtId="0" fontId="0" fillId="0" borderId="10" xfId="0" applyBorder="1"/>
    <xf numFmtId="9" fontId="59" fillId="0" borderId="2" xfId="5" applyFont="1" applyFill="1" applyBorder="1" applyAlignment="1" applyProtection="1">
      <alignment horizontal="center"/>
    </xf>
    <xf numFmtId="0" fontId="35" fillId="2" borderId="0" xfId="0" applyFont="1" applyFill="1"/>
    <xf numFmtId="0" fontId="8" fillId="0" borderId="48" xfId="3" applyFont="1" applyBorder="1" applyAlignment="1">
      <alignment horizontal="center" vertical="center"/>
    </xf>
    <xf numFmtId="0" fontId="8" fillId="0" borderId="14" xfId="3" applyFont="1" applyBorder="1" applyAlignment="1">
      <alignment horizontal="left" vertical="center" wrapText="1"/>
    </xf>
    <xf numFmtId="2" fontId="1" fillId="6" borderId="50" xfId="3" applyNumberFormat="1" applyFill="1" applyBorder="1" applyAlignment="1" applyProtection="1">
      <alignment horizontal="center"/>
      <protection locked="0"/>
    </xf>
    <xf numFmtId="175" fontId="1" fillId="13" borderId="14" xfId="3" applyNumberFormat="1" applyFill="1" applyBorder="1" applyAlignment="1">
      <alignment horizontal="center"/>
    </xf>
    <xf numFmtId="2" fontId="1" fillId="13" borderId="14" xfId="3" applyNumberFormat="1" applyFill="1" applyBorder="1" applyAlignment="1">
      <alignment horizontal="center"/>
    </xf>
    <xf numFmtId="4" fontId="1" fillId="13" borderId="6" xfId="1" applyNumberFormat="1" applyFont="1" applyFill="1" applyBorder="1" applyAlignment="1" applyProtection="1">
      <alignment horizontal="right" indent="1"/>
    </xf>
    <xf numFmtId="2" fontId="1" fillId="13" borderId="6" xfId="3" applyNumberFormat="1" applyFill="1" applyBorder="1" applyAlignment="1">
      <alignment horizontal="center"/>
    </xf>
    <xf numFmtId="175" fontId="1" fillId="13" borderId="6" xfId="3" applyNumberFormat="1" applyFill="1" applyBorder="1" applyAlignment="1">
      <alignment horizontal="center"/>
    </xf>
    <xf numFmtId="9" fontId="1" fillId="13" borderId="51" xfId="5" applyFont="1" applyFill="1" applyBorder="1" applyAlignment="1" applyProtection="1">
      <alignment horizontal="center"/>
    </xf>
    <xf numFmtId="167" fontId="1" fillId="13" borderId="51" xfId="1" applyNumberFormat="1" applyFont="1" applyFill="1" applyBorder="1" applyAlignment="1" applyProtection="1">
      <alignment horizontal="right" indent="1"/>
    </xf>
    <xf numFmtId="2" fontId="1" fillId="6" borderId="42" xfId="3" applyNumberFormat="1" applyFill="1" applyBorder="1" applyAlignment="1" applyProtection="1">
      <alignment horizontal="center"/>
      <protection locked="0"/>
    </xf>
    <xf numFmtId="167" fontId="1" fillId="7" borderId="51" xfId="1" applyNumberFormat="1" applyFont="1" applyFill="1" applyBorder="1" applyAlignment="1" applyProtection="1">
      <alignment horizontal="right" indent="1"/>
      <protection locked="0"/>
    </xf>
    <xf numFmtId="0" fontId="8" fillId="0" borderId="40" xfId="3" applyFont="1" applyBorder="1" applyAlignment="1">
      <alignment horizontal="center" vertical="center"/>
    </xf>
    <xf numFmtId="2" fontId="8" fillId="0" borderId="31" xfId="3" applyNumberFormat="1" applyFont="1" applyBorder="1" applyAlignment="1">
      <alignment horizontal="left" wrapText="1"/>
    </xf>
    <xf numFmtId="2" fontId="1" fillId="6" borderId="54" xfId="3" applyNumberFormat="1" applyFill="1" applyBorder="1" applyAlignment="1" applyProtection="1">
      <alignment horizontal="center"/>
      <protection locked="0"/>
    </xf>
    <xf numFmtId="175" fontId="1" fillId="13" borderId="31" xfId="3" applyNumberFormat="1" applyFill="1" applyBorder="1" applyAlignment="1">
      <alignment horizontal="center"/>
    </xf>
    <xf numFmtId="2" fontId="1" fillId="13" borderId="31" xfId="3" applyNumberFormat="1" applyFill="1" applyBorder="1" applyAlignment="1">
      <alignment horizontal="center"/>
    </xf>
    <xf numFmtId="9" fontId="1" fillId="13" borderId="46" xfId="5" applyFont="1" applyFill="1" applyBorder="1" applyAlignment="1" applyProtection="1">
      <alignment horizontal="center"/>
    </xf>
    <xf numFmtId="167" fontId="1" fillId="7" borderId="46" xfId="1" applyNumberFormat="1" applyFont="1" applyFill="1" applyBorder="1" applyAlignment="1" applyProtection="1">
      <alignment horizontal="right" indent="1"/>
      <protection locked="0"/>
    </xf>
    <xf numFmtId="2" fontId="1" fillId="14" borderId="14" xfId="3" applyNumberFormat="1" applyFill="1" applyBorder="1" applyAlignment="1" applyProtection="1">
      <alignment horizontal="center"/>
      <protection locked="0"/>
    </xf>
    <xf numFmtId="9" fontId="1" fillId="13" borderId="32" xfId="5" applyFont="1" applyFill="1" applyBorder="1" applyAlignment="1" applyProtection="1">
      <alignment horizontal="center"/>
    </xf>
    <xf numFmtId="9" fontId="1" fillId="13" borderId="55" xfId="5" applyFont="1" applyFill="1" applyBorder="1" applyAlignment="1" applyProtection="1">
      <alignment horizontal="center"/>
    </xf>
    <xf numFmtId="167" fontId="1" fillId="7" borderId="55" xfId="1" applyNumberFormat="1" applyFont="1" applyFill="1" applyBorder="1" applyAlignment="1" applyProtection="1">
      <alignment horizontal="right" indent="1"/>
      <protection locked="0"/>
    </xf>
    <xf numFmtId="0" fontId="8" fillId="0" borderId="31" xfId="3" applyFont="1" applyBorder="1" applyAlignment="1">
      <alignment horizontal="left" vertical="center" wrapText="1"/>
    </xf>
    <xf numFmtId="9" fontId="1" fillId="13" borderId="47" xfId="5" applyFont="1" applyFill="1" applyBorder="1" applyAlignment="1" applyProtection="1">
      <alignment horizontal="center"/>
    </xf>
    <xf numFmtId="167" fontId="1" fillId="7" borderId="47" xfId="1" applyNumberFormat="1" applyFont="1" applyFill="1" applyBorder="1" applyAlignment="1" applyProtection="1">
      <alignment horizontal="right" indent="1"/>
      <protection locked="0"/>
    </xf>
    <xf numFmtId="2" fontId="1" fillId="14" borderId="6" xfId="3" applyNumberFormat="1" applyFill="1" applyBorder="1" applyAlignment="1" applyProtection="1">
      <alignment horizontal="center"/>
      <protection locked="0"/>
    </xf>
    <xf numFmtId="2" fontId="1" fillId="14" borderId="31" xfId="3" applyNumberFormat="1" applyFill="1" applyBorder="1" applyAlignment="1" applyProtection="1">
      <alignment horizontal="center"/>
      <protection locked="0"/>
    </xf>
    <xf numFmtId="0" fontId="23" fillId="9" borderId="0" xfId="0" applyFont="1" applyFill="1"/>
    <xf numFmtId="0" fontId="37" fillId="9" borderId="0" xfId="0" applyFont="1" applyFill="1"/>
    <xf numFmtId="2" fontId="12" fillId="9" borderId="0" xfId="4" applyNumberFormat="1" applyFont="1" applyFill="1" applyAlignment="1"/>
    <xf numFmtId="0" fontId="30" fillId="9" borderId="0" xfId="0" applyFont="1" applyFill="1"/>
    <xf numFmtId="0" fontId="31" fillId="9" borderId="10" xfId="0" applyFont="1" applyFill="1" applyBorder="1" applyAlignment="1">
      <alignment vertical="top" wrapText="1"/>
    </xf>
    <xf numFmtId="0" fontId="31" fillId="9" borderId="0" xfId="0" applyFont="1" applyFill="1" applyAlignment="1">
      <alignment vertical="top" wrapText="1"/>
    </xf>
    <xf numFmtId="0" fontId="31" fillId="9" borderId="41" xfId="0" applyFont="1" applyFill="1" applyBorder="1" applyAlignment="1">
      <alignment vertical="top" wrapText="1"/>
    </xf>
    <xf numFmtId="0" fontId="31" fillId="9" borderId="45" xfId="0" applyFont="1" applyFill="1" applyBorder="1" applyAlignment="1">
      <alignment vertical="top" wrapText="1"/>
    </xf>
    <xf numFmtId="0" fontId="31" fillId="9" borderId="21" xfId="0" applyFont="1" applyFill="1" applyBorder="1" applyAlignment="1">
      <alignment vertical="top" wrapText="1"/>
    </xf>
    <xf numFmtId="0" fontId="31" fillId="9" borderId="22" xfId="0" applyFont="1" applyFill="1" applyBorder="1" applyAlignment="1">
      <alignment vertical="top" wrapText="1"/>
    </xf>
    <xf numFmtId="0" fontId="16" fillId="11" borderId="8" xfId="3" applyFont="1" applyFill="1" applyBorder="1" applyAlignment="1">
      <alignment vertical="center"/>
    </xf>
    <xf numFmtId="0" fontId="16" fillId="11" borderId="5" xfId="3" applyFont="1" applyFill="1" applyBorder="1" applyAlignment="1">
      <alignment vertical="center"/>
    </xf>
    <xf numFmtId="0" fontId="16" fillId="11" borderId="20" xfId="3" applyFont="1" applyFill="1" applyBorder="1" applyAlignment="1">
      <alignment vertical="center"/>
    </xf>
    <xf numFmtId="0" fontId="38" fillId="9" borderId="0" xfId="0" applyFont="1" applyFill="1"/>
    <xf numFmtId="0" fontId="36" fillId="9" borderId="0" xfId="0" applyFont="1" applyFill="1"/>
    <xf numFmtId="43" fontId="23" fillId="9" borderId="0" xfId="0" applyNumberFormat="1" applyFont="1" applyFill="1"/>
    <xf numFmtId="0" fontId="35" fillId="12" borderId="23" xfId="0" applyFont="1" applyFill="1" applyBorder="1"/>
    <xf numFmtId="0" fontId="35" fillId="12" borderId="24" xfId="0" applyFont="1" applyFill="1" applyBorder="1" applyAlignment="1">
      <alignment horizontal="center"/>
    </xf>
    <xf numFmtId="0" fontId="35" fillId="12" borderId="32" xfId="0" applyFont="1" applyFill="1" applyBorder="1"/>
    <xf numFmtId="0" fontId="35" fillId="22" borderId="1" xfId="0" applyFont="1" applyFill="1" applyBorder="1" applyAlignment="1">
      <alignment horizontal="center"/>
    </xf>
    <xf numFmtId="0" fontId="35" fillId="23" borderId="1" xfId="0" applyFont="1" applyFill="1" applyBorder="1" applyAlignment="1">
      <alignment horizontal="center"/>
    </xf>
    <xf numFmtId="0" fontId="35" fillId="16" borderId="1" xfId="0" applyFont="1" applyFill="1" applyBorder="1" applyAlignment="1">
      <alignment horizontal="center"/>
    </xf>
    <xf numFmtId="0" fontId="23" fillId="9" borderId="23" xfId="0" applyFont="1" applyFill="1" applyBorder="1"/>
    <xf numFmtId="3" fontId="23" fillId="22" borderId="1" xfId="0" applyNumberFormat="1" applyFont="1" applyFill="1" applyBorder="1" applyAlignment="1">
      <alignment horizontal="right" indent="1"/>
    </xf>
    <xf numFmtId="3" fontId="23" fillId="23" borderId="1" xfId="0" applyNumberFormat="1" applyFont="1" applyFill="1" applyBorder="1" applyAlignment="1">
      <alignment horizontal="right" indent="1"/>
    </xf>
    <xf numFmtId="173" fontId="23" fillId="16" borderId="1" xfId="5" applyNumberFormat="1" applyFont="1" applyFill="1" applyBorder="1" applyAlignment="1" applyProtection="1">
      <alignment horizontal="center"/>
    </xf>
    <xf numFmtId="0" fontId="35" fillId="9" borderId="23" xfId="0" applyFont="1" applyFill="1" applyBorder="1"/>
    <xf numFmtId="3" fontId="35" fillId="22" borderId="1" xfId="0" applyNumberFormat="1" applyFont="1" applyFill="1" applyBorder="1" applyAlignment="1">
      <alignment horizontal="right" indent="1"/>
    </xf>
    <xf numFmtId="3" fontId="35" fillId="23" borderId="1" xfId="0" applyNumberFormat="1" applyFont="1" applyFill="1" applyBorder="1" applyAlignment="1">
      <alignment horizontal="right" indent="1"/>
    </xf>
    <xf numFmtId="9" fontId="35" fillId="16" borderId="1" xfId="5" applyFont="1" applyFill="1" applyBorder="1" applyAlignment="1" applyProtection="1">
      <alignment horizontal="center"/>
    </xf>
    <xf numFmtId="0" fontId="35" fillId="9" borderId="1" xfId="0" applyFont="1" applyFill="1" applyBorder="1" applyAlignment="1">
      <alignment horizontal="left"/>
    </xf>
    <xf numFmtId="173" fontId="23" fillId="18" borderId="1" xfId="5" applyNumberFormat="1" applyFont="1" applyFill="1" applyBorder="1" applyAlignment="1" applyProtection="1">
      <alignment horizontal="left"/>
    </xf>
    <xf numFmtId="0" fontId="35" fillId="22" borderId="23" xfId="0" applyFont="1" applyFill="1" applyBorder="1"/>
    <xf numFmtId="0" fontId="35" fillId="22" borderId="24" xfId="0" applyFont="1" applyFill="1" applyBorder="1" applyAlignment="1">
      <alignment horizontal="center"/>
    </xf>
    <xf numFmtId="0" fontId="35" fillId="22" borderId="32" xfId="0" applyFont="1" applyFill="1" applyBorder="1"/>
    <xf numFmtId="0" fontId="35" fillId="23" borderId="23" xfId="0" applyFont="1" applyFill="1" applyBorder="1"/>
    <xf numFmtId="0" fontId="35" fillId="23" borderId="24" xfId="0" applyFont="1" applyFill="1" applyBorder="1" applyAlignment="1">
      <alignment horizontal="center"/>
    </xf>
    <xf numFmtId="0" fontId="35" fillId="23" borderId="32" xfId="0" applyFont="1" applyFill="1" applyBorder="1"/>
    <xf numFmtId="0" fontId="35" fillId="16" borderId="23" xfId="0" applyFont="1" applyFill="1" applyBorder="1"/>
    <xf numFmtId="0" fontId="35" fillId="16" borderId="24" xfId="0" applyFont="1" applyFill="1" applyBorder="1" applyAlignment="1">
      <alignment horizontal="center"/>
    </xf>
    <xf numFmtId="0" fontId="35" fillId="16" borderId="32" xfId="0" applyFont="1" applyFill="1" applyBorder="1"/>
    <xf numFmtId="0" fontId="35" fillId="12" borderId="1" xfId="0" applyFont="1" applyFill="1" applyBorder="1" applyAlignment="1">
      <alignment horizontal="left"/>
    </xf>
    <xf numFmtId="0" fontId="35" fillId="22" borderId="14" xfId="0" applyFont="1" applyFill="1" applyBorder="1" applyAlignment="1">
      <alignment horizontal="center"/>
    </xf>
    <xf numFmtId="0" fontId="23" fillId="9" borderId="1" xfId="0" applyFont="1" applyFill="1" applyBorder="1" applyAlignment="1">
      <alignment horizontal="left"/>
    </xf>
    <xf numFmtId="171" fontId="23" fillId="22" borderId="1" xfId="0" applyNumberFormat="1" applyFont="1" applyFill="1" applyBorder="1"/>
    <xf numFmtId="171" fontId="23" fillId="23" borderId="1" xfId="0" applyNumberFormat="1" applyFont="1" applyFill="1" applyBorder="1"/>
    <xf numFmtId="9" fontId="23" fillId="16" borderId="1" xfId="5" applyFont="1" applyFill="1" applyBorder="1" applyAlignment="1" applyProtection="1">
      <alignment horizontal="center"/>
    </xf>
    <xf numFmtId="0" fontId="39" fillId="9" borderId="0" xfId="0" applyFont="1" applyFill="1"/>
    <xf numFmtId="168" fontId="23" fillId="23" borderId="1" xfId="0" applyNumberFormat="1" applyFont="1" applyFill="1" applyBorder="1" applyAlignment="1">
      <alignment horizontal="right" indent="1"/>
    </xf>
    <xf numFmtId="168" fontId="35" fillId="23" borderId="1" xfId="0" applyNumberFormat="1" applyFont="1" applyFill="1" applyBorder="1" applyAlignment="1">
      <alignment horizontal="right" indent="1"/>
    </xf>
    <xf numFmtId="1" fontId="23" fillId="9" borderId="0" xfId="0" applyNumberFormat="1" applyFont="1" applyFill="1"/>
    <xf numFmtId="1" fontId="37" fillId="9" borderId="0" xfId="0" applyNumberFormat="1" applyFont="1" applyFill="1"/>
    <xf numFmtId="0" fontId="35" fillId="23" borderId="23" xfId="0" applyFont="1" applyFill="1" applyBorder="1" applyAlignment="1">
      <alignment horizontal="center"/>
    </xf>
    <xf numFmtId="168" fontId="35" fillId="23" borderId="1" xfId="0" applyNumberFormat="1" applyFont="1" applyFill="1" applyBorder="1" applyAlignment="1">
      <alignment horizontal="center"/>
    </xf>
    <xf numFmtId="171" fontId="23" fillId="23" borderId="1" xfId="0" applyNumberFormat="1" applyFont="1" applyFill="1" applyBorder="1" applyAlignment="1">
      <alignment horizontal="right" indent="1"/>
    </xf>
    <xf numFmtId="0" fontId="8" fillId="3" borderId="23" xfId="3" applyFont="1" applyFill="1" applyBorder="1" applyAlignment="1">
      <alignment horizontal="center"/>
    </xf>
    <xf numFmtId="0" fontId="0" fillId="3" borderId="0" xfId="0" applyFill="1"/>
    <xf numFmtId="166" fontId="1" fillId="7" borderId="1" xfId="1" applyNumberFormat="1" applyFont="1" applyFill="1" applyBorder="1" applyAlignment="1" applyProtection="1">
      <alignment horizontal="right"/>
      <protection locked="0"/>
    </xf>
    <xf numFmtId="0" fontId="0" fillId="0" borderId="5" xfId="0" applyBorder="1"/>
    <xf numFmtId="0" fontId="23" fillId="2" borderId="5" xfId="0" applyFont="1" applyFill="1" applyBorder="1"/>
    <xf numFmtId="0" fontId="23" fillId="2" borderId="9" xfId="0" applyFont="1" applyFill="1" applyBorder="1"/>
    <xf numFmtId="0" fontId="23" fillId="2" borderId="41" xfId="0" applyFont="1" applyFill="1" applyBorder="1"/>
    <xf numFmtId="0" fontId="0" fillId="27" borderId="1" xfId="0" applyFill="1" applyBorder="1" applyAlignment="1">
      <alignment horizontal="center"/>
    </xf>
    <xf numFmtId="0" fontId="0" fillId="27" borderId="1" xfId="0" applyFill="1" applyBorder="1"/>
    <xf numFmtId="0" fontId="0" fillId="27" borderId="1" xfId="0" applyFill="1" applyBorder="1" applyAlignment="1">
      <alignment horizontal="right"/>
    </xf>
    <xf numFmtId="0" fontId="0" fillId="27" borderId="0" xfId="0" applyFill="1"/>
    <xf numFmtId="0" fontId="0" fillId="27" borderId="1" xfId="0" applyFill="1" applyBorder="1" applyAlignment="1">
      <alignment wrapText="1"/>
    </xf>
    <xf numFmtId="164" fontId="0" fillId="27" borderId="1" xfId="0" applyNumberFormat="1" applyFill="1" applyBorder="1"/>
    <xf numFmtId="2" fontId="0" fillId="27" borderId="1" xfId="0" applyNumberFormat="1" applyFill="1" applyBorder="1" applyAlignment="1">
      <alignment wrapText="1"/>
    </xf>
    <xf numFmtId="167" fontId="32" fillId="0" borderId="0" xfId="0" applyNumberFormat="1" applyFont="1"/>
    <xf numFmtId="2" fontId="1" fillId="2" borderId="0" xfId="4" applyNumberFormat="1" applyFill="1" applyAlignment="1"/>
    <xf numFmtId="0" fontId="0" fillId="29" borderId="0" xfId="0" applyFill="1"/>
    <xf numFmtId="2" fontId="1" fillId="30" borderId="0" xfId="4" applyNumberFormat="1" applyFill="1" applyAlignment="1"/>
    <xf numFmtId="0" fontId="0" fillId="31" borderId="0" xfId="0" applyFill="1"/>
    <xf numFmtId="0" fontId="23" fillId="32" borderId="0" xfId="0" applyFont="1" applyFill="1"/>
    <xf numFmtId="0" fontId="0" fillId="33" borderId="0" xfId="0" applyFill="1"/>
    <xf numFmtId="0" fontId="23" fillId="34" borderId="0" xfId="0" applyFont="1" applyFill="1"/>
    <xf numFmtId="0" fontId="0" fillId="13" borderId="0" xfId="0" applyFill="1"/>
    <xf numFmtId="0" fontId="0" fillId="35" borderId="0" xfId="0" applyFill="1"/>
    <xf numFmtId="0" fontId="0" fillId="36" borderId="0" xfId="0" applyFill="1"/>
    <xf numFmtId="0" fontId="0" fillId="37" borderId="0" xfId="0" applyFill="1"/>
    <xf numFmtId="0" fontId="0" fillId="38" borderId="0" xfId="0" applyFill="1"/>
    <xf numFmtId="0" fontId="0" fillId="36" borderId="0" xfId="0" applyFill="1" applyAlignment="1">
      <alignment horizontal="left"/>
    </xf>
    <xf numFmtId="0" fontId="0" fillId="38" borderId="0" xfId="0" applyFill="1" applyAlignment="1">
      <alignment horizontal="left"/>
    </xf>
    <xf numFmtId="0" fontId="23" fillId="39" borderId="0" xfId="0" applyFont="1" applyFill="1"/>
    <xf numFmtId="0" fontId="0" fillId="40" borderId="0" xfId="0" applyFill="1"/>
    <xf numFmtId="0" fontId="25" fillId="24" borderId="1" xfId="0" applyFont="1" applyFill="1" applyBorder="1" applyAlignment="1">
      <alignment horizontal="center"/>
    </xf>
    <xf numFmtId="0" fontId="0" fillId="41" borderId="1" xfId="0" applyFill="1" applyBorder="1"/>
    <xf numFmtId="0" fontId="0" fillId="41" borderId="1" xfId="0" applyFill="1" applyBorder="1" applyAlignment="1">
      <alignment horizontal="center"/>
    </xf>
    <xf numFmtId="0" fontId="0" fillId="42" borderId="1" xfId="0" applyFill="1" applyBorder="1" applyAlignment="1">
      <alignment horizontal="right"/>
    </xf>
    <xf numFmtId="167" fontId="0" fillId="42" borderId="1" xfId="0" applyNumberFormat="1" applyFill="1" applyBorder="1"/>
    <xf numFmtId="0" fontId="0" fillId="42" borderId="1" xfId="0" applyFill="1" applyBorder="1"/>
    <xf numFmtId="9" fontId="0" fillId="42" borderId="1" xfId="5" applyFont="1" applyFill="1" applyBorder="1"/>
    <xf numFmtId="0" fontId="0" fillId="0" borderId="0" xfId="0" applyAlignment="1">
      <alignment horizontal="center"/>
    </xf>
    <xf numFmtId="4" fontId="1" fillId="7" borderId="38" xfId="1" applyNumberFormat="1" applyFont="1" applyFill="1" applyBorder="1" applyAlignment="1" applyProtection="1">
      <alignment horizontal="right" indent="1"/>
      <protection locked="0"/>
    </xf>
    <xf numFmtId="9" fontId="1" fillId="13" borderId="28" xfId="5" applyFont="1" applyFill="1" applyBorder="1" applyAlignment="1" applyProtection="1">
      <alignment horizontal="center"/>
    </xf>
    <xf numFmtId="0" fontId="8" fillId="0" borderId="57" xfId="3" applyFont="1" applyBorder="1" applyAlignment="1">
      <alignment horizontal="center" vertical="center"/>
    </xf>
    <xf numFmtId="0" fontId="8" fillId="0" borderId="52" xfId="3" applyFont="1" applyBorder="1" applyAlignment="1">
      <alignment horizontal="left" vertical="center" wrapText="1"/>
    </xf>
    <xf numFmtId="4" fontId="1" fillId="7" borderId="52" xfId="1" applyNumberFormat="1" applyFont="1" applyFill="1" applyBorder="1" applyAlignment="1" applyProtection="1">
      <alignment horizontal="right" indent="1"/>
      <protection locked="0"/>
    </xf>
    <xf numFmtId="2" fontId="1" fillId="14" borderId="52" xfId="3" applyNumberFormat="1" applyFill="1" applyBorder="1" applyAlignment="1" applyProtection="1">
      <alignment horizontal="center"/>
      <protection locked="0"/>
    </xf>
    <xf numFmtId="175" fontId="1" fillId="13" borderId="52" xfId="3" applyNumberFormat="1" applyFill="1" applyBorder="1" applyAlignment="1">
      <alignment horizontal="center"/>
    </xf>
    <xf numFmtId="2" fontId="1" fillId="13" borderId="52" xfId="3" applyNumberFormat="1" applyFill="1" applyBorder="1" applyAlignment="1">
      <alignment horizontal="center"/>
    </xf>
    <xf numFmtId="9" fontId="1" fillId="13" borderId="58" xfId="5" applyFont="1" applyFill="1" applyBorder="1" applyAlignment="1" applyProtection="1">
      <alignment horizontal="center"/>
    </xf>
    <xf numFmtId="167" fontId="1" fillId="7" borderId="58" xfId="1" applyNumberFormat="1" applyFont="1" applyFill="1" applyBorder="1" applyAlignment="1" applyProtection="1">
      <alignment horizontal="right" indent="1"/>
      <protection locked="0"/>
    </xf>
    <xf numFmtId="167" fontId="1" fillId="7" borderId="52" xfId="1" applyNumberFormat="1" applyFont="1" applyFill="1" applyBorder="1" applyAlignment="1" applyProtection="1">
      <alignment horizontal="right" indent="1"/>
      <protection locked="0"/>
    </xf>
    <xf numFmtId="3" fontId="1" fillId="4" borderId="6" xfId="3" applyNumberFormat="1" applyFill="1" applyBorder="1" applyAlignment="1">
      <alignment horizontal="center" vertical="center"/>
    </xf>
    <xf numFmtId="0" fontId="8" fillId="3" borderId="11" xfId="3" applyFont="1" applyFill="1" applyBorder="1" applyAlignment="1">
      <alignment horizontal="center" vertical="center"/>
    </xf>
    <xf numFmtId="0" fontId="8" fillId="3" borderId="1" xfId="3" applyFont="1" applyFill="1" applyBorder="1" applyAlignment="1">
      <alignment horizontal="left" vertical="center"/>
    </xf>
    <xf numFmtId="0" fontId="0" fillId="43" borderId="1" xfId="0" applyFill="1" applyBorder="1" applyAlignment="1">
      <alignment horizontal="center"/>
    </xf>
    <xf numFmtId="0" fontId="0" fillId="43" borderId="1" xfId="0" applyFill="1" applyBorder="1" applyAlignment="1">
      <alignment horizontal="right"/>
    </xf>
    <xf numFmtId="0" fontId="0" fillId="33" borderId="1" xfId="0" applyFill="1" applyBorder="1" applyAlignment="1">
      <alignment horizontal="center"/>
    </xf>
    <xf numFmtId="0" fontId="0" fillId="33" borderId="1" xfId="0" applyFill="1" applyBorder="1"/>
    <xf numFmtId="0" fontId="0" fillId="34" borderId="1" xfId="0" applyFill="1" applyBorder="1" applyAlignment="1">
      <alignment horizontal="center"/>
    </xf>
    <xf numFmtId="0" fontId="0" fillId="34" borderId="1" xfId="0" applyFill="1" applyBorder="1"/>
    <xf numFmtId="2" fontId="8" fillId="0" borderId="6" xfId="3" applyNumberFormat="1" applyFont="1" applyBorder="1" applyAlignment="1">
      <alignment horizontal="left" wrapText="1"/>
    </xf>
    <xf numFmtId="2" fontId="8" fillId="19" borderId="15" xfId="4" applyNumberFormat="1" applyFont="1" applyFill="1" applyBorder="1" applyAlignment="1">
      <alignment horizontal="center" vertical="center"/>
    </xf>
    <xf numFmtId="2" fontId="8" fillId="19" borderId="19" xfId="4" applyNumberFormat="1" applyFont="1" applyFill="1" applyBorder="1" applyAlignment="1">
      <alignment horizontal="center" vertical="center" wrapText="1"/>
    </xf>
    <xf numFmtId="0" fontId="31" fillId="9" borderId="0" xfId="0" applyFont="1" applyFill="1" applyAlignment="1">
      <alignment horizontal="left" vertical="top" wrapText="1"/>
    </xf>
    <xf numFmtId="0" fontId="63" fillId="0" borderId="0" xfId="6"/>
    <xf numFmtId="176" fontId="63" fillId="38" borderId="0" xfId="6" applyNumberFormat="1" applyFill="1"/>
    <xf numFmtId="176" fontId="63" fillId="23" borderId="0" xfId="6" applyNumberFormat="1" applyFill="1"/>
    <xf numFmtId="0" fontId="63" fillId="0" borderId="0" xfId="6" applyAlignment="1">
      <alignment horizontal="center"/>
    </xf>
    <xf numFmtId="0" fontId="64" fillId="0" borderId="0" xfId="6" applyFont="1"/>
    <xf numFmtId="0" fontId="65" fillId="0" borderId="0" xfId="7"/>
    <xf numFmtId="0" fontId="63" fillId="0" borderId="0" xfId="6" applyAlignment="1">
      <alignment horizontal="right"/>
    </xf>
    <xf numFmtId="0" fontId="73" fillId="0" borderId="0" xfId="6" applyFont="1"/>
    <xf numFmtId="0" fontId="63" fillId="38" borderId="0" xfId="6" applyFill="1"/>
    <xf numFmtId="176" fontId="63" fillId="0" borderId="0" xfId="6" applyNumberFormat="1"/>
    <xf numFmtId="177" fontId="23" fillId="22" borderId="1" xfId="0" applyNumberFormat="1" applyFont="1" applyFill="1" applyBorder="1" applyAlignment="1">
      <alignment horizontal="right" indent="1"/>
    </xf>
    <xf numFmtId="0" fontId="63" fillId="20" borderId="0" xfId="6" applyFill="1"/>
    <xf numFmtId="0" fontId="37" fillId="0" borderId="0" xfId="0" applyFont="1"/>
    <xf numFmtId="0" fontId="1" fillId="0" borderId="0" xfId="0" applyFont="1"/>
    <xf numFmtId="0" fontId="38" fillId="0" borderId="0" xfId="0" applyFont="1"/>
    <xf numFmtId="0" fontId="55" fillId="0" borderId="0" xfId="0" applyFont="1"/>
    <xf numFmtId="0" fontId="24" fillId="0" borderId="0" xfId="0" applyFont="1"/>
    <xf numFmtId="0" fontId="1" fillId="0" borderId="0" xfId="0" applyFont="1" applyAlignment="1">
      <alignment horizontal="right"/>
    </xf>
    <xf numFmtId="173" fontId="1" fillId="0" borderId="0" xfId="5" applyNumberFormat="1" applyFont="1" applyFill="1" applyBorder="1" applyProtection="1"/>
    <xf numFmtId="0" fontId="8" fillId="0" borderId="0" xfId="0" applyFont="1"/>
    <xf numFmtId="172" fontId="1" fillId="0" borderId="0" xfId="0" applyNumberFormat="1" applyFont="1"/>
    <xf numFmtId="174" fontId="1" fillId="0" borderId="0" xfId="5" applyNumberFormat="1" applyFont="1" applyFill="1" applyBorder="1" applyProtection="1"/>
    <xf numFmtId="0" fontId="56" fillId="0" borderId="0" xfId="0" applyFont="1"/>
    <xf numFmtId="168" fontId="1" fillId="0" borderId="0" xfId="0" applyNumberFormat="1" applyFont="1"/>
    <xf numFmtId="0" fontId="39" fillId="0" borderId="0" xfId="0" applyFont="1"/>
    <xf numFmtId="9" fontId="1" fillId="0" borderId="0" xfId="5" applyFont="1" applyFill="1" applyBorder="1" applyProtection="1"/>
    <xf numFmtId="164" fontId="61" fillId="0" borderId="0" xfId="0" applyNumberFormat="1" applyFont="1"/>
    <xf numFmtId="171" fontId="1" fillId="0" borderId="0" xfId="0" applyNumberFormat="1" applyFont="1"/>
    <xf numFmtId="4" fontId="1" fillId="18" borderId="6" xfId="1" applyNumberFormat="1" applyFont="1" applyFill="1" applyBorder="1" applyAlignment="1" applyProtection="1">
      <alignment horizontal="right" indent="1"/>
      <protection locked="0"/>
    </xf>
    <xf numFmtId="2" fontId="1" fillId="6" borderId="7" xfId="3" applyNumberFormat="1" applyFill="1" applyBorder="1" applyAlignment="1" applyProtection="1">
      <alignment horizontal="center"/>
      <protection locked="0"/>
    </xf>
    <xf numFmtId="9" fontId="1" fillId="13" borderId="43" xfId="5" applyFont="1" applyFill="1" applyBorder="1" applyAlignment="1" applyProtection="1">
      <alignment horizontal="center"/>
    </xf>
    <xf numFmtId="9" fontId="1" fillId="13" borderId="59" xfId="5" applyFont="1" applyFill="1" applyBorder="1" applyAlignment="1" applyProtection="1">
      <alignment horizontal="center"/>
    </xf>
    <xf numFmtId="9" fontId="1" fillId="13" borderId="25" xfId="5" applyFont="1" applyFill="1" applyBorder="1" applyAlignment="1" applyProtection="1">
      <alignment horizontal="center"/>
    </xf>
    <xf numFmtId="9" fontId="1" fillId="13" borderId="41" xfId="5" applyFont="1" applyFill="1" applyBorder="1" applyAlignment="1" applyProtection="1">
      <alignment horizontal="center"/>
    </xf>
    <xf numFmtId="9" fontId="1" fillId="13" borderId="9" xfId="5" applyFont="1" applyFill="1" applyBorder="1" applyAlignment="1" applyProtection="1">
      <alignment horizontal="center"/>
    </xf>
    <xf numFmtId="0" fontId="8" fillId="3" borderId="1" xfId="3" applyFont="1" applyFill="1" applyBorder="1" applyAlignment="1">
      <alignment horizontal="center" vertical="center" wrapText="1"/>
    </xf>
    <xf numFmtId="171" fontId="0" fillId="0" borderId="0" xfId="0" applyNumberFormat="1" applyAlignment="1">
      <alignment horizontal="right"/>
    </xf>
    <xf numFmtId="178" fontId="63" fillId="0" borderId="0" xfId="6" applyNumberFormat="1"/>
    <xf numFmtId="0" fontId="63" fillId="0" borderId="1" xfId="6" applyBorder="1"/>
    <xf numFmtId="0" fontId="63" fillId="26" borderId="1" xfId="6" applyFill="1" applyBorder="1"/>
    <xf numFmtId="167" fontId="1" fillId="7" borderId="14" xfId="1" applyNumberFormat="1" applyFont="1" applyFill="1" applyBorder="1" applyAlignment="1" applyProtection="1">
      <alignment horizontal="right" indent="1"/>
      <protection locked="0"/>
    </xf>
    <xf numFmtId="2" fontId="1" fillId="14" borderId="27" xfId="3" applyNumberFormat="1" applyFill="1" applyBorder="1" applyAlignment="1" applyProtection="1">
      <alignment horizontal="center"/>
      <protection locked="0"/>
    </xf>
    <xf numFmtId="2" fontId="1" fillId="14" borderId="53" xfId="3" applyNumberFormat="1" applyFill="1" applyBorder="1" applyAlignment="1" applyProtection="1">
      <alignment horizontal="center"/>
      <protection locked="0"/>
    </xf>
    <xf numFmtId="2" fontId="1" fillId="14" borderId="18" xfId="3" applyNumberFormat="1" applyFill="1" applyBorder="1" applyAlignment="1" applyProtection="1">
      <alignment horizontal="center"/>
      <protection locked="0"/>
    </xf>
    <xf numFmtId="2" fontId="1" fillId="14" borderId="7" xfId="3" applyNumberFormat="1" applyFill="1" applyBorder="1" applyAlignment="1" applyProtection="1">
      <alignment horizontal="center"/>
      <protection locked="0"/>
    </xf>
    <xf numFmtId="2" fontId="1" fillId="14" borderId="28" xfId="3" applyNumberFormat="1" applyFill="1" applyBorder="1" applyAlignment="1" applyProtection="1">
      <alignment horizontal="center"/>
      <protection locked="0"/>
    </xf>
    <xf numFmtId="2" fontId="1" fillId="14" borderId="56" xfId="3" applyNumberFormat="1" applyFill="1" applyBorder="1" applyAlignment="1" applyProtection="1">
      <alignment horizontal="center"/>
      <protection locked="0"/>
    </xf>
    <xf numFmtId="171" fontId="1" fillId="4" borderId="1" xfId="1" applyNumberFormat="1" applyFont="1" applyFill="1" applyBorder="1" applyAlignment="1" applyProtection="1">
      <alignment horizontal="center"/>
    </xf>
    <xf numFmtId="171" fontId="1" fillId="4" borderId="18" xfId="1" applyNumberFormat="1" applyFont="1" applyFill="1" applyBorder="1" applyAlignment="1" applyProtection="1">
      <alignment horizontal="center"/>
    </xf>
    <xf numFmtId="171" fontId="1" fillId="4" borderId="6" xfId="1" applyNumberFormat="1" applyFont="1" applyFill="1" applyBorder="1" applyAlignment="1" applyProtection="1">
      <alignment horizontal="center"/>
    </xf>
    <xf numFmtId="0" fontId="25" fillId="2" borderId="0" xfId="0" applyFont="1" applyFill="1" applyAlignment="1">
      <alignment horizontal="center"/>
    </xf>
    <xf numFmtId="171" fontId="1" fillId="4" borderId="7" xfId="1" applyNumberFormat="1" applyFont="1" applyFill="1" applyBorder="1" applyAlignment="1" applyProtection="1">
      <alignment horizontal="center"/>
    </xf>
    <xf numFmtId="4" fontId="1" fillId="18" borderId="1" xfId="1" applyNumberFormat="1" applyFont="1" applyFill="1" applyBorder="1" applyAlignment="1" applyProtection="1">
      <alignment horizontal="right" indent="1"/>
      <protection locked="0"/>
    </xf>
    <xf numFmtId="171" fontId="1" fillId="13" borderId="1" xfId="1" applyNumberFormat="1" applyFont="1" applyFill="1" applyBorder="1" applyAlignment="1" applyProtection="1">
      <alignment horizontal="right"/>
    </xf>
    <xf numFmtId="171" fontId="1" fillId="13" borderId="6" xfId="1" applyNumberFormat="1" applyFont="1" applyFill="1" applyBorder="1" applyAlignment="1" applyProtection="1">
      <alignment horizontal="right"/>
    </xf>
    <xf numFmtId="4" fontId="1" fillId="13" borderId="31" xfId="1" applyNumberFormat="1" applyFont="1" applyFill="1" applyBorder="1" applyAlignment="1" applyProtection="1">
      <alignment horizontal="right" indent="1"/>
    </xf>
    <xf numFmtId="167" fontId="1" fillId="13" borderId="6" xfId="1" applyNumberFormat="1" applyFont="1" applyFill="1" applyBorder="1" applyAlignment="1" applyProtection="1">
      <alignment horizontal="right" indent="1"/>
    </xf>
    <xf numFmtId="0" fontId="8" fillId="9" borderId="6" xfId="3" applyFont="1" applyFill="1" applyBorder="1" applyAlignment="1">
      <alignment horizontal="left" vertical="center" wrapText="1"/>
    </xf>
    <xf numFmtId="0" fontId="8" fillId="9" borderId="13" xfId="3" applyFont="1" applyFill="1" applyBorder="1" applyAlignment="1">
      <alignment horizontal="center" vertical="center"/>
    </xf>
    <xf numFmtId="0" fontId="23" fillId="9" borderId="1" xfId="0" applyFont="1" applyFill="1" applyBorder="1" applyAlignment="1">
      <alignment horizontal="left" wrapText="1"/>
    </xf>
    <xf numFmtId="0" fontId="35" fillId="9" borderId="1" xfId="0" applyFont="1" applyFill="1" applyBorder="1" applyAlignment="1">
      <alignment horizontal="left" wrapText="1"/>
    </xf>
    <xf numFmtId="4" fontId="1" fillId="13" borderId="62" xfId="1" applyNumberFormat="1" applyFont="1" applyFill="1" applyBorder="1" applyAlignment="1" applyProtection="1">
      <alignment horizontal="right" indent="1"/>
    </xf>
    <xf numFmtId="0" fontId="8" fillId="3" borderId="11" xfId="3" applyFont="1" applyFill="1" applyBorder="1" applyAlignment="1">
      <alignment horizontal="center" wrapText="1"/>
    </xf>
    <xf numFmtId="0" fontId="8" fillId="3" borderId="1" xfId="3" applyFont="1" applyFill="1" applyBorder="1" applyAlignment="1">
      <alignment horizontal="left" wrapText="1"/>
    </xf>
    <xf numFmtId="0" fontId="8" fillId="3" borderId="1" xfId="3" applyFont="1" applyFill="1" applyBorder="1" applyAlignment="1">
      <alignment horizontal="center" wrapText="1"/>
    </xf>
    <xf numFmtId="0" fontId="8" fillId="3" borderId="14" xfId="3" applyFont="1" applyFill="1" applyBorder="1" applyAlignment="1">
      <alignment horizontal="center" wrapText="1"/>
    </xf>
    <xf numFmtId="2" fontId="8" fillId="3" borderId="14" xfId="3" applyNumberFormat="1" applyFont="1" applyFill="1" applyBorder="1" applyAlignment="1">
      <alignment horizontal="center" wrapText="1"/>
    </xf>
    <xf numFmtId="2" fontId="8" fillId="3" borderId="1" xfId="3" applyNumberFormat="1" applyFont="1" applyFill="1" applyBorder="1" applyAlignment="1">
      <alignment horizontal="center" wrapText="1"/>
    </xf>
    <xf numFmtId="2" fontId="8" fillId="3" borderId="19" xfId="3" applyNumberFormat="1" applyFont="1" applyFill="1" applyBorder="1" applyAlignment="1">
      <alignment horizontal="center" wrapText="1"/>
    </xf>
    <xf numFmtId="167" fontId="1" fillId="13" borderId="16" xfId="1" applyNumberFormat="1" applyFont="1" applyFill="1" applyBorder="1" applyAlignment="1" applyProtection="1">
      <alignment horizontal="center"/>
    </xf>
    <xf numFmtId="167" fontId="1" fillId="13" borderId="60" xfId="1" applyNumberFormat="1" applyFont="1" applyFill="1" applyBorder="1" applyAlignment="1" applyProtection="1">
      <alignment horizontal="center"/>
    </xf>
    <xf numFmtId="167" fontId="1" fillId="13" borderId="61" xfId="1" applyNumberFormat="1" applyFont="1" applyFill="1" applyBorder="1" applyAlignment="1" applyProtection="1">
      <alignment horizontal="center"/>
    </xf>
    <xf numFmtId="167" fontId="1" fillId="13" borderId="24" xfId="1" applyNumberFormat="1" applyFont="1" applyFill="1" applyBorder="1" applyAlignment="1" applyProtection="1">
      <alignment horizontal="center"/>
    </xf>
    <xf numFmtId="167" fontId="1" fillId="13" borderId="21" xfId="1" applyNumberFormat="1" applyFont="1" applyFill="1" applyBorder="1" applyAlignment="1" applyProtection="1">
      <alignment horizontal="center"/>
    </xf>
    <xf numFmtId="167" fontId="1" fillId="13" borderId="0" xfId="1" applyNumberFormat="1" applyFont="1" applyFill="1" applyBorder="1" applyAlignment="1" applyProtection="1">
      <alignment horizontal="center"/>
    </xf>
    <xf numFmtId="167" fontId="1" fillId="13" borderId="52" xfId="1" applyNumberFormat="1" applyFont="1" applyFill="1" applyBorder="1" applyAlignment="1" applyProtection="1">
      <alignment horizontal="center"/>
    </xf>
    <xf numFmtId="0" fontId="47" fillId="26" borderId="1" xfId="2" applyFont="1" applyFill="1" applyBorder="1" applyAlignment="1" applyProtection="1">
      <alignment horizontal="center" vertical="center" wrapText="1"/>
      <protection locked="0"/>
    </xf>
    <xf numFmtId="9" fontId="47" fillId="20" borderId="1" xfId="5" applyFont="1" applyFill="1" applyBorder="1" applyAlignment="1" applyProtection="1">
      <alignment horizontal="center" vertical="center" wrapText="1"/>
      <protection locked="0"/>
    </xf>
    <xf numFmtId="0" fontId="47" fillId="26" borderId="6" xfId="2" applyFont="1" applyFill="1" applyBorder="1" applyAlignment="1" applyProtection="1">
      <alignment horizontal="center" vertical="center" wrapText="1"/>
      <protection locked="0"/>
    </xf>
    <xf numFmtId="0" fontId="47" fillId="26" borderId="1" xfId="2" applyFont="1" applyFill="1" applyBorder="1" applyAlignment="1" applyProtection="1">
      <alignment horizontal="center" wrapText="1"/>
      <protection locked="0"/>
    </xf>
    <xf numFmtId="0" fontId="46" fillId="0" borderId="63" xfId="2" applyFont="1" applyBorder="1" applyAlignment="1">
      <alignment horizontal="center" vertical="center"/>
    </xf>
    <xf numFmtId="0" fontId="46" fillId="0" borderId="36" xfId="2" applyFont="1" applyBorder="1" applyAlignment="1">
      <alignment horizontal="center" vertical="center"/>
    </xf>
    <xf numFmtId="0" fontId="45" fillId="0" borderId="36" xfId="2" applyFont="1" applyBorder="1" applyAlignment="1">
      <alignment horizontal="center" vertical="center"/>
    </xf>
    <xf numFmtId="0" fontId="45" fillId="0" borderId="37" xfId="2" applyFont="1" applyBorder="1" applyAlignment="1">
      <alignment horizontal="center" vertical="center"/>
    </xf>
    <xf numFmtId="0" fontId="45" fillId="25" borderId="11" xfId="2" applyFont="1" applyFill="1" applyBorder="1" applyAlignment="1">
      <alignment horizontal="center" vertical="top"/>
    </xf>
    <xf numFmtId="0" fontId="47" fillId="25" borderId="1" xfId="2" applyFont="1" applyFill="1" applyBorder="1" applyAlignment="1">
      <alignment horizontal="left" vertical="top" wrapText="1"/>
    </xf>
    <xf numFmtId="0" fontId="45" fillId="25" borderId="1" xfId="2" applyFont="1" applyFill="1" applyBorder="1"/>
    <xf numFmtId="0" fontId="47" fillId="25" borderId="1" xfId="2" applyFont="1" applyFill="1" applyBorder="1"/>
    <xf numFmtId="0" fontId="47" fillId="25" borderId="18" xfId="2" applyFont="1" applyFill="1" applyBorder="1"/>
    <xf numFmtId="0" fontId="45" fillId="25" borderId="11" xfId="2" applyFont="1" applyFill="1" applyBorder="1" applyAlignment="1">
      <alignment horizontal="left" vertical="top" indent="3"/>
    </xf>
    <xf numFmtId="0" fontId="47" fillId="4" borderId="1" xfId="2" applyFont="1" applyFill="1" applyBorder="1" applyAlignment="1">
      <alignment horizontal="left" vertical="top" wrapText="1"/>
    </xf>
    <xf numFmtId="1" fontId="47" fillId="0" borderId="1" xfId="2" applyNumberFormat="1" applyFont="1" applyBorder="1" applyAlignment="1">
      <alignment horizontal="center" vertical="center" wrapText="1"/>
    </xf>
    <xf numFmtId="0" fontId="47" fillId="0" borderId="1" xfId="2" applyFont="1" applyBorder="1" applyAlignment="1">
      <alignment horizontal="left" vertical="top" wrapText="1"/>
    </xf>
    <xf numFmtId="0" fontId="45" fillId="25" borderId="1" xfId="2" applyFont="1" applyFill="1" applyBorder="1" applyAlignment="1">
      <alignment horizontal="left" vertical="top" wrapText="1"/>
    </xf>
    <xf numFmtId="0" fontId="45" fillId="25" borderId="1" xfId="2" applyFont="1" applyFill="1" applyBorder="1" applyAlignment="1">
      <alignment horizontal="center" vertical="center" wrapText="1"/>
    </xf>
    <xf numFmtId="1" fontId="47" fillId="25" borderId="1" xfId="2" applyNumberFormat="1" applyFont="1" applyFill="1" applyBorder="1" applyAlignment="1">
      <alignment horizontal="center" vertical="center" wrapText="1"/>
    </xf>
    <xf numFmtId="0" fontId="47" fillId="13" borderId="1" xfId="2" applyFont="1" applyFill="1" applyBorder="1" applyAlignment="1">
      <alignment horizontal="left" vertical="top" wrapText="1"/>
    </xf>
    <xf numFmtId="0" fontId="45" fillId="25" borderId="11" xfId="2" applyFont="1" applyFill="1" applyBorder="1" applyAlignment="1">
      <alignment horizontal="right"/>
    </xf>
    <xf numFmtId="0" fontId="47" fillId="8" borderId="1" xfId="2" applyFont="1" applyFill="1" applyBorder="1" applyAlignment="1">
      <alignment horizontal="right" wrapText="1"/>
    </xf>
    <xf numFmtId="0" fontId="1" fillId="9" borderId="10" xfId="2" applyFill="1" applyBorder="1"/>
    <xf numFmtId="0" fontId="1" fillId="9" borderId="0" xfId="2" applyFill="1"/>
    <xf numFmtId="0" fontId="1" fillId="0" borderId="0" xfId="2"/>
    <xf numFmtId="0" fontId="45" fillId="25" borderId="1" xfId="2" applyFont="1" applyFill="1" applyBorder="1" applyAlignment="1">
      <alignment horizontal="right" vertical="top" wrapText="1"/>
    </xf>
    <xf numFmtId="1" fontId="47" fillId="25" borderId="1" xfId="2" applyNumberFormat="1" applyFont="1" applyFill="1" applyBorder="1" applyAlignment="1">
      <alignment horizontal="center" wrapText="1"/>
    </xf>
    <xf numFmtId="0" fontId="1" fillId="22" borderId="0" xfId="2" applyFill="1"/>
    <xf numFmtId="0" fontId="45" fillId="25" borderId="11" xfId="2" applyFont="1" applyFill="1" applyBorder="1" applyAlignment="1">
      <alignment horizontal="right" vertical="top"/>
    </xf>
    <xf numFmtId="0" fontId="47" fillId="8" borderId="1" xfId="2" applyFont="1" applyFill="1" applyBorder="1" applyAlignment="1">
      <alignment horizontal="right" vertical="top" wrapText="1"/>
    </xf>
    <xf numFmtId="0" fontId="47" fillId="4" borderId="6" xfId="2" applyFont="1" applyFill="1" applyBorder="1" applyAlignment="1">
      <alignment horizontal="left" vertical="top" wrapText="1"/>
    </xf>
    <xf numFmtId="1" fontId="47" fillId="0" borderId="6" xfId="2" applyNumberFormat="1" applyFont="1" applyBorder="1" applyAlignment="1">
      <alignment horizontal="center" vertical="center" wrapText="1"/>
    </xf>
    <xf numFmtId="0" fontId="45" fillId="9" borderId="0" xfId="2" applyFont="1" applyFill="1" applyAlignment="1">
      <alignment horizontal="center" vertical="top"/>
    </xf>
    <xf numFmtId="0" fontId="47" fillId="9" borderId="0" xfId="2" applyFont="1" applyFill="1" applyAlignment="1">
      <alignment horizontal="left" vertical="top" wrapText="1"/>
    </xf>
    <xf numFmtId="1" fontId="47" fillId="9" borderId="0" xfId="2" applyNumberFormat="1" applyFont="1" applyFill="1" applyAlignment="1">
      <alignment horizontal="left" vertical="top" wrapText="1"/>
    </xf>
    <xf numFmtId="0" fontId="47" fillId="9" borderId="0" xfId="2" applyFont="1" applyFill="1"/>
    <xf numFmtId="0" fontId="45" fillId="9" borderId="0" xfId="2" applyFont="1" applyFill="1" applyAlignment="1">
      <alignment horizontal="center"/>
    </xf>
    <xf numFmtId="0" fontId="47" fillId="9" borderId="20" xfId="2" applyFont="1" applyFill="1" applyBorder="1"/>
    <xf numFmtId="1" fontId="47" fillId="9" borderId="20" xfId="2" applyNumberFormat="1" applyFont="1" applyFill="1" applyBorder="1"/>
    <xf numFmtId="1" fontId="47" fillId="9" borderId="9" xfId="2" applyNumberFormat="1" applyFont="1" applyFill="1" applyBorder="1"/>
    <xf numFmtId="179" fontId="1" fillId="0" borderId="0" xfId="0" applyNumberFormat="1" applyFont="1"/>
    <xf numFmtId="0" fontId="35" fillId="9" borderId="0" xfId="0" applyFont="1" applyFill="1"/>
    <xf numFmtId="166" fontId="1" fillId="7" borderId="31" xfId="1" applyNumberFormat="1" applyFont="1" applyFill="1" applyBorder="1" applyAlignment="1" applyProtection="1">
      <alignment horizontal="right"/>
      <protection locked="0"/>
    </xf>
    <xf numFmtId="2" fontId="8" fillId="3" borderId="39" xfId="3" applyNumberFormat="1" applyFont="1" applyFill="1" applyBorder="1" applyAlignment="1">
      <alignment horizontal="right"/>
    </xf>
    <xf numFmtId="2" fontId="8" fillId="3" borderId="51" xfId="3" applyNumberFormat="1" applyFont="1" applyFill="1" applyBorder="1" applyAlignment="1">
      <alignment horizontal="right"/>
    </xf>
    <xf numFmtId="9" fontId="1" fillId="4" borderId="7" xfId="5" applyFont="1" applyFill="1" applyBorder="1" applyAlignment="1" applyProtection="1">
      <alignment horizontal="center"/>
    </xf>
    <xf numFmtId="0" fontId="0" fillId="0" borderId="1" xfId="0" applyBorder="1" applyAlignment="1">
      <alignment horizontal="center"/>
    </xf>
    <xf numFmtId="3" fontId="0" fillId="9" borderId="0" xfId="0" applyNumberFormat="1" applyFill="1"/>
    <xf numFmtId="0" fontId="0" fillId="46" borderId="1" xfId="0" applyFill="1" applyBorder="1"/>
    <xf numFmtId="165" fontId="0" fillId="46" borderId="1" xfId="0" applyNumberFormat="1" applyFill="1" applyBorder="1"/>
    <xf numFmtId="175" fontId="0" fillId="46" borderId="1" xfId="0" applyNumberFormat="1" applyFill="1" applyBorder="1"/>
    <xf numFmtId="0" fontId="24" fillId="18" borderId="1" xfId="0" applyFont="1" applyFill="1" applyBorder="1" applyAlignment="1" applyProtection="1">
      <alignment horizontal="left"/>
      <protection locked="0"/>
    </xf>
    <xf numFmtId="0" fontId="78" fillId="9" borderId="0" xfId="0" applyFont="1" applyFill="1"/>
    <xf numFmtId="0" fontId="23" fillId="27" borderId="0" xfId="0" applyFont="1" applyFill="1"/>
    <xf numFmtId="0" fontId="34" fillId="0" borderId="0" xfId="0" applyFont="1"/>
    <xf numFmtId="0" fontId="80" fillId="2" borderId="0" xfId="0" applyFont="1" applyFill="1"/>
    <xf numFmtId="0" fontId="81" fillId="0" borderId="0" xfId="0" applyFont="1"/>
    <xf numFmtId="167" fontId="1" fillId="13" borderId="46" xfId="1" applyNumberFormat="1" applyFont="1" applyFill="1" applyBorder="1" applyAlignment="1" applyProtection="1">
      <alignment horizontal="right" indent="1"/>
    </xf>
    <xf numFmtId="2" fontId="1" fillId="13" borderId="53" xfId="3" applyNumberFormat="1" applyFill="1" applyBorder="1" applyAlignment="1">
      <alignment horizontal="center"/>
    </xf>
    <xf numFmtId="2" fontId="1" fillId="13" borderId="42" xfId="3" applyNumberFormat="1" applyFill="1" applyBorder="1" applyAlignment="1">
      <alignment horizontal="center"/>
    </xf>
    <xf numFmtId="173" fontId="1" fillId="7" borderId="1" xfId="5" applyNumberFormat="1" applyFont="1" applyFill="1" applyBorder="1" applyAlignment="1" applyProtection="1">
      <alignment horizontal="right" indent="1"/>
      <protection locked="0"/>
    </xf>
    <xf numFmtId="0" fontId="8" fillId="9" borderId="23" xfId="3" applyFont="1" applyFill="1" applyBorder="1" applyAlignment="1">
      <alignment horizontal="right" vertical="center"/>
    </xf>
    <xf numFmtId="4" fontId="1" fillId="13" borderId="1" xfId="3" applyNumberFormat="1" applyFill="1" applyBorder="1" applyAlignment="1">
      <alignment horizontal="left" indent="1"/>
    </xf>
    <xf numFmtId="4" fontId="1" fillId="13" borderId="33" xfId="1" applyNumberFormat="1" applyFont="1" applyFill="1" applyBorder="1" applyAlignment="1" applyProtection="1">
      <alignment horizontal="left" indent="1"/>
    </xf>
    <xf numFmtId="4" fontId="1" fillId="7" borderId="1" xfId="1" applyNumberFormat="1" applyFont="1" applyFill="1" applyBorder="1" applyAlignment="1" applyProtection="1">
      <alignment horizontal="left" indent="1"/>
      <protection locked="0"/>
    </xf>
    <xf numFmtId="4" fontId="1" fillId="7" borderId="6" xfId="1" applyNumberFormat="1" applyFont="1" applyFill="1" applyBorder="1" applyAlignment="1" applyProtection="1">
      <alignment horizontal="left" indent="1"/>
      <protection locked="0"/>
    </xf>
    <xf numFmtId="166" fontId="0" fillId="9" borderId="0" xfId="0" applyNumberFormat="1" applyFill="1" applyAlignment="1">
      <alignment horizontal="left"/>
    </xf>
    <xf numFmtId="167" fontId="0" fillId="9" borderId="0" xfId="0" applyNumberFormat="1" applyFill="1" applyAlignment="1">
      <alignment horizontal="left"/>
    </xf>
    <xf numFmtId="0" fontId="0" fillId="9" borderId="1" xfId="0" applyFill="1" applyBorder="1" applyAlignment="1">
      <alignment horizontal="left"/>
    </xf>
    <xf numFmtId="167" fontId="1" fillId="9" borderId="61" xfId="1" applyNumberFormat="1" applyFont="1" applyFill="1" applyBorder="1" applyAlignment="1" applyProtection="1">
      <alignment horizontal="center"/>
    </xf>
    <xf numFmtId="167" fontId="1" fillId="9" borderId="0" xfId="1" applyNumberFormat="1" applyFont="1" applyFill="1" applyBorder="1" applyAlignment="1" applyProtection="1">
      <alignment horizontal="center"/>
    </xf>
    <xf numFmtId="167" fontId="1" fillId="9" borderId="16" xfId="1" applyNumberFormat="1" applyFont="1" applyFill="1" applyBorder="1" applyAlignment="1" applyProtection="1">
      <alignment horizontal="center"/>
    </xf>
    <xf numFmtId="0" fontId="8" fillId="9" borderId="32" xfId="3" applyFont="1" applyFill="1" applyBorder="1" applyAlignment="1">
      <alignment horizontal="right" vertical="center"/>
    </xf>
    <xf numFmtId="0" fontId="8" fillId="9" borderId="51" xfId="3" applyFont="1" applyFill="1" applyBorder="1" applyAlignment="1">
      <alignment horizontal="right" vertical="center"/>
    </xf>
    <xf numFmtId="173" fontId="1" fillId="7" borderId="6" xfId="5" applyNumberFormat="1" applyFont="1" applyFill="1" applyBorder="1" applyAlignment="1" applyProtection="1">
      <alignment horizontal="right" indent="1"/>
      <protection locked="0"/>
    </xf>
    <xf numFmtId="0" fontId="1" fillId="9" borderId="23" xfId="3" applyFill="1" applyBorder="1" applyAlignment="1">
      <alignment horizontal="right" vertical="center"/>
    </xf>
    <xf numFmtId="4" fontId="1" fillId="7" borderId="26" xfId="1" applyNumberFormat="1" applyFont="1" applyFill="1" applyBorder="1" applyAlignment="1" applyProtection="1">
      <alignment horizontal="left" indent="1"/>
      <protection locked="0"/>
    </xf>
    <xf numFmtId="4" fontId="1" fillId="7" borderId="32" xfId="1" applyNumberFormat="1" applyFont="1" applyFill="1" applyBorder="1" applyAlignment="1" applyProtection="1">
      <alignment horizontal="left" indent="1"/>
      <protection locked="0"/>
    </xf>
    <xf numFmtId="0" fontId="1" fillId="9" borderId="23" xfId="3" applyFill="1" applyBorder="1" applyAlignment="1">
      <alignment horizontal="left" vertical="center" indent="10"/>
    </xf>
    <xf numFmtId="0" fontId="1" fillId="9" borderId="42" xfId="3" applyFill="1" applyBorder="1" applyAlignment="1">
      <alignment horizontal="left" vertical="center" indent="10"/>
    </xf>
    <xf numFmtId="4" fontId="1" fillId="9" borderId="54" xfId="1" applyNumberFormat="1" applyFont="1" applyFill="1" applyBorder="1" applyAlignment="1" applyProtection="1">
      <alignment horizontal="left" indent="1"/>
    </xf>
    <xf numFmtId="4" fontId="1" fillId="9" borderId="61" xfId="1" applyNumberFormat="1" applyFont="1" applyFill="1" applyBorder="1" applyAlignment="1" applyProtection="1">
      <alignment horizontal="left" indent="1"/>
    </xf>
    <xf numFmtId="2" fontId="1" fillId="9" borderId="59" xfId="3" applyNumberFormat="1" applyFill="1" applyBorder="1" applyAlignment="1">
      <alignment horizontal="center"/>
    </xf>
    <xf numFmtId="4" fontId="1" fillId="9" borderId="44" xfId="1" applyNumberFormat="1" applyFont="1" applyFill="1" applyBorder="1" applyAlignment="1" applyProtection="1">
      <alignment horizontal="left" indent="1"/>
    </xf>
    <xf numFmtId="4" fontId="1" fillId="9" borderId="0" xfId="1" applyNumberFormat="1" applyFont="1" applyFill="1" applyBorder="1" applyAlignment="1" applyProtection="1">
      <alignment horizontal="left" indent="1"/>
    </xf>
    <xf numFmtId="2" fontId="1" fillId="9" borderId="41" xfId="3" applyNumberFormat="1" applyFill="1" applyBorder="1" applyAlignment="1">
      <alignment horizontal="center"/>
    </xf>
    <xf numFmtId="4" fontId="1" fillId="9" borderId="50" xfId="1" applyNumberFormat="1" applyFont="1" applyFill="1" applyBorder="1" applyAlignment="1" applyProtection="1">
      <alignment horizontal="left" indent="1"/>
    </xf>
    <xf numFmtId="4" fontId="1" fillId="9" borderId="16" xfId="1" applyNumberFormat="1" applyFont="1" applyFill="1" applyBorder="1" applyAlignment="1" applyProtection="1">
      <alignment horizontal="left" indent="1"/>
    </xf>
    <xf numFmtId="2" fontId="1" fillId="9" borderId="19" xfId="3" applyNumberFormat="1" applyFill="1" applyBorder="1" applyAlignment="1">
      <alignment horizontal="center"/>
    </xf>
    <xf numFmtId="173" fontId="1" fillId="7" borderId="31" xfId="5" applyNumberFormat="1" applyFont="1" applyFill="1" applyBorder="1" applyAlignment="1" applyProtection="1">
      <alignment horizontal="right" indent="1"/>
      <protection locked="0"/>
    </xf>
    <xf numFmtId="4" fontId="1" fillId="13" borderId="31" xfId="3" applyNumberFormat="1" applyFill="1" applyBorder="1" applyAlignment="1">
      <alignment horizontal="right" indent="1"/>
    </xf>
    <xf numFmtId="0" fontId="8" fillId="0" borderId="63" xfId="3" applyFont="1" applyBorder="1" applyAlignment="1">
      <alignment horizontal="center" vertical="center"/>
    </xf>
    <xf numFmtId="0" fontId="8" fillId="0" borderId="36" xfId="3" applyFont="1" applyBorder="1" applyAlignment="1">
      <alignment horizontal="left" vertical="center" wrapText="1"/>
    </xf>
    <xf numFmtId="1" fontId="1" fillId="7" borderId="36" xfId="5" applyNumberFormat="1" applyFont="1" applyFill="1" applyBorder="1" applyAlignment="1" applyProtection="1">
      <alignment horizontal="center"/>
      <protection locked="0"/>
    </xf>
    <xf numFmtId="4" fontId="1" fillId="7" borderId="36" xfId="1" applyNumberFormat="1" applyFont="1" applyFill="1" applyBorder="1" applyAlignment="1" applyProtection="1">
      <alignment horizontal="left" indent="1"/>
      <protection locked="0"/>
    </xf>
    <xf numFmtId="2" fontId="1" fillId="14" borderId="36" xfId="3" applyNumberFormat="1" applyFill="1" applyBorder="1" applyAlignment="1" applyProtection="1">
      <alignment horizontal="center"/>
      <protection locked="0"/>
    </xf>
    <xf numFmtId="4" fontId="1" fillId="13" borderId="36" xfId="3" applyNumberFormat="1" applyFill="1" applyBorder="1" applyAlignment="1">
      <alignment horizontal="left" indent="1"/>
    </xf>
    <xf numFmtId="2" fontId="1" fillId="13" borderId="36" xfId="3" applyNumberFormat="1" applyFill="1" applyBorder="1" applyAlignment="1">
      <alignment horizontal="center"/>
    </xf>
    <xf numFmtId="4" fontId="1" fillId="7" borderId="64" xfId="1" applyNumberFormat="1" applyFont="1" applyFill="1" applyBorder="1" applyAlignment="1" applyProtection="1">
      <alignment horizontal="left" indent="1"/>
      <protection locked="0"/>
    </xf>
    <xf numFmtId="167" fontId="1" fillId="13" borderId="29" xfId="1" applyNumberFormat="1" applyFont="1" applyFill="1" applyBorder="1" applyAlignment="1" applyProtection="1">
      <alignment horizontal="center"/>
    </xf>
    <xf numFmtId="2" fontId="1" fillId="14" borderId="37" xfId="3" applyNumberFormat="1" applyFill="1" applyBorder="1" applyAlignment="1" applyProtection="1">
      <alignment horizontal="center"/>
      <protection locked="0"/>
    </xf>
    <xf numFmtId="0" fontId="1" fillId="9" borderId="54" xfId="3" applyFill="1" applyBorder="1" applyAlignment="1">
      <alignment horizontal="right" vertical="center"/>
    </xf>
    <xf numFmtId="0" fontId="8" fillId="9" borderId="46" xfId="3" applyFont="1" applyFill="1" applyBorder="1" applyAlignment="1">
      <alignment horizontal="right" vertical="center"/>
    </xf>
    <xf numFmtId="0" fontId="53" fillId="9" borderId="0" xfId="0" applyFont="1" applyFill="1" applyAlignment="1">
      <alignment horizontal="left" vertical="top" wrapText="1" indent="3"/>
    </xf>
    <xf numFmtId="0" fontId="0" fillId="21" borderId="23" xfId="0" applyFill="1" applyBorder="1"/>
    <xf numFmtId="0" fontId="0" fillId="21" borderId="24" xfId="0" applyFill="1" applyBorder="1"/>
    <xf numFmtId="0" fontId="0" fillId="21" borderId="32" xfId="0" applyFill="1" applyBorder="1"/>
    <xf numFmtId="0" fontId="0" fillId="43" borderId="23" xfId="0" applyFill="1" applyBorder="1"/>
    <xf numFmtId="0" fontId="0" fillId="43" borderId="24" xfId="0" applyFill="1" applyBorder="1"/>
    <xf numFmtId="0" fontId="0" fillId="43" borderId="32" xfId="0" applyFill="1" applyBorder="1"/>
    <xf numFmtId="0" fontId="0" fillId="33" borderId="23" xfId="0" applyFill="1" applyBorder="1"/>
    <xf numFmtId="0" fontId="0" fillId="33" borderId="24" xfId="0" applyFill="1" applyBorder="1"/>
    <xf numFmtId="0" fontId="0" fillId="33" borderId="32" xfId="0" applyFill="1" applyBorder="1"/>
    <xf numFmtId="0" fontId="0" fillId="34" borderId="23" xfId="0" applyFill="1" applyBorder="1"/>
    <xf numFmtId="0" fontId="0" fillId="34" borderId="24" xfId="0" applyFill="1" applyBorder="1"/>
    <xf numFmtId="0" fontId="0" fillId="34" borderId="32" xfId="0" applyFill="1" applyBorder="1"/>
    <xf numFmtId="0" fontId="0" fillId="43" borderId="1" xfId="0" applyFill="1" applyBorder="1" applyAlignment="1">
      <alignment horizontal="left"/>
    </xf>
    <xf numFmtId="0" fontId="0" fillId="33" borderId="1" xfId="0" applyFill="1" applyBorder="1" applyAlignment="1">
      <alignment horizontal="left"/>
    </xf>
    <xf numFmtId="0" fontId="0" fillId="34" borderId="1" xfId="0" applyFill="1" applyBorder="1" applyAlignment="1">
      <alignment horizontal="left"/>
    </xf>
    <xf numFmtId="0" fontId="0" fillId="21" borderId="1" xfId="0" applyFill="1" applyBorder="1" applyAlignment="1">
      <alignment horizontal="left"/>
    </xf>
    <xf numFmtId="0" fontId="0" fillId="0" borderId="1" xfId="0" applyBorder="1" applyAlignment="1">
      <alignment horizontal="left"/>
    </xf>
    <xf numFmtId="0" fontId="0" fillId="41" borderId="1" xfId="0" applyFill="1" applyBorder="1" applyAlignment="1">
      <alignment horizontal="left"/>
    </xf>
    <xf numFmtId="0" fontId="0" fillId="24" borderId="1" xfId="0" applyFill="1" applyBorder="1" applyAlignment="1">
      <alignment horizontal="left"/>
    </xf>
    <xf numFmtId="0" fontId="0" fillId="27" borderId="23" xfId="0" applyFill="1" applyBorder="1"/>
    <xf numFmtId="0" fontId="0" fillId="27" borderId="24" xfId="0" applyFill="1" applyBorder="1"/>
    <xf numFmtId="0" fontId="0" fillId="27" borderId="32" xfId="0" applyFill="1" applyBorder="1"/>
    <xf numFmtId="177" fontId="0" fillId="28" borderId="1" xfId="0" applyNumberFormat="1" applyFill="1" applyBorder="1"/>
    <xf numFmtId="0" fontId="23" fillId="48" borderId="0" xfId="0" applyFont="1" applyFill="1"/>
    <xf numFmtId="0" fontId="23" fillId="49" borderId="0" xfId="0" applyFont="1" applyFill="1"/>
    <xf numFmtId="0" fontId="23" fillId="36" borderId="0" xfId="0" applyFont="1" applyFill="1"/>
    <xf numFmtId="0" fontId="23" fillId="50" borderId="0" xfId="0" applyFont="1" applyFill="1"/>
    <xf numFmtId="0" fontId="23" fillId="51" borderId="0" xfId="0" applyFont="1" applyFill="1"/>
    <xf numFmtId="0" fontId="23" fillId="52" borderId="0" xfId="0" applyFont="1" applyFill="1"/>
    <xf numFmtId="0" fontId="53" fillId="9" borderId="0" xfId="0" applyFont="1" applyFill="1" applyAlignment="1">
      <alignment vertical="top"/>
    </xf>
    <xf numFmtId="0" fontId="8" fillId="0" borderId="17" xfId="3" applyFont="1" applyBorder="1" applyAlignment="1">
      <alignment horizontal="center" vertical="center"/>
    </xf>
    <xf numFmtId="0" fontId="8" fillId="0" borderId="33" xfId="3" applyFont="1" applyBorder="1" applyAlignment="1">
      <alignment horizontal="left" vertical="center" wrapText="1"/>
    </xf>
    <xf numFmtId="4" fontId="1" fillId="18" borderId="33" xfId="1" applyNumberFormat="1" applyFont="1" applyFill="1" applyBorder="1" applyAlignment="1" applyProtection="1">
      <alignment horizontal="right" indent="1"/>
      <protection locked="0"/>
    </xf>
    <xf numFmtId="2" fontId="1" fillId="14" borderId="33" xfId="3" applyNumberFormat="1" applyFill="1" applyBorder="1" applyAlignment="1" applyProtection="1">
      <alignment horizontal="center"/>
      <protection locked="0"/>
    </xf>
    <xf numFmtId="175" fontId="1" fillId="13" borderId="33" xfId="3" applyNumberFormat="1" applyFill="1" applyBorder="1" applyAlignment="1">
      <alignment horizontal="center"/>
    </xf>
    <xf numFmtId="0" fontId="0" fillId="47" borderId="0" xfId="0" applyFill="1"/>
    <xf numFmtId="0" fontId="0" fillId="0" borderId="23" xfId="0" applyBorder="1"/>
    <xf numFmtId="0" fontId="0" fillId="0" borderId="24" xfId="0" applyBorder="1"/>
    <xf numFmtId="0" fontId="0" fillId="0" borderId="32" xfId="0" applyBorder="1"/>
    <xf numFmtId="0" fontId="0" fillId="9" borderId="23" xfId="0" applyFill="1" applyBorder="1"/>
    <xf numFmtId="0" fontId="0" fillId="9" borderId="24" xfId="0" applyFill="1" applyBorder="1"/>
    <xf numFmtId="0" fontId="0" fillId="9" borderId="32" xfId="0" applyFill="1" applyBorder="1"/>
    <xf numFmtId="0" fontId="8" fillId="9" borderId="23" xfId="3" applyFont="1" applyFill="1" applyBorder="1" applyAlignment="1">
      <alignment vertical="center"/>
    </xf>
    <xf numFmtId="0" fontId="8" fillId="9" borderId="42" xfId="3" applyFont="1" applyFill="1" applyBorder="1" applyAlignment="1">
      <alignment vertical="center"/>
    </xf>
    <xf numFmtId="0" fontId="0" fillId="27" borderId="1" xfId="0" applyFill="1" applyBorder="1" applyAlignment="1">
      <alignment horizontal="left"/>
    </xf>
    <xf numFmtId="0" fontId="82" fillId="9" borderId="0" xfId="0" applyFont="1" applyFill="1" applyAlignment="1">
      <alignment vertical="top" wrapText="1"/>
    </xf>
    <xf numFmtId="166" fontId="1" fillId="13" borderId="1" xfId="1" applyNumberFormat="1" applyFont="1" applyFill="1" applyBorder="1" applyAlignment="1" applyProtection="1">
      <alignment horizontal="right"/>
    </xf>
    <xf numFmtId="0" fontId="29" fillId="2" borderId="0" xfId="0" applyFont="1" applyFill="1" applyAlignment="1">
      <alignment horizontal="right"/>
    </xf>
    <xf numFmtId="0" fontId="0" fillId="0" borderId="9" xfId="0" applyBorder="1"/>
    <xf numFmtId="0" fontId="0" fillId="0" borderId="41" xfId="0" applyBorder="1"/>
    <xf numFmtId="0" fontId="8" fillId="3" borderId="18" xfId="3" applyFont="1" applyFill="1" applyBorder="1" applyAlignment="1">
      <alignment horizontal="center" wrapText="1"/>
    </xf>
    <xf numFmtId="0" fontId="57" fillId="2" borderId="2" xfId="0" applyFont="1" applyFill="1" applyBorder="1"/>
    <xf numFmtId="0" fontId="57" fillId="2" borderId="3" xfId="0" applyFont="1" applyFill="1" applyBorder="1"/>
    <xf numFmtId="0" fontId="57" fillId="2" borderId="15" xfId="0" applyFont="1" applyFill="1" applyBorder="1"/>
    <xf numFmtId="0" fontId="57" fillId="2" borderId="16" xfId="0" applyFont="1" applyFill="1" applyBorder="1"/>
    <xf numFmtId="167" fontId="0" fillId="24" borderId="1" xfId="0" applyNumberFormat="1" applyFill="1" applyBorder="1" applyAlignment="1">
      <alignment horizontal="center"/>
    </xf>
    <xf numFmtId="4" fontId="0" fillId="0" borderId="0" xfId="0" applyNumberFormat="1"/>
    <xf numFmtId="0" fontId="63" fillId="0" borderId="0" xfId="6" applyAlignment="1">
      <alignment textRotation="48"/>
    </xf>
    <xf numFmtId="0" fontId="84" fillId="9" borderId="1" xfId="3" applyFont="1" applyFill="1" applyBorder="1" applyAlignment="1">
      <alignment horizontal="left" vertical="center"/>
    </xf>
    <xf numFmtId="0" fontId="63" fillId="0" borderId="0" xfId="6" applyAlignment="1">
      <alignment horizontal="left"/>
    </xf>
    <xf numFmtId="0" fontId="63" fillId="0" borderId="0" xfId="6" applyAlignment="1">
      <alignment textRotation="45"/>
    </xf>
    <xf numFmtId="0" fontId="84" fillId="9" borderId="1" xfId="3" applyFont="1" applyFill="1" applyBorder="1" applyAlignment="1">
      <alignment horizontal="center" vertical="center"/>
    </xf>
    <xf numFmtId="180" fontId="84" fillId="15" borderId="1" xfId="154" applyNumberFormat="1" applyFont="1" applyFill="1" applyBorder="1" applyAlignment="1" applyProtection="1">
      <alignment horizontal="center"/>
    </xf>
    <xf numFmtId="180" fontId="84" fillId="15" borderId="1" xfId="154" applyNumberFormat="1" applyFont="1" applyFill="1" applyBorder="1" applyAlignment="1" applyProtection="1">
      <alignment horizontal="center"/>
      <protection locked="0"/>
    </xf>
    <xf numFmtId="11" fontId="0" fillId="0" borderId="1" xfId="0" applyNumberFormat="1" applyBorder="1"/>
    <xf numFmtId="0" fontId="86" fillId="0" borderId="1" xfId="0" applyFont="1" applyBorder="1"/>
    <xf numFmtId="0" fontId="26" fillId="17" borderId="1" xfId="0" applyFont="1" applyFill="1" applyBorder="1" applyAlignment="1">
      <alignment horizontal="center"/>
    </xf>
    <xf numFmtId="0" fontId="26" fillId="15" borderId="1" xfId="0" applyFont="1" applyFill="1" applyBorder="1"/>
    <xf numFmtId="0" fontId="83" fillId="9" borderId="1" xfId="3" applyFont="1" applyFill="1" applyBorder="1" applyAlignment="1">
      <alignment horizontal="center"/>
    </xf>
    <xf numFmtId="12" fontId="26" fillId="17" borderId="38" xfId="0" applyNumberFormat="1" applyFont="1" applyFill="1" applyBorder="1" applyAlignment="1">
      <alignment horizontal="center"/>
    </xf>
    <xf numFmtId="12" fontId="26" fillId="17" borderId="14" xfId="0" applyNumberFormat="1" applyFont="1" applyFill="1" applyBorder="1" applyAlignment="1">
      <alignment horizontal="center"/>
    </xf>
    <xf numFmtId="0" fontId="26" fillId="17" borderId="31" xfId="0" applyFont="1" applyFill="1" applyBorder="1" applyAlignment="1">
      <alignment horizontal="center"/>
    </xf>
    <xf numFmtId="180" fontId="83" fillId="9" borderId="1" xfId="154" applyNumberFormat="1" applyFont="1" applyFill="1" applyBorder="1" applyAlignment="1" applyProtection="1">
      <alignment horizontal="center"/>
      <protection locked="0"/>
    </xf>
    <xf numFmtId="164" fontId="63" fillId="0" borderId="0" xfId="6" applyNumberFormat="1"/>
    <xf numFmtId="181" fontId="63" fillId="0" borderId="0" xfId="6" applyNumberFormat="1"/>
    <xf numFmtId="164" fontId="73" fillId="0" borderId="0" xfId="6" applyNumberFormat="1" applyFont="1"/>
    <xf numFmtId="0" fontId="0" fillId="9" borderId="16" xfId="0" applyFill="1" applyBorder="1"/>
    <xf numFmtId="0" fontId="87" fillId="2" borderId="15" xfId="3" applyFont="1" applyFill="1" applyBorder="1" applyAlignment="1">
      <alignment vertical="top"/>
    </xf>
    <xf numFmtId="0" fontId="61" fillId="2" borderId="0" xfId="0" applyFont="1" applyFill="1"/>
    <xf numFmtId="0" fontId="88" fillId="0" borderId="0" xfId="0" applyFont="1" applyAlignment="1">
      <alignment horizontal="left"/>
    </xf>
    <xf numFmtId="0" fontId="23" fillId="26" borderId="0" xfId="0" applyFont="1" applyFill="1" applyAlignment="1">
      <alignment horizontal="left"/>
    </xf>
    <xf numFmtId="0" fontId="58" fillId="0" borderId="0" xfId="0" applyFont="1"/>
    <xf numFmtId="0" fontId="58" fillId="0" borderId="0" xfId="3" applyFont="1" applyAlignment="1">
      <alignment horizontal="left" vertical="center"/>
    </xf>
    <xf numFmtId="2" fontId="12" fillId="2" borderId="0" xfId="4" applyNumberFormat="1" applyFont="1" applyFill="1" applyAlignment="1">
      <alignment horizontal="left"/>
    </xf>
    <xf numFmtId="0" fontId="24" fillId="9" borderId="0" xfId="0" applyFont="1" applyFill="1" applyAlignment="1">
      <alignment horizontal="left"/>
    </xf>
    <xf numFmtId="49" fontId="23" fillId="2" borderId="0" xfId="0" applyNumberFormat="1" applyFont="1" applyFill="1" applyAlignment="1">
      <alignment horizontal="left"/>
    </xf>
    <xf numFmtId="0" fontId="23" fillId="2" borderId="0" xfId="0" applyFont="1" applyFill="1" applyAlignment="1">
      <alignment horizontal="right"/>
    </xf>
    <xf numFmtId="0" fontId="23" fillId="2" borderId="1" xfId="0" applyFont="1" applyFill="1" applyBorder="1"/>
    <xf numFmtId="1" fontId="8" fillId="7" borderId="1" xfId="5" applyNumberFormat="1" applyFont="1" applyFill="1" applyBorder="1" applyAlignment="1" applyProtection="1">
      <alignment horizontal="center"/>
    </xf>
    <xf numFmtId="4" fontId="1" fillId="18" borderId="6" xfId="1" applyNumberFormat="1" applyFont="1" applyFill="1" applyBorder="1" applyAlignment="1" applyProtection="1">
      <alignment horizontal="right" indent="1"/>
    </xf>
    <xf numFmtId="2" fontId="1" fillId="6" borderId="7" xfId="3" applyNumberFormat="1" applyFill="1" applyBorder="1" applyAlignment="1">
      <alignment horizontal="center"/>
    </xf>
    <xf numFmtId="0" fontId="24" fillId="18" borderId="1" xfId="0" applyFont="1" applyFill="1" applyBorder="1" applyAlignment="1">
      <alignment horizontal="left" indent="2"/>
    </xf>
    <xf numFmtId="0" fontId="24" fillId="18" borderId="1" xfId="0" applyFont="1" applyFill="1" applyBorder="1"/>
    <xf numFmtId="0" fontId="33" fillId="0" borderId="0" xfId="0" applyFont="1" applyAlignment="1">
      <alignment horizontal="left" vertical="center" wrapText="1"/>
    </xf>
    <xf numFmtId="0" fontId="51" fillId="9" borderId="0" xfId="0" applyFont="1" applyFill="1" applyAlignment="1">
      <alignment horizontal="left" vertical="top" wrapText="1"/>
    </xf>
    <xf numFmtId="0" fontId="33" fillId="9" borderId="0" xfId="0" applyFont="1" applyFill="1" applyAlignment="1">
      <alignment horizontal="left" vertical="center" wrapText="1"/>
    </xf>
    <xf numFmtId="0" fontId="24" fillId="9" borderId="0" xfId="0" applyFont="1" applyFill="1" applyAlignment="1">
      <alignment horizontal="left" wrapText="1" indent="2"/>
    </xf>
    <xf numFmtId="0" fontId="33" fillId="0" borderId="0" xfId="0" applyFont="1" applyAlignment="1">
      <alignment horizontal="left" wrapText="1"/>
    </xf>
    <xf numFmtId="0" fontId="44" fillId="9" borderId="0" xfId="0" applyFont="1" applyFill="1" applyAlignment="1">
      <alignment horizontal="left"/>
    </xf>
    <xf numFmtId="0" fontId="54" fillId="9" borderId="0" xfId="0" applyFont="1" applyFill="1" applyAlignment="1">
      <alignment horizontal="left"/>
    </xf>
    <xf numFmtId="0" fontId="41" fillId="9" borderId="16" xfId="0" applyFont="1" applyFill="1" applyBorder="1" applyAlignment="1">
      <alignment horizontal="left"/>
    </xf>
    <xf numFmtId="0" fontId="58" fillId="9" borderId="44" xfId="0" applyFont="1" applyFill="1" applyBorder="1" applyAlignment="1">
      <alignment horizontal="center" vertical="center" wrapText="1"/>
    </xf>
    <xf numFmtId="0" fontId="58" fillId="9" borderId="0" xfId="0" applyFont="1" applyFill="1" applyAlignment="1">
      <alignment horizontal="center" vertical="center" wrapText="1"/>
    </xf>
    <xf numFmtId="2" fontId="30" fillId="9" borderId="31" xfId="3" applyNumberFormat="1" applyFont="1" applyFill="1" applyBorder="1" applyAlignment="1">
      <alignment horizontal="center" vertical="center" wrapText="1"/>
    </xf>
    <xf numFmtId="2" fontId="30" fillId="9" borderId="38" xfId="3" applyNumberFormat="1" applyFont="1" applyFill="1" applyBorder="1" applyAlignment="1">
      <alignment horizontal="center" vertical="center" wrapText="1"/>
    </xf>
    <xf numFmtId="2" fontId="30" fillId="9" borderId="14" xfId="3" applyNumberFormat="1" applyFont="1" applyFill="1" applyBorder="1" applyAlignment="1">
      <alignment horizontal="center" vertical="center" wrapText="1"/>
    </xf>
    <xf numFmtId="0" fontId="0" fillId="9" borderId="0" xfId="0" applyFill="1" applyAlignment="1">
      <alignment horizontal="center" wrapText="1"/>
    </xf>
    <xf numFmtId="0" fontId="8" fillId="2" borderId="23" xfId="3" applyFont="1" applyFill="1" applyBorder="1" applyAlignment="1">
      <alignment horizontal="center" vertical="center"/>
    </xf>
    <xf numFmtId="0" fontId="8" fillId="2" borderId="24" xfId="3" applyFont="1" applyFill="1" applyBorder="1" applyAlignment="1">
      <alignment horizontal="center" vertical="center"/>
    </xf>
    <xf numFmtId="0" fontId="8" fillId="2" borderId="25" xfId="3" applyFont="1" applyFill="1" applyBorder="1" applyAlignment="1">
      <alignment horizontal="center" vertical="center"/>
    </xf>
    <xf numFmtId="2" fontId="28" fillId="2" borderId="0" xfId="4" applyNumberFormat="1" applyFont="1" applyFill="1" applyAlignment="1">
      <alignment horizontal="center"/>
    </xf>
    <xf numFmtId="0" fontId="8" fillId="3" borderId="53" xfId="3" applyFont="1" applyFill="1" applyBorder="1" applyAlignment="1">
      <alignment horizontal="center" vertical="center"/>
    </xf>
    <xf numFmtId="0" fontId="8" fillId="3" borderId="27" xfId="3" applyFont="1" applyFill="1" applyBorder="1" applyAlignment="1">
      <alignment horizontal="center" vertical="center"/>
    </xf>
    <xf numFmtId="0" fontId="8" fillId="3" borderId="23" xfId="3" applyFont="1" applyFill="1" applyBorder="1" applyAlignment="1">
      <alignment horizontal="center" vertical="center"/>
    </xf>
    <xf numFmtId="0" fontId="8" fillId="3" borderId="32" xfId="3" applyFont="1" applyFill="1" applyBorder="1" applyAlignment="1">
      <alignment horizontal="center" vertical="center"/>
    </xf>
    <xf numFmtId="0" fontId="8" fillId="3" borderId="34" xfId="3" applyFont="1" applyFill="1" applyBorder="1" applyAlignment="1">
      <alignment horizontal="center" vertical="center" wrapText="1"/>
    </xf>
    <xf numFmtId="0" fontId="8" fillId="3" borderId="14" xfId="3" applyFont="1" applyFill="1" applyBorder="1" applyAlignment="1">
      <alignment horizontal="center" vertical="center" wrapText="1"/>
    </xf>
    <xf numFmtId="0" fontId="8" fillId="3" borderId="49" xfId="3" applyFont="1" applyFill="1" applyBorder="1" applyAlignment="1">
      <alignment horizontal="center" vertical="center"/>
    </xf>
    <xf numFmtId="0" fontId="8" fillId="3" borderId="4" xfId="3" applyFont="1" applyFill="1" applyBorder="1" applyAlignment="1">
      <alignment horizontal="center" vertical="center"/>
    </xf>
    <xf numFmtId="0" fontId="8" fillId="3" borderId="50" xfId="3" applyFont="1" applyFill="1" applyBorder="1" applyAlignment="1">
      <alignment horizontal="center" vertical="center"/>
    </xf>
    <xf numFmtId="0" fontId="8" fillId="3" borderId="19" xfId="3" applyFont="1" applyFill="1" applyBorder="1" applyAlignment="1">
      <alignment horizontal="center" vertical="center"/>
    </xf>
    <xf numFmtId="0" fontId="57" fillId="2" borderId="10" xfId="0" applyFont="1" applyFill="1" applyBorder="1" applyAlignment="1">
      <alignment horizontal="left" wrapText="1"/>
    </xf>
    <xf numFmtId="0" fontId="57" fillId="2" borderId="0" xfId="0" applyFont="1" applyFill="1" applyAlignment="1">
      <alignment horizontal="left" wrapText="1"/>
    </xf>
    <xf numFmtId="0" fontId="57" fillId="2" borderId="15" xfId="0" applyFont="1" applyFill="1" applyBorder="1" applyAlignment="1">
      <alignment horizontal="left" wrapText="1"/>
    </xf>
    <xf numFmtId="0" fontId="57" fillId="2" borderId="16" xfId="0" applyFont="1" applyFill="1" applyBorder="1" applyAlignment="1">
      <alignment horizontal="left" wrapText="1"/>
    </xf>
    <xf numFmtId="0" fontId="8" fillId="2" borderId="23" xfId="3" applyFont="1" applyFill="1" applyBorder="1" applyAlignment="1">
      <alignment horizontal="center" vertical="top"/>
    </xf>
    <xf numFmtId="0" fontId="8" fillId="2" borderId="24" xfId="3" applyFont="1" applyFill="1" applyBorder="1" applyAlignment="1">
      <alignment horizontal="center" vertical="top"/>
    </xf>
    <xf numFmtId="0" fontId="8" fillId="2" borderId="25" xfId="3" applyFont="1" applyFill="1" applyBorder="1" applyAlignment="1">
      <alignment horizontal="center" vertical="top"/>
    </xf>
    <xf numFmtId="0" fontId="25" fillId="12" borderId="45" xfId="0" applyFont="1" applyFill="1" applyBorder="1" applyAlignment="1">
      <alignment vertical="top"/>
    </xf>
    <xf numFmtId="0" fontId="25" fillId="12" borderId="21" xfId="0" applyFont="1" applyFill="1" applyBorder="1" applyAlignment="1">
      <alignment vertical="top"/>
    </xf>
    <xf numFmtId="0" fontId="25" fillId="12" borderId="22" xfId="0" applyFont="1" applyFill="1" applyBorder="1" applyAlignment="1">
      <alignment vertical="top"/>
    </xf>
    <xf numFmtId="0" fontId="25" fillId="12" borderId="10" xfId="0" applyFont="1" applyFill="1" applyBorder="1" applyAlignment="1">
      <alignment vertical="top"/>
    </xf>
    <xf numFmtId="0" fontId="25" fillId="12" borderId="0" xfId="0" applyFont="1" applyFill="1" applyAlignment="1">
      <alignment vertical="top"/>
    </xf>
    <xf numFmtId="0" fontId="25" fillId="12" borderId="41" xfId="0" applyFont="1" applyFill="1" applyBorder="1" applyAlignment="1">
      <alignment vertical="top"/>
    </xf>
    <xf numFmtId="0" fontId="11" fillId="12" borderId="2" xfId="0" applyFont="1" applyFill="1" applyBorder="1"/>
    <xf numFmtId="0" fontId="11" fillId="12" borderId="3" xfId="0" applyFont="1" applyFill="1" applyBorder="1"/>
    <xf numFmtId="0" fontId="11" fillId="12" borderId="4" xfId="0" applyFont="1" applyFill="1" applyBorder="1"/>
    <xf numFmtId="0" fontId="0" fillId="0" borderId="1"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32" xfId="0" applyBorder="1" applyAlignment="1">
      <alignment horizontal="center"/>
    </xf>
    <xf numFmtId="0" fontId="8" fillId="3" borderId="35" xfId="3" applyFont="1" applyFill="1" applyBorder="1" applyAlignment="1">
      <alignment horizontal="center" vertical="center" wrapText="1"/>
    </xf>
    <xf numFmtId="0" fontId="8" fillId="3" borderId="27" xfId="3" applyFont="1" applyFill="1" applyBorder="1" applyAlignment="1">
      <alignment horizontal="center" vertical="center" wrapText="1"/>
    </xf>
    <xf numFmtId="0" fontId="89" fillId="9" borderId="10" xfId="0" applyFont="1" applyFill="1" applyBorder="1" applyAlignment="1">
      <alignment horizontal="left" vertical="top" wrapText="1"/>
    </xf>
    <xf numFmtId="0" fontId="89" fillId="9" borderId="0" xfId="0" applyFont="1" applyFill="1" applyAlignment="1">
      <alignment horizontal="left" vertical="top" wrapText="1"/>
    </xf>
    <xf numFmtId="0" fontId="31" fillId="9" borderId="10" xfId="0" applyFont="1" applyFill="1" applyBorder="1" applyAlignment="1">
      <alignment horizontal="left" vertical="top" wrapText="1"/>
    </xf>
    <xf numFmtId="0" fontId="31" fillId="9" borderId="0" xfId="0" applyFont="1" applyFill="1" applyAlignment="1">
      <alignment horizontal="left" vertical="top" wrapText="1"/>
    </xf>
    <xf numFmtId="0" fontId="31" fillId="9" borderId="41" xfId="0" applyFont="1" applyFill="1" applyBorder="1" applyAlignment="1">
      <alignment horizontal="left" vertical="top" wrapText="1"/>
    </xf>
    <xf numFmtId="0" fontId="40" fillId="9" borderId="0" xfId="0" applyFont="1" applyFill="1" applyAlignment="1">
      <alignment horizontal="left" vertical="top" wrapText="1"/>
    </xf>
    <xf numFmtId="2" fontId="9" fillId="9" borderId="2" xfId="4" applyNumberFormat="1" applyFont="1" applyFill="1" applyBorder="1" applyAlignment="1">
      <alignment horizontal="center" vertical="center"/>
    </xf>
    <xf numFmtId="2" fontId="9" fillId="9" borderId="4" xfId="4" applyNumberFormat="1" applyFont="1" applyFill="1" applyBorder="1" applyAlignment="1">
      <alignment horizontal="center" vertical="center"/>
    </xf>
    <xf numFmtId="2" fontId="9" fillId="9" borderId="10" xfId="4" applyNumberFormat="1" applyFont="1" applyFill="1" applyBorder="1" applyAlignment="1">
      <alignment horizontal="center" vertical="center"/>
    </xf>
    <xf numFmtId="2" fontId="9" fillId="9" borderId="41" xfId="4" applyNumberFormat="1" applyFont="1" applyFill="1" applyBorder="1" applyAlignment="1">
      <alignment horizontal="center" vertical="center"/>
    </xf>
    <xf numFmtId="164" fontId="8" fillId="3" borderId="40" xfId="3" applyNumberFormat="1" applyFont="1" applyFill="1" applyBorder="1" applyAlignment="1">
      <alignment horizontal="center" vertical="center"/>
    </xf>
    <xf numFmtId="164" fontId="8" fillId="3" borderId="31" xfId="3" applyNumberFormat="1" applyFont="1" applyFill="1" applyBorder="1" applyAlignment="1">
      <alignment horizontal="center" vertical="center"/>
    </xf>
    <xf numFmtId="164" fontId="8" fillId="3" borderId="13" xfId="3" applyNumberFormat="1" applyFont="1" applyFill="1" applyBorder="1" applyAlignment="1">
      <alignment horizontal="center" vertical="center"/>
    </xf>
    <xf numFmtId="164" fontId="8" fillId="3" borderId="6" xfId="3" applyNumberFormat="1" applyFont="1" applyFill="1" applyBorder="1" applyAlignment="1">
      <alignment horizontal="center" vertical="center"/>
    </xf>
    <xf numFmtId="2" fontId="9" fillId="13" borderId="45" xfId="4" applyNumberFormat="1" applyFont="1" applyFill="1" applyBorder="1" applyAlignment="1">
      <alignment horizontal="center" vertical="center" wrapText="1"/>
    </xf>
    <xf numFmtId="2" fontId="9" fillId="13" borderId="22" xfId="4" applyNumberFormat="1" applyFont="1" applyFill="1" applyBorder="1" applyAlignment="1">
      <alignment horizontal="center" vertical="center" wrapText="1"/>
    </xf>
    <xf numFmtId="164" fontId="8" fillId="3" borderId="48" xfId="3" applyNumberFormat="1" applyFont="1" applyFill="1" applyBorder="1" applyAlignment="1">
      <alignment horizontal="center" vertical="center"/>
    </xf>
    <xf numFmtId="164" fontId="8" fillId="3" borderId="14" xfId="3" applyNumberFormat="1" applyFont="1" applyFill="1" applyBorder="1" applyAlignment="1">
      <alignment horizontal="center" vertical="center"/>
    </xf>
    <xf numFmtId="0" fontId="31" fillId="9" borderId="2" xfId="0" applyFont="1" applyFill="1" applyBorder="1" applyAlignment="1">
      <alignment horizontal="left" vertical="top" wrapText="1"/>
    </xf>
    <xf numFmtId="0" fontId="31" fillId="9" borderId="3" xfId="0" applyFont="1" applyFill="1" applyBorder="1" applyAlignment="1">
      <alignment horizontal="left" vertical="top" wrapText="1"/>
    </xf>
    <xf numFmtId="0" fontId="31" fillId="9" borderId="4" xfId="0" applyFont="1" applyFill="1" applyBorder="1" applyAlignment="1">
      <alignment horizontal="left" vertical="top" wrapText="1"/>
    </xf>
    <xf numFmtId="0" fontId="45" fillId="25" borderId="23" xfId="2" applyFont="1" applyFill="1" applyBorder="1" applyAlignment="1">
      <alignment horizontal="left" vertical="top" wrapText="1"/>
    </xf>
    <xf numFmtId="0" fontId="45" fillId="25" borderId="24" xfId="2" applyFont="1" applyFill="1" applyBorder="1" applyAlignment="1">
      <alignment horizontal="left" vertical="top" wrapText="1"/>
    </xf>
    <xf numFmtId="0" fontId="45" fillId="25" borderId="25" xfId="2" applyFont="1" applyFill="1" applyBorder="1" applyAlignment="1">
      <alignment horizontal="left" vertical="top" wrapText="1"/>
    </xf>
    <xf numFmtId="0" fontId="46" fillId="25" borderId="23" xfId="2" applyFont="1" applyFill="1" applyBorder="1" applyAlignment="1">
      <alignment horizontal="left" vertical="center" wrapText="1"/>
    </xf>
    <xf numFmtId="0" fontId="46" fillId="25" borderId="24" xfId="2" applyFont="1" applyFill="1" applyBorder="1" applyAlignment="1">
      <alignment horizontal="left" vertical="center" wrapText="1"/>
    </xf>
    <xf numFmtId="0" fontId="46" fillId="25" borderId="25" xfId="2" applyFont="1" applyFill="1" applyBorder="1" applyAlignment="1">
      <alignment horizontal="left" vertical="center" wrapText="1"/>
    </xf>
    <xf numFmtId="0" fontId="45" fillId="0" borderId="8" xfId="2" applyFont="1" applyBorder="1" applyAlignment="1">
      <alignment horizontal="center" vertical="center"/>
    </xf>
    <xf numFmtId="0" fontId="45" fillId="0" borderId="5" xfId="2" applyFont="1" applyBorder="1" applyAlignment="1">
      <alignment horizontal="center" vertical="center"/>
    </xf>
    <xf numFmtId="0" fontId="45" fillId="0" borderId="9" xfId="2" applyFont="1" applyBorder="1" applyAlignment="1">
      <alignment horizontal="center" vertical="center"/>
    </xf>
    <xf numFmtId="0" fontId="45" fillId="0" borderId="2" xfId="2" applyFont="1" applyBorder="1" applyAlignment="1">
      <alignment horizontal="center" vertical="center"/>
    </xf>
    <xf numFmtId="0" fontId="45" fillId="0" borderId="3" xfId="2" applyFont="1" applyBorder="1" applyAlignment="1">
      <alignment horizontal="center" vertical="center"/>
    </xf>
    <xf numFmtId="0" fontId="45" fillId="0" borderId="4" xfId="2" applyFont="1" applyBorder="1" applyAlignment="1">
      <alignment horizontal="center" vertical="center"/>
    </xf>
    <xf numFmtId="0" fontId="1" fillId="0" borderId="0" xfId="0" applyFont="1" applyAlignment="1">
      <alignment horizontal="center"/>
    </xf>
    <xf numFmtId="2" fontId="12" fillId="6" borderId="8" xfId="4" applyNumberFormat="1" applyFont="1" applyFill="1" applyBorder="1" applyAlignment="1">
      <alignment horizontal="left"/>
    </xf>
    <xf numFmtId="2" fontId="12" fillId="6" borderId="5" xfId="4" applyNumberFormat="1" applyFont="1" applyFill="1" applyBorder="1" applyAlignment="1">
      <alignment horizontal="left"/>
    </xf>
    <xf numFmtId="2" fontId="12" fillId="6" borderId="9" xfId="4" applyNumberFormat="1" applyFont="1" applyFill="1" applyBorder="1" applyAlignment="1">
      <alignment horizontal="left"/>
    </xf>
    <xf numFmtId="2" fontId="12" fillId="6" borderId="2" xfId="4" applyNumberFormat="1" applyFont="1" applyFill="1" applyBorder="1" applyAlignment="1">
      <alignment horizontal="left"/>
    </xf>
    <xf numFmtId="2" fontId="12" fillId="6" borderId="3" xfId="4" applyNumberFormat="1" applyFont="1" applyFill="1" applyBorder="1" applyAlignment="1">
      <alignment horizontal="left"/>
    </xf>
    <xf numFmtId="2" fontId="12" fillId="6" borderId="4" xfId="4" applyNumberFormat="1" applyFont="1" applyFill="1" applyBorder="1" applyAlignment="1">
      <alignment horizontal="left"/>
    </xf>
    <xf numFmtId="0" fontId="0" fillId="17" borderId="23" xfId="0" applyFill="1" applyBorder="1" applyAlignment="1">
      <alignment horizontal="center"/>
    </xf>
    <xf numFmtId="0" fontId="0" fillId="17" borderId="24" xfId="0" applyFill="1" applyBorder="1" applyAlignment="1">
      <alignment horizontal="center"/>
    </xf>
    <xf numFmtId="0" fontId="0" fillId="17" borderId="32" xfId="0" applyFill="1" applyBorder="1" applyAlignment="1">
      <alignment horizontal="center"/>
    </xf>
    <xf numFmtId="0" fontId="0" fillId="16" borderId="23" xfId="0" applyFill="1" applyBorder="1" applyAlignment="1">
      <alignment horizontal="center"/>
    </xf>
    <xf numFmtId="0" fontId="0" fillId="16" borderId="24" xfId="0" applyFill="1" applyBorder="1" applyAlignment="1">
      <alignment horizontal="center"/>
    </xf>
    <xf numFmtId="0" fontId="0" fillId="16" borderId="32" xfId="0" applyFill="1" applyBorder="1" applyAlignment="1">
      <alignment horizontal="center"/>
    </xf>
    <xf numFmtId="0" fontId="0" fillId="15" borderId="23" xfId="0" applyFill="1" applyBorder="1" applyAlignment="1">
      <alignment horizontal="center"/>
    </xf>
    <xf numFmtId="0" fontId="0" fillId="15" borderId="24" xfId="0" applyFill="1" applyBorder="1" applyAlignment="1">
      <alignment horizontal="center"/>
    </xf>
    <xf numFmtId="0" fontId="0" fillId="15" borderId="32" xfId="0" applyFill="1" applyBorder="1" applyAlignment="1">
      <alignment horizontal="center"/>
    </xf>
    <xf numFmtId="0" fontId="0" fillId="27" borderId="23" xfId="0" applyFill="1" applyBorder="1" applyAlignment="1">
      <alignment horizontal="center"/>
    </xf>
    <xf numFmtId="0" fontId="0" fillId="27" borderId="24" xfId="0" applyFill="1" applyBorder="1" applyAlignment="1">
      <alignment horizontal="center"/>
    </xf>
  </cellXfs>
  <cellStyles count="161">
    <cellStyle name="Bad 2" xfId="8" xr:uid="{00000000-0005-0000-0000-000000000000}"/>
    <cellStyle name="Comma" xfId="1" builtinId="3"/>
    <cellStyle name="Comma [0] 2" xfId="9" xr:uid="{00000000-0005-0000-0000-000002000000}"/>
    <cellStyle name="Comma 10" xfId="10" xr:uid="{00000000-0005-0000-0000-000003000000}"/>
    <cellStyle name="Comma 11" xfId="11" xr:uid="{00000000-0005-0000-0000-000004000000}"/>
    <cellStyle name="Comma 12" xfId="12" xr:uid="{00000000-0005-0000-0000-000005000000}"/>
    <cellStyle name="Comma 13" xfId="13" xr:uid="{00000000-0005-0000-0000-000006000000}"/>
    <cellStyle name="Comma 14" xfId="14" xr:uid="{00000000-0005-0000-0000-000007000000}"/>
    <cellStyle name="Comma 15" xfId="15" xr:uid="{00000000-0005-0000-0000-000008000000}"/>
    <cellStyle name="Comma 16" xfId="16" xr:uid="{00000000-0005-0000-0000-000009000000}"/>
    <cellStyle name="Comma 17" xfId="17" xr:uid="{00000000-0005-0000-0000-00000A000000}"/>
    <cellStyle name="Comma 18" xfId="18" xr:uid="{00000000-0005-0000-0000-00000B000000}"/>
    <cellStyle name="Comma 19" xfId="19" xr:uid="{00000000-0005-0000-0000-00000C000000}"/>
    <cellStyle name="Comma 2" xfId="20" xr:uid="{00000000-0005-0000-0000-00000D000000}"/>
    <cellStyle name="Comma 2 2" xfId="21" xr:uid="{00000000-0005-0000-0000-00000E000000}"/>
    <cellStyle name="Comma 2 3" xfId="154" xr:uid="{00000000-0005-0000-0000-00000F000000}"/>
    <cellStyle name="Comma 20" xfId="22" xr:uid="{00000000-0005-0000-0000-000010000000}"/>
    <cellStyle name="Comma 21" xfId="23" xr:uid="{00000000-0005-0000-0000-000011000000}"/>
    <cellStyle name="Comma 22" xfId="24" xr:uid="{00000000-0005-0000-0000-000012000000}"/>
    <cellStyle name="Comma 23" xfId="25" xr:uid="{00000000-0005-0000-0000-000013000000}"/>
    <cellStyle name="Comma 24" xfId="26" xr:uid="{00000000-0005-0000-0000-000014000000}"/>
    <cellStyle name="Comma 25" xfId="27" xr:uid="{00000000-0005-0000-0000-000015000000}"/>
    <cellStyle name="Comma 26" xfId="28" xr:uid="{00000000-0005-0000-0000-000016000000}"/>
    <cellStyle name="Comma 27" xfId="29" xr:uid="{00000000-0005-0000-0000-000017000000}"/>
    <cellStyle name="Comma 28" xfId="30" xr:uid="{00000000-0005-0000-0000-000018000000}"/>
    <cellStyle name="Comma 29" xfId="31" xr:uid="{00000000-0005-0000-0000-000019000000}"/>
    <cellStyle name="Comma 3" xfId="32" xr:uid="{00000000-0005-0000-0000-00001A000000}"/>
    <cellStyle name="Comma 30" xfId="33" xr:uid="{00000000-0005-0000-0000-00001B000000}"/>
    <cellStyle name="Comma 31" xfId="34" xr:uid="{00000000-0005-0000-0000-00001C000000}"/>
    <cellStyle name="Comma 32" xfId="35" xr:uid="{00000000-0005-0000-0000-00001D000000}"/>
    <cellStyle name="Comma 33" xfId="36" xr:uid="{00000000-0005-0000-0000-00001E000000}"/>
    <cellStyle name="Comma 34" xfId="37" xr:uid="{00000000-0005-0000-0000-00001F000000}"/>
    <cellStyle name="Comma 35" xfId="38" xr:uid="{00000000-0005-0000-0000-000020000000}"/>
    <cellStyle name="Comma 36" xfId="39" xr:uid="{00000000-0005-0000-0000-000021000000}"/>
    <cellStyle name="Comma 37" xfId="40" xr:uid="{00000000-0005-0000-0000-000022000000}"/>
    <cellStyle name="Comma 38" xfId="41" xr:uid="{00000000-0005-0000-0000-000023000000}"/>
    <cellStyle name="Comma 39" xfId="42" xr:uid="{00000000-0005-0000-0000-000024000000}"/>
    <cellStyle name="Comma 4" xfId="43" xr:uid="{00000000-0005-0000-0000-000025000000}"/>
    <cellStyle name="Comma 40" xfId="44" xr:uid="{00000000-0005-0000-0000-000026000000}"/>
    <cellStyle name="Comma 41" xfId="45" xr:uid="{00000000-0005-0000-0000-000027000000}"/>
    <cellStyle name="Comma 42" xfId="46" xr:uid="{00000000-0005-0000-0000-000028000000}"/>
    <cellStyle name="Comma 43" xfId="47" xr:uid="{00000000-0005-0000-0000-000029000000}"/>
    <cellStyle name="Comma 44" xfId="48" xr:uid="{00000000-0005-0000-0000-00002A000000}"/>
    <cellStyle name="Comma 45" xfId="49" xr:uid="{00000000-0005-0000-0000-00002B000000}"/>
    <cellStyle name="Comma 46" xfId="50" xr:uid="{00000000-0005-0000-0000-00002C000000}"/>
    <cellStyle name="Comma 47" xfId="51" xr:uid="{00000000-0005-0000-0000-00002D000000}"/>
    <cellStyle name="Comma 48" xfId="52" xr:uid="{00000000-0005-0000-0000-00002E000000}"/>
    <cellStyle name="Comma 49" xfId="53" xr:uid="{00000000-0005-0000-0000-00002F000000}"/>
    <cellStyle name="Comma 5" xfId="54" xr:uid="{00000000-0005-0000-0000-000030000000}"/>
    <cellStyle name="Comma 50" xfId="55" xr:uid="{00000000-0005-0000-0000-000031000000}"/>
    <cellStyle name="Comma 51" xfId="56" xr:uid="{00000000-0005-0000-0000-000032000000}"/>
    <cellStyle name="Comma 52" xfId="57" xr:uid="{00000000-0005-0000-0000-000033000000}"/>
    <cellStyle name="Comma 53" xfId="58" xr:uid="{00000000-0005-0000-0000-000034000000}"/>
    <cellStyle name="Comma 54" xfId="59" xr:uid="{00000000-0005-0000-0000-000035000000}"/>
    <cellStyle name="Comma 55" xfId="60" xr:uid="{00000000-0005-0000-0000-000036000000}"/>
    <cellStyle name="Comma 56" xfId="61" xr:uid="{00000000-0005-0000-0000-000037000000}"/>
    <cellStyle name="Comma 57" xfId="62" xr:uid="{00000000-0005-0000-0000-000038000000}"/>
    <cellStyle name="Comma 6" xfId="63" xr:uid="{00000000-0005-0000-0000-000039000000}"/>
    <cellStyle name="Comma 7" xfId="64" xr:uid="{00000000-0005-0000-0000-00003A000000}"/>
    <cellStyle name="Comma 8" xfId="65" xr:uid="{00000000-0005-0000-0000-00003B000000}"/>
    <cellStyle name="Comma 9" xfId="66" xr:uid="{00000000-0005-0000-0000-00003C000000}"/>
    <cellStyle name="CPCI_Locked" xfId="160" xr:uid="{00000000-0005-0000-0000-00003D000000}"/>
    <cellStyle name="Currency 2" xfId="67" xr:uid="{00000000-0005-0000-0000-00003E000000}"/>
    <cellStyle name="F2" xfId="68" xr:uid="{00000000-0005-0000-0000-00003F000000}"/>
    <cellStyle name="F3" xfId="69" xr:uid="{00000000-0005-0000-0000-000040000000}"/>
    <cellStyle name="F4" xfId="70" xr:uid="{00000000-0005-0000-0000-000041000000}"/>
    <cellStyle name="F5" xfId="71" xr:uid="{00000000-0005-0000-0000-000042000000}"/>
    <cellStyle name="F6" xfId="72" xr:uid="{00000000-0005-0000-0000-000043000000}"/>
    <cellStyle name="F7" xfId="73" xr:uid="{00000000-0005-0000-0000-000044000000}"/>
    <cellStyle name="F8" xfId="74" xr:uid="{00000000-0005-0000-0000-000045000000}"/>
    <cellStyle name="Hyperlink" xfId="7" builtinId="8"/>
    <cellStyle name="Hyperlink 2" xfId="75" xr:uid="{00000000-0005-0000-0000-000047000000}"/>
    <cellStyle name="Normal" xfId="0" builtinId="0"/>
    <cellStyle name="Normal 2" xfId="6" xr:uid="{00000000-0005-0000-0000-000049000000}"/>
    <cellStyle name="Normal 2 10" xfId="76" xr:uid="{00000000-0005-0000-0000-00004A000000}"/>
    <cellStyle name="Normal 2 11" xfId="77" xr:uid="{00000000-0005-0000-0000-00004B000000}"/>
    <cellStyle name="Normal 2 12" xfId="78" xr:uid="{00000000-0005-0000-0000-00004C000000}"/>
    <cellStyle name="Normal 2 13" xfId="79" xr:uid="{00000000-0005-0000-0000-00004D000000}"/>
    <cellStyle name="Normal 2 14" xfId="80" xr:uid="{00000000-0005-0000-0000-00004E000000}"/>
    <cellStyle name="Normal 2 15" xfId="81" xr:uid="{00000000-0005-0000-0000-00004F000000}"/>
    <cellStyle name="Normal 2 16" xfId="82" xr:uid="{00000000-0005-0000-0000-000050000000}"/>
    <cellStyle name="Normal 2 17" xfId="83" xr:uid="{00000000-0005-0000-0000-000051000000}"/>
    <cellStyle name="Normal 2 18" xfId="84" xr:uid="{00000000-0005-0000-0000-000052000000}"/>
    <cellStyle name="Normal 2 19" xfId="85" xr:uid="{00000000-0005-0000-0000-000053000000}"/>
    <cellStyle name="Normal 2 2" xfId="86" xr:uid="{00000000-0005-0000-0000-000054000000}"/>
    <cellStyle name="Normal 2 2 2" xfId="87" xr:uid="{00000000-0005-0000-0000-000055000000}"/>
    <cellStyle name="Normal 2 20" xfId="88" xr:uid="{00000000-0005-0000-0000-000056000000}"/>
    <cellStyle name="Normal 2 21" xfId="89" xr:uid="{00000000-0005-0000-0000-000057000000}"/>
    <cellStyle name="Normal 2 22" xfId="90" xr:uid="{00000000-0005-0000-0000-000058000000}"/>
    <cellStyle name="Normal 2 23" xfId="91" xr:uid="{00000000-0005-0000-0000-000059000000}"/>
    <cellStyle name="Normal 2 24" xfId="92" xr:uid="{00000000-0005-0000-0000-00005A000000}"/>
    <cellStyle name="Normal 2 25" xfId="93" xr:uid="{00000000-0005-0000-0000-00005B000000}"/>
    <cellStyle name="Normal 2 26" xfId="94" xr:uid="{00000000-0005-0000-0000-00005C000000}"/>
    <cellStyle name="Normal 2 27" xfId="95" xr:uid="{00000000-0005-0000-0000-00005D000000}"/>
    <cellStyle name="Normal 2 28" xfId="96" xr:uid="{00000000-0005-0000-0000-00005E000000}"/>
    <cellStyle name="Normal 2 29" xfId="97" xr:uid="{00000000-0005-0000-0000-00005F000000}"/>
    <cellStyle name="Normal 2 3" xfId="98" xr:uid="{00000000-0005-0000-0000-000060000000}"/>
    <cellStyle name="Normal 2 30" xfId="99" xr:uid="{00000000-0005-0000-0000-000061000000}"/>
    <cellStyle name="Normal 2 31" xfId="100" xr:uid="{00000000-0005-0000-0000-000062000000}"/>
    <cellStyle name="Normal 2 32" xfId="101" xr:uid="{00000000-0005-0000-0000-000063000000}"/>
    <cellStyle name="Normal 2 33" xfId="102" xr:uid="{00000000-0005-0000-0000-000064000000}"/>
    <cellStyle name="Normal 2 34" xfId="103" xr:uid="{00000000-0005-0000-0000-000065000000}"/>
    <cellStyle name="Normal 2 35" xfId="104" xr:uid="{00000000-0005-0000-0000-000066000000}"/>
    <cellStyle name="Normal 2 36" xfId="105" xr:uid="{00000000-0005-0000-0000-000067000000}"/>
    <cellStyle name="Normal 2 37" xfId="106" xr:uid="{00000000-0005-0000-0000-000068000000}"/>
    <cellStyle name="Normal 2 38" xfId="107" xr:uid="{00000000-0005-0000-0000-000069000000}"/>
    <cellStyle name="Normal 2 39" xfId="108" xr:uid="{00000000-0005-0000-0000-00006A000000}"/>
    <cellStyle name="Normal 2 4" xfId="109" xr:uid="{00000000-0005-0000-0000-00006B000000}"/>
    <cellStyle name="Normal 2 40" xfId="110" xr:uid="{00000000-0005-0000-0000-00006C000000}"/>
    <cellStyle name="Normal 2 41" xfId="111" xr:uid="{00000000-0005-0000-0000-00006D000000}"/>
    <cellStyle name="Normal 2 42" xfId="112" xr:uid="{00000000-0005-0000-0000-00006E000000}"/>
    <cellStyle name="Normal 2 43" xfId="113" xr:uid="{00000000-0005-0000-0000-00006F000000}"/>
    <cellStyle name="Normal 2 44" xfId="114" xr:uid="{00000000-0005-0000-0000-000070000000}"/>
    <cellStyle name="Normal 2 45" xfId="115" xr:uid="{00000000-0005-0000-0000-000071000000}"/>
    <cellStyle name="Normal 2 46" xfId="116" xr:uid="{00000000-0005-0000-0000-000072000000}"/>
    <cellStyle name="Normal 2 47" xfId="117" xr:uid="{00000000-0005-0000-0000-000073000000}"/>
    <cellStyle name="Normal 2 48" xfId="118" xr:uid="{00000000-0005-0000-0000-000074000000}"/>
    <cellStyle name="Normal 2 49" xfId="119" xr:uid="{00000000-0005-0000-0000-000075000000}"/>
    <cellStyle name="Normal 2 5" xfId="120" xr:uid="{00000000-0005-0000-0000-000076000000}"/>
    <cellStyle name="Normal 2 50" xfId="121" xr:uid="{00000000-0005-0000-0000-000077000000}"/>
    <cellStyle name="Normal 2 51" xfId="122" xr:uid="{00000000-0005-0000-0000-000078000000}"/>
    <cellStyle name="Normal 2 52" xfId="123" xr:uid="{00000000-0005-0000-0000-000079000000}"/>
    <cellStyle name="Normal 2 53" xfId="124" xr:uid="{00000000-0005-0000-0000-00007A000000}"/>
    <cellStyle name="Normal 2 54" xfId="125" xr:uid="{00000000-0005-0000-0000-00007B000000}"/>
    <cellStyle name="Normal 2 55" xfId="126" xr:uid="{00000000-0005-0000-0000-00007C000000}"/>
    <cellStyle name="Normal 2 56" xfId="127" xr:uid="{00000000-0005-0000-0000-00007D000000}"/>
    <cellStyle name="Normal 2 57" xfId="128" xr:uid="{00000000-0005-0000-0000-00007E000000}"/>
    <cellStyle name="Normal 2 58" xfId="129" xr:uid="{00000000-0005-0000-0000-00007F000000}"/>
    <cellStyle name="Normal 2 59" xfId="130" xr:uid="{00000000-0005-0000-0000-000080000000}"/>
    <cellStyle name="Normal 2 6" xfId="131" xr:uid="{00000000-0005-0000-0000-000081000000}"/>
    <cellStyle name="Normal 2 60" xfId="132" xr:uid="{00000000-0005-0000-0000-000082000000}"/>
    <cellStyle name="Normal 2 61" xfId="133" xr:uid="{00000000-0005-0000-0000-000083000000}"/>
    <cellStyle name="Normal 2 62" xfId="134" xr:uid="{00000000-0005-0000-0000-000084000000}"/>
    <cellStyle name="Normal 2 63" xfId="135" xr:uid="{00000000-0005-0000-0000-000085000000}"/>
    <cellStyle name="Normal 2 64" xfId="136" xr:uid="{00000000-0005-0000-0000-000086000000}"/>
    <cellStyle name="Normal 2 65" xfId="137" xr:uid="{00000000-0005-0000-0000-000087000000}"/>
    <cellStyle name="Normal 2 66" xfId="138" xr:uid="{00000000-0005-0000-0000-000088000000}"/>
    <cellStyle name="Normal 2 67" xfId="139" xr:uid="{00000000-0005-0000-0000-000089000000}"/>
    <cellStyle name="Normal 2 68" xfId="140" xr:uid="{00000000-0005-0000-0000-00008A000000}"/>
    <cellStyle name="Normal 2 69" xfId="141" xr:uid="{00000000-0005-0000-0000-00008B000000}"/>
    <cellStyle name="Normal 2 7" xfId="142" xr:uid="{00000000-0005-0000-0000-00008C000000}"/>
    <cellStyle name="Normal 2 70" xfId="143" xr:uid="{00000000-0005-0000-0000-00008D000000}"/>
    <cellStyle name="Normal 2 71" xfId="144" xr:uid="{00000000-0005-0000-0000-00008E000000}"/>
    <cellStyle name="Normal 2 8" xfId="145" xr:uid="{00000000-0005-0000-0000-00008F000000}"/>
    <cellStyle name="Normal 2 9" xfId="146" xr:uid="{00000000-0005-0000-0000-000090000000}"/>
    <cellStyle name="Normal 3" xfId="147" xr:uid="{00000000-0005-0000-0000-000091000000}"/>
    <cellStyle name="Normal 3 2" xfId="157" xr:uid="{00000000-0005-0000-0000-000092000000}"/>
    <cellStyle name="Normal 4" xfId="148" xr:uid="{00000000-0005-0000-0000-000093000000}"/>
    <cellStyle name="Normal 6" xfId="2" xr:uid="{00000000-0005-0000-0000-000094000000}"/>
    <cellStyle name="Normal 67" xfId="149" xr:uid="{00000000-0005-0000-0000-000095000000}"/>
    <cellStyle name="Normal 68" xfId="150" xr:uid="{00000000-0005-0000-0000-000096000000}"/>
    <cellStyle name="Normal_v1.3 Southern Low-Rise graph attempts2" xfId="3" xr:uid="{00000000-0005-0000-0000-000097000000}"/>
    <cellStyle name="Normal_v1.3 Southern Low-Rise graph attempts2.1" xfId="4" xr:uid="{00000000-0005-0000-0000-000098000000}"/>
    <cellStyle name="Percent" xfId="5" builtinId="5"/>
    <cellStyle name="Percent 2" xfId="156" xr:uid="{00000000-0005-0000-0000-00009A000000}"/>
    <cellStyle name="Percent 3" xfId="158" xr:uid="{00000000-0005-0000-0000-00009B000000}"/>
    <cellStyle name="Percent 4" xfId="159" xr:uid="{00000000-0005-0000-0000-00009C000000}"/>
    <cellStyle name="Percent 5" xfId="155" xr:uid="{00000000-0005-0000-0000-00009D000000}"/>
    <cellStyle name="Standaard_Blad1" xfId="151" xr:uid="{00000000-0005-0000-0000-00009E000000}"/>
    <cellStyle name="Standard_ecoinvent2000-names" xfId="152" xr:uid="{00000000-0005-0000-0000-00009F000000}"/>
    <cellStyle name="Wasser" xfId="153" xr:uid="{00000000-0005-0000-0000-0000A0000000}"/>
  </cellStyles>
  <dxfs count="29">
    <dxf>
      <font>
        <color theme="0" tint="-0.499984740745262"/>
      </font>
    </dxf>
    <dxf>
      <font>
        <color theme="0" tint="-0.24994659260841701"/>
      </font>
    </dxf>
    <dxf>
      <font>
        <color theme="0" tint="-0.24994659260841701"/>
      </font>
    </dxf>
    <dxf>
      <font>
        <color theme="0" tint="-0.24994659260841701"/>
      </font>
    </dxf>
    <dxf>
      <font>
        <color rgb="FF00B050"/>
      </font>
    </dxf>
    <dxf>
      <fill>
        <patternFill>
          <bgColor rgb="FFCCFFCC"/>
        </patternFill>
      </fill>
    </dxf>
    <dxf>
      <font>
        <color rgb="FF00B050"/>
      </font>
    </dxf>
    <dxf>
      <font>
        <color rgb="FF00B050"/>
      </font>
    </dxf>
    <dxf>
      <fill>
        <patternFill>
          <bgColor rgb="FFCCFFCC"/>
        </patternFill>
      </fill>
    </dxf>
    <dxf>
      <font>
        <color rgb="FF00B050"/>
      </font>
    </dxf>
    <dxf>
      <fill>
        <patternFill>
          <bgColor rgb="FFCCFFCC"/>
        </patternFill>
      </fill>
    </dxf>
    <dxf>
      <font>
        <color rgb="FF00B050"/>
      </font>
    </dxf>
    <dxf>
      <fill>
        <patternFill>
          <bgColor rgb="FFCCFFCC"/>
        </patternFill>
      </fill>
    </dxf>
    <dxf>
      <font>
        <color rgb="FF00B050"/>
      </font>
    </dxf>
    <dxf>
      <fill>
        <patternFill>
          <bgColor rgb="FFCCFFCC"/>
        </patternFill>
      </fill>
    </dxf>
    <dxf>
      <font>
        <color rgb="FF00B050"/>
      </font>
    </dxf>
    <dxf>
      <fill>
        <patternFill>
          <bgColor rgb="FFFF0000"/>
        </patternFill>
      </fill>
    </dxf>
    <dxf>
      <font>
        <color rgb="FF00B050"/>
      </font>
    </dxf>
    <dxf>
      <font>
        <color rgb="FFFFFF99"/>
      </font>
    </dxf>
    <dxf>
      <font>
        <color rgb="FFFFFF99"/>
      </font>
    </dxf>
    <dxf>
      <font>
        <color rgb="FFFFFF99"/>
      </font>
    </dxf>
    <dxf>
      <font>
        <color rgb="FFFFFF9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CFFCC"/>
        </patternFill>
      </fill>
    </dxf>
  </dxfs>
  <tableStyles count="0" defaultTableStyle="TableStyleMedium9" defaultPivotStyle="PivotStyleLight16"/>
  <colors>
    <mruColors>
      <color rgb="FFCCFFCC"/>
      <color rgb="FFFFFFCC"/>
      <color rgb="FFFFFF99"/>
      <color rgb="FF993300"/>
      <color rgb="FFCC3300"/>
      <color rgb="FFCC6600"/>
      <color rgb="FFFF9900"/>
      <color rgb="FFCC9900"/>
      <color rgb="FF996633"/>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800" b="1" i="0" u="none" strike="noStrike" baseline="0">
                <a:solidFill>
                  <a:srgbClr val="000000"/>
                </a:solidFill>
                <a:latin typeface="Calibri"/>
                <a:ea typeface="Calibri"/>
                <a:cs typeface="Calibri"/>
              </a:defRPr>
            </a:pPr>
            <a:r>
              <a:rPr lang="en-US"/>
              <a:t>CO₂e  Emissions Contribution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0979976512837004E-2"/>
          <c:y val="0.26398378921643184"/>
          <c:w val="0.83978599313741265"/>
          <c:h val="0.73298108460300915"/>
        </c:manualLayout>
      </c:layout>
      <c:pie3DChart>
        <c:varyColors val="1"/>
        <c:ser>
          <c:idx val="0"/>
          <c:order val="0"/>
          <c:tx>
            <c:strRef>
              <c:f>'Principal Summary'!$D$63</c:f>
              <c:strCache>
                <c:ptCount val="1"/>
                <c:pt idx="0">
                  <c:v>Total (short ton)</c:v>
                </c:pt>
              </c:strCache>
            </c:strRef>
          </c:tx>
          <c:explosion val="14"/>
          <c:dLbls>
            <c:dLbl>
              <c:idx val="2"/>
              <c:layout>
                <c:manualLayout>
                  <c:x val="0.15716245553339558"/>
                  <c:y val="1.937839453236664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23C-F749-97FA-44FC28D98E2B}"/>
                </c:ext>
              </c:extLst>
            </c:dLbl>
            <c:numFmt formatCode="0.0%" sourceLinked="0"/>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'Principal Summary'!$C$64:$C$66</c:f>
              <c:strCache>
                <c:ptCount val="3"/>
                <c:pt idx="0">
                  <c:v>Materials</c:v>
                </c:pt>
                <c:pt idx="1">
                  <c:v>Material Transportation</c:v>
                </c:pt>
                <c:pt idx="2">
                  <c:v>Plant Operations</c:v>
                </c:pt>
              </c:strCache>
            </c:strRef>
          </c:cat>
          <c:val>
            <c:numRef>
              <c:f>'Principal Summary'!$D$64:$D$66</c:f>
              <c:numCache>
                <c:formatCode>#,##0</c:formatCode>
                <c:ptCount val="3"/>
                <c:pt idx="0">
                  <c:v>0</c:v>
                </c:pt>
                <c:pt idx="1">
                  <c:v>0</c:v>
                </c:pt>
                <c:pt idx="2">
                  <c:v>0</c:v>
                </c:pt>
              </c:numCache>
            </c:numRef>
          </c:val>
          <c:extLst>
            <c:ext xmlns:c16="http://schemas.microsoft.com/office/drawing/2014/chart" uri="{C3380CC4-5D6E-409C-BE32-E72D297353CC}">
              <c16:uniqueId val="{00000001-423C-F749-97FA-44FC28D98E2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22" l="0.70000000000000062" r="0.70000000000000062" t="0.75000000000000322" header="0.30000000000000032" footer="0.30000000000000032"/>
    <c:pageSetup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rich>
          <a:bodyPr/>
          <a:lstStyle/>
          <a:p>
            <a:pPr algn="ctr">
              <a:defRPr sz="1800" b="1" i="0" u="none" strike="noStrike" baseline="0">
                <a:solidFill>
                  <a:srgbClr val="000000"/>
                </a:solidFill>
                <a:latin typeface="Calibri"/>
                <a:ea typeface="Calibri"/>
                <a:cs typeface="Calibri"/>
              </a:defRPr>
            </a:pPr>
            <a:r>
              <a:rPr lang="en-US"/>
              <a:t>Water Use (litre/tonne of precast)</a:t>
            </a:r>
          </a:p>
        </c:rich>
      </c:tx>
      <c:overlay val="0"/>
    </c:title>
    <c:autoTitleDeleted val="0"/>
    <c:plotArea>
      <c:layout/>
      <c:barChart>
        <c:barDir val="col"/>
        <c:grouping val="clustered"/>
        <c:varyColors val="0"/>
        <c:ser>
          <c:idx val="0"/>
          <c:order val="0"/>
          <c:tx>
            <c:strRef>
              <c:f>'Principal Summary'!$E$295</c:f>
              <c:strCache>
                <c:ptCount val="1"/>
                <c:pt idx="0">
                  <c:v>gallon/tonne precast</c:v>
                </c:pt>
              </c:strCache>
            </c:strRef>
          </c:tx>
          <c:spPr>
            <a:solidFill>
              <a:srgbClr val="A50021"/>
            </a:solidFill>
          </c:spPr>
          <c:invertIfNegative val="0"/>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'Principal Summary'!$C$296:$C$298</c:f>
              <c:strCache>
                <c:ptCount val="3"/>
                <c:pt idx="0">
                  <c:v>Batch Fresh Water Use</c:v>
                </c:pt>
                <c:pt idx="1">
                  <c:v>Other Water Use (washing, recycled for batch, etc.)</c:v>
                </c:pt>
                <c:pt idx="2">
                  <c:v>Upstream Process Water</c:v>
                </c:pt>
              </c:strCache>
            </c:strRef>
          </c:cat>
          <c:val>
            <c:numRef>
              <c:f>'Principal Summary'!$E$296:$E$298</c:f>
              <c:numCache>
                <c:formatCode>#,##0.0_ ;\-#,##0.0\ </c:formatCode>
                <c:ptCount val="3"/>
                <c:pt idx="0">
                  <c:v>0</c:v>
                </c:pt>
                <c:pt idx="1">
                  <c:v>0</c:v>
                </c:pt>
                <c:pt idx="2">
                  <c:v>0</c:v>
                </c:pt>
              </c:numCache>
            </c:numRef>
          </c:val>
          <c:extLst>
            <c:ext xmlns:c16="http://schemas.microsoft.com/office/drawing/2014/chart" uri="{C3380CC4-5D6E-409C-BE32-E72D297353CC}">
              <c16:uniqueId val="{00000000-ACD9-9748-B14F-D87217F95B5F}"/>
            </c:ext>
          </c:extLst>
        </c:ser>
        <c:dLbls>
          <c:showLegendKey val="0"/>
          <c:showVal val="1"/>
          <c:showCatName val="0"/>
          <c:showSerName val="0"/>
          <c:showPercent val="0"/>
          <c:showBubbleSize val="0"/>
        </c:dLbls>
        <c:gapWidth val="150"/>
        <c:axId val="171846272"/>
        <c:axId val="171861504"/>
      </c:barChart>
      <c:catAx>
        <c:axId val="171846272"/>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71861504"/>
        <c:crosses val="autoZero"/>
        <c:auto val="1"/>
        <c:lblAlgn val="ctr"/>
        <c:lblOffset val="100"/>
        <c:noMultiLvlLbl val="0"/>
      </c:catAx>
      <c:valAx>
        <c:axId val="171861504"/>
        <c:scaling>
          <c:orientation val="minMax"/>
        </c:scaling>
        <c:delete val="0"/>
        <c:axPos val="l"/>
        <c:majorGridlines/>
        <c:title>
          <c:tx>
            <c:rich>
              <a:bodyPr/>
              <a:lstStyle/>
              <a:p>
                <a:pPr>
                  <a:defRPr sz="1050" b="1" i="0" u="none" strike="noStrike" baseline="0">
                    <a:solidFill>
                      <a:srgbClr val="000000"/>
                    </a:solidFill>
                    <a:latin typeface="Calibri"/>
                    <a:ea typeface="Calibri"/>
                    <a:cs typeface="Calibri"/>
                  </a:defRPr>
                </a:pPr>
                <a:r>
                  <a:rPr lang="en-CA"/>
                  <a:t>Litre per tonne</a:t>
                </a:r>
              </a:p>
            </c:rich>
          </c:tx>
          <c:layout>
            <c:manualLayout>
              <c:xMode val="edge"/>
              <c:yMode val="edge"/>
              <c:x val="8.0160196581925448E-3"/>
              <c:y val="0.28151983148029247"/>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84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11" l="0.70000000000000062" r="0.70000000000000062" t="0.750000000000004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Material Manufacturing &amp; Transportation Water Use</a:t>
            </a:r>
            <a:r>
              <a:rPr lang="en-US" baseline="0"/>
              <a:t> </a:t>
            </a:r>
            <a:r>
              <a:rPr lang="en-US"/>
              <a:t> (%)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056815063066391E-2"/>
          <c:y val="0.22338582121670417"/>
          <c:w val="0.83980727254910392"/>
          <c:h val="0.76691770502423928"/>
        </c:manualLayout>
      </c:layout>
      <c:pie3DChart>
        <c:varyColors val="1"/>
        <c:ser>
          <c:idx val="0"/>
          <c:order val="0"/>
          <c:tx>
            <c:strRef>
              <c:f>'Principal Summary'!$E$339</c:f>
              <c:strCache>
                <c:ptCount val="1"/>
                <c:pt idx="0">
                  <c:v>Material Manuf. &amp; Transp. Upstream Water Use (kgal)</c:v>
                </c:pt>
              </c:strCache>
            </c:strRef>
          </c:tx>
          <c:explosion val="11"/>
          <c:dLbls>
            <c:dLbl>
              <c:idx val="5"/>
              <c:layout>
                <c:manualLayout>
                  <c:x val="-8.0334829280360689E-2"/>
                  <c:y val="-2.21052686505638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26D-5647-AB69-5663F6E67B20}"/>
                </c:ext>
              </c:extLst>
            </c:dLbl>
            <c:dLbl>
              <c:idx val="6"/>
              <c:layout>
                <c:manualLayout>
                  <c:x val="3.1540902747981242E-2"/>
                  <c:y val="-7.04816768679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6D-5647-AB69-5663F6E67B20}"/>
                </c:ext>
              </c:extLst>
            </c:dLbl>
            <c:spPr>
              <a:noFill/>
              <a:ln>
                <a:noFill/>
              </a:ln>
              <a:effectLst/>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[0]!Chart_Water_Total_Materials</c:f>
            </c:multiLvlStrRef>
          </c:cat>
          <c:val>
            <c:numRef>
              <c:f>[0]!Chart_Water_Total_Values</c:f>
              <c:numCache>
                <c:formatCode>General</c:formatCode>
                <c:ptCount val="1"/>
                <c:pt idx="0">
                  <c:v>1</c:v>
                </c:pt>
              </c:numCache>
            </c:numRef>
          </c:val>
          <c:extLst>
            <c:ext xmlns:c16="http://schemas.microsoft.com/office/drawing/2014/chart" uri="{C3380CC4-5D6E-409C-BE32-E72D297353CC}">
              <c16:uniqueId val="{00000002-D26D-5647-AB69-5663F6E67B2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printSettings>
    <c:headerFooter/>
    <c:pageMargins b="0.75000000000000366" l="0.70000000000000062" r="0.70000000000000062" t="0.75000000000000366"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lrMapOvr bg1="lt1" tx1="dk1" bg2="lt2" tx2="dk2" accent1="accent1" accent2="accent2" accent3="accent3" accent4="accent4" accent5="accent5" accent6="accent6" hlink="hlink" folHlink="folHlink"/>
  <c:chart>
    <c:title>
      <c:tx>
        <c:strRef>
          <c:f>'Chart Data'!$H$335</c:f>
          <c:strCache>
            <c:ptCount val="1"/>
            <c:pt idx="0">
              <c:v>Material Manufacturing &amp; Transportation Upstream Water Use 
(gallon/short ton precast)</c:v>
            </c:pt>
          </c:strCache>
        </c:strRef>
      </c:tx>
      <c:overlay val="0"/>
      <c:txPr>
        <a:bodyPr/>
        <a:lstStyle/>
        <a:p>
          <a:pPr>
            <a:defRPr sz="1400"/>
          </a:pPr>
          <a:endParaRPr lang="en-US"/>
        </a:p>
      </c:txPr>
    </c:title>
    <c:autoTitleDeleted val="0"/>
    <c:plotArea>
      <c:layout>
        <c:manualLayout>
          <c:layoutTarget val="inner"/>
          <c:xMode val="edge"/>
          <c:yMode val="edge"/>
          <c:x val="0.1376518218623482"/>
          <c:y val="0.21739130434782769"/>
          <c:w val="0.85425101214575372"/>
          <c:h val="0.47058823529412036"/>
        </c:manualLayout>
      </c:layout>
      <c:barChart>
        <c:barDir val="col"/>
        <c:grouping val="clustered"/>
        <c:varyColors val="1"/>
        <c:ser>
          <c:idx val="0"/>
          <c:order val="0"/>
          <c:tx>
            <c:strRef>
              <c:f>'Chart Data'!$H$335</c:f>
              <c:strCache>
                <c:ptCount val="1"/>
                <c:pt idx="0">
                  <c:v>Material Manufacturing &amp; Transportation Upstream Water Use 
(gallon/short ton precast)</c:v>
                </c:pt>
              </c:strCache>
            </c:strRef>
          </c:tx>
          <c:spPr>
            <a:solidFill>
              <a:srgbClr val="A50021"/>
            </a:solidFill>
          </c:spPr>
          <c:invertIfNegative val="1"/>
          <c:dPt>
            <c:idx val="0"/>
            <c:invertIfNegative val="1"/>
            <c:bubble3D val="0"/>
            <c:extLst>
              <c:ext xmlns:c16="http://schemas.microsoft.com/office/drawing/2014/chart" uri="{C3380CC4-5D6E-409C-BE32-E72D297353CC}">
                <c16:uniqueId val="{00000000-13CF-B542-8DEF-1945FC6786E1}"/>
              </c:ext>
            </c:extLst>
          </c:dPt>
          <c:dPt>
            <c:idx val="1"/>
            <c:invertIfNegative val="1"/>
            <c:bubble3D val="0"/>
            <c:extLst>
              <c:ext xmlns:c16="http://schemas.microsoft.com/office/drawing/2014/chart" uri="{C3380CC4-5D6E-409C-BE32-E72D297353CC}">
                <c16:uniqueId val="{00000001-13CF-B542-8DEF-1945FC6786E1}"/>
              </c:ext>
            </c:extLst>
          </c:dPt>
          <c:dPt>
            <c:idx val="2"/>
            <c:invertIfNegative val="1"/>
            <c:bubble3D val="0"/>
            <c:extLst>
              <c:ext xmlns:c16="http://schemas.microsoft.com/office/drawing/2014/chart" uri="{C3380CC4-5D6E-409C-BE32-E72D297353CC}">
                <c16:uniqueId val="{00000002-13CF-B542-8DEF-1945FC6786E1}"/>
              </c:ext>
            </c:extLst>
          </c:dPt>
          <c:dPt>
            <c:idx val="3"/>
            <c:invertIfNegative val="1"/>
            <c:bubble3D val="0"/>
            <c:extLst>
              <c:ext xmlns:c16="http://schemas.microsoft.com/office/drawing/2014/chart" uri="{C3380CC4-5D6E-409C-BE32-E72D297353CC}">
                <c16:uniqueId val="{00000003-13CF-B542-8DEF-1945FC6786E1}"/>
              </c:ext>
            </c:extLst>
          </c:dPt>
          <c:dPt>
            <c:idx val="4"/>
            <c:invertIfNegative val="1"/>
            <c:bubble3D val="0"/>
            <c:extLst>
              <c:ext xmlns:c16="http://schemas.microsoft.com/office/drawing/2014/chart" uri="{C3380CC4-5D6E-409C-BE32-E72D297353CC}">
                <c16:uniqueId val="{00000004-13CF-B542-8DEF-1945FC6786E1}"/>
              </c:ext>
            </c:extLst>
          </c:dPt>
          <c:dPt>
            <c:idx val="5"/>
            <c:invertIfNegative val="1"/>
            <c:bubble3D val="0"/>
            <c:extLst>
              <c:ext xmlns:c16="http://schemas.microsoft.com/office/drawing/2014/chart" uri="{C3380CC4-5D6E-409C-BE32-E72D297353CC}">
                <c16:uniqueId val="{00000005-13CF-B542-8DEF-1945FC6786E1}"/>
              </c:ext>
            </c:extLst>
          </c:dPt>
          <c:dPt>
            <c:idx val="6"/>
            <c:invertIfNegative val="1"/>
            <c:bubble3D val="0"/>
            <c:extLst>
              <c:ext xmlns:c16="http://schemas.microsoft.com/office/drawing/2014/chart" uri="{C3380CC4-5D6E-409C-BE32-E72D297353CC}">
                <c16:uniqueId val="{00000006-13CF-B542-8DEF-1945FC6786E1}"/>
              </c:ext>
            </c:extLst>
          </c:dPt>
          <c:dPt>
            <c:idx val="7"/>
            <c:invertIfNegative val="1"/>
            <c:bubble3D val="0"/>
            <c:extLst>
              <c:ext xmlns:c16="http://schemas.microsoft.com/office/drawing/2014/chart" uri="{C3380CC4-5D6E-409C-BE32-E72D297353CC}">
                <c16:uniqueId val="{00000007-13CF-B542-8DEF-1945FC6786E1}"/>
              </c:ext>
            </c:extLst>
          </c:dPt>
          <c:dPt>
            <c:idx val="8"/>
            <c:invertIfNegative val="1"/>
            <c:bubble3D val="0"/>
            <c:extLst>
              <c:ext xmlns:c16="http://schemas.microsoft.com/office/drawing/2014/chart" uri="{C3380CC4-5D6E-409C-BE32-E72D297353CC}">
                <c16:uniqueId val="{00000008-13CF-B542-8DEF-1945FC6786E1}"/>
              </c:ext>
            </c:extLst>
          </c:dPt>
          <c:dPt>
            <c:idx val="9"/>
            <c:invertIfNegative val="1"/>
            <c:bubble3D val="0"/>
            <c:extLst>
              <c:ext xmlns:c16="http://schemas.microsoft.com/office/drawing/2014/chart" uri="{C3380CC4-5D6E-409C-BE32-E72D297353CC}">
                <c16:uniqueId val="{00000009-13CF-B542-8DEF-1945FC6786E1}"/>
              </c:ext>
            </c:extLst>
          </c:dPt>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[0]!Chart_Water_perTonne_Materials</c:f>
            </c:multiLvlStrRef>
          </c:cat>
          <c:val>
            <c:numRef>
              <c:f>[0]!Chart_Water_perTonne_Values</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A-13CF-B542-8DEF-1945FC6786E1}"/>
            </c:ext>
          </c:extLst>
        </c:ser>
        <c:dLbls>
          <c:showLegendKey val="0"/>
          <c:showVal val="1"/>
          <c:showCatName val="0"/>
          <c:showSerName val="0"/>
          <c:showPercent val="0"/>
          <c:showBubbleSize val="0"/>
        </c:dLbls>
        <c:gapWidth val="150"/>
        <c:axId val="173095936"/>
        <c:axId val="173107456"/>
      </c:barChart>
      <c:catAx>
        <c:axId val="17309593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CA" sz="1200"/>
                  <a:t>Material</a:t>
                </a:r>
              </a:p>
            </c:rich>
          </c:tx>
          <c:overlay val="0"/>
        </c:title>
        <c:numFmt formatCode="General" sourceLinked="1"/>
        <c:majorTickMark val="out"/>
        <c:minorTickMark val="none"/>
        <c:tickLblPos val="nextTo"/>
        <c:txPr>
          <a:bodyPr rot="-1200000" vert="horz"/>
          <a:lstStyle/>
          <a:p>
            <a:pPr>
              <a:defRPr sz="1100" b="0" i="0" u="none" strike="noStrike" baseline="0">
                <a:solidFill>
                  <a:srgbClr val="000000"/>
                </a:solidFill>
                <a:latin typeface="Calibri"/>
                <a:ea typeface="Calibri"/>
                <a:cs typeface="Calibri"/>
              </a:defRPr>
            </a:pPr>
            <a:endParaRPr lang="en-US"/>
          </a:p>
        </c:txPr>
        <c:crossAx val="173107456"/>
        <c:crosses val="autoZero"/>
        <c:auto val="1"/>
        <c:lblAlgn val="ctr"/>
        <c:lblOffset val="100"/>
        <c:noMultiLvlLbl val="0"/>
      </c:catAx>
      <c:valAx>
        <c:axId val="173107456"/>
        <c:scaling>
          <c:orientation val="minMax"/>
        </c:scaling>
        <c:delete val="0"/>
        <c:axPos val="l"/>
        <c:majorGridlines/>
        <c:title>
          <c:tx>
            <c:strRef>
              <c:f>'Chart Data'!$H$337</c:f>
              <c:strCache>
                <c:ptCount val="1"/>
                <c:pt idx="0">
                  <c:v>gallon/short ton</c:v>
                </c:pt>
              </c:strCache>
            </c:strRef>
          </c:tx>
          <c:layout>
            <c:manualLayout>
              <c:xMode val="edge"/>
              <c:yMode val="edge"/>
              <c:x val="1.7629826632202309E-2"/>
              <c:y val="0.35230344594022561"/>
            </c:manualLayout>
          </c:layout>
          <c:overlay val="0"/>
          <c:txPr>
            <a:bodyPr rot="-5400000" vert="horz"/>
            <a:lstStyle/>
            <a:p>
              <a:pPr>
                <a:defRPr b="1"/>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095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strRef>
          <c:f>'Chart Data'!$H$63</c:f>
          <c:strCache>
            <c:ptCount val="1"/>
            <c:pt idx="0">
              <c:v>CO₂e Emissions by Contribution 
(lbs/short ton precast)</c:v>
            </c:pt>
          </c:strCache>
        </c:strRef>
      </c:tx>
      <c:overlay val="0"/>
      <c:txPr>
        <a:bodyPr/>
        <a:lstStyle/>
        <a:p>
          <a:pPr algn="ct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strRef>
              <c:f>'Principal Summary'!$E$63</c:f>
              <c:strCache>
                <c:ptCount val="1"/>
                <c:pt idx="0">
                  <c:v>lbs/short ton precast</c:v>
                </c:pt>
              </c:strCache>
            </c:strRef>
          </c:tx>
          <c:spPr>
            <a:solidFill>
              <a:srgbClr val="A50021"/>
            </a:solidFill>
          </c:spPr>
          <c:invertIfNegative val="0"/>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'Principal Summary'!$C$64:$C$66</c:f>
              <c:strCache>
                <c:ptCount val="3"/>
                <c:pt idx="0">
                  <c:v>Materials</c:v>
                </c:pt>
                <c:pt idx="1">
                  <c:v>Material Transportation</c:v>
                </c:pt>
                <c:pt idx="2">
                  <c:v>Plant Operations</c:v>
                </c:pt>
              </c:strCache>
            </c:strRef>
          </c:cat>
          <c:val>
            <c:numRef>
              <c:f>'Principal Summary'!$E$64:$E$66</c:f>
              <c:numCache>
                <c:formatCode>#,##0</c:formatCode>
                <c:ptCount val="3"/>
                <c:pt idx="0">
                  <c:v>0</c:v>
                </c:pt>
                <c:pt idx="1">
                  <c:v>0</c:v>
                </c:pt>
                <c:pt idx="2">
                  <c:v>0</c:v>
                </c:pt>
              </c:numCache>
            </c:numRef>
          </c:val>
          <c:extLst>
            <c:ext xmlns:c16="http://schemas.microsoft.com/office/drawing/2014/chart" uri="{C3380CC4-5D6E-409C-BE32-E72D297353CC}">
              <c16:uniqueId val="{00000000-4531-C440-B21F-D296BD59A86B}"/>
            </c:ext>
          </c:extLst>
        </c:ser>
        <c:dLbls>
          <c:showLegendKey val="0"/>
          <c:showVal val="1"/>
          <c:showCatName val="0"/>
          <c:showSerName val="0"/>
          <c:showPercent val="0"/>
          <c:showBubbleSize val="0"/>
        </c:dLbls>
        <c:gapWidth val="150"/>
        <c:axId val="170864000"/>
        <c:axId val="170867328"/>
      </c:barChart>
      <c:catAx>
        <c:axId val="17086400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CA" sz="1200"/>
                  <a:t>Life Cycle Stage</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70867328"/>
        <c:crosses val="autoZero"/>
        <c:auto val="1"/>
        <c:lblAlgn val="ctr"/>
        <c:lblOffset val="100"/>
        <c:noMultiLvlLbl val="0"/>
      </c:catAx>
      <c:valAx>
        <c:axId val="170867328"/>
        <c:scaling>
          <c:orientation val="minMax"/>
        </c:scaling>
        <c:delete val="0"/>
        <c:axPos val="l"/>
        <c:majorGridlines/>
        <c:title>
          <c:tx>
            <c:strRef>
              <c:f>'Chart Data'!$H$65</c:f>
              <c:strCache>
                <c:ptCount val="1"/>
                <c:pt idx="0">
                  <c:v>lbs/short ton</c:v>
                </c:pt>
              </c:strCache>
            </c:strRef>
          </c:tx>
          <c:layout>
            <c:manualLayout>
              <c:xMode val="edge"/>
              <c:yMode val="edge"/>
              <c:x val="8.0161013527155229E-3"/>
              <c:y val="0.34173499280331893"/>
            </c:manualLayout>
          </c:layout>
          <c:overlay val="0"/>
          <c:txPr>
            <a:bodyPr/>
            <a:lstStyle/>
            <a:p>
              <a:pPr>
                <a:defRPr sz="1050" b="1" i="0" u="none" strike="noStrike" baseline="0">
                  <a:solidFill>
                    <a:srgbClr val="000000"/>
                  </a:solidFill>
                  <a:latin typeface="Calibri"/>
                  <a:ea typeface="Calibri"/>
                  <a:cs typeface="Calibri"/>
                </a:defRPr>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6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strRef>
          <c:f>'Chart Data'!$H$101</c:f>
          <c:strCache>
            <c:ptCount val="1"/>
            <c:pt idx="0">
              <c:v>CO₂e Emissions by Material 
(short ton/short ton precast)</c:v>
            </c:pt>
          </c:strCache>
        </c:strRef>
      </c:tx>
      <c:overlay val="0"/>
      <c:txPr>
        <a:bodyPr/>
        <a:lstStyle/>
        <a:p>
          <a:pPr>
            <a:defRPr sz="1400"/>
          </a:pPr>
          <a:endParaRPr lang="en-US"/>
        </a:p>
      </c:txPr>
    </c:title>
    <c:autoTitleDeleted val="0"/>
    <c:plotArea>
      <c:layout>
        <c:manualLayout>
          <c:layoutTarget val="inner"/>
          <c:xMode val="edge"/>
          <c:yMode val="edge"/>
          <c:x val="0.1376518218623482"/>
          <c:y val="0.21739130434782758"/>
          <c:w val="0.85425101214575339"/>
          <c:h val="0.47058823529412014"/>
        </c:manualLayout>
      </c:layout>
      <c:barChart>
        <c:barDir val="col"/>
        <c:grouping val="clustered"/>
        <c:varyColors val="1"/>
        <c:ser>
          <c:idx val="0"/>
          <c:order val="0"/>
          <c:tx>
            <c:strRef>
              <c:f>'Principal Summary'!$H$106</c:f>
              <c:strCache>
                <c:ptCount val="1"/>
                <c:pt idx="0">
                  <c:v>Material Manufacturing &amp; Transportation GWP (lbs CO₂e/short ton of precast)</c:v>
                </c:pt>
              </c:strCache>
            </c:strRef>
          </c:tx>
          <c:spPr>
            <a:solidFill>
              <a:srgbClr val="A50021"/>
            </a:solidFill>
          </c:spPr>
          <c:invertIfNegative val="1"/>
          <c:dPt>
            <c:idx val="0"/>
            <c:invertIfNegative val="1"/>
            <c:bubble3D val="0"/>
            <c:extLst>
              <c:ext xmlns:c16="http://schemas.microsoft.com/office/drawing/2014/chart" uri="{C3380CC4-5D6E-409C-BE32-E72D297353CC}">
                <c16:uniqueId val="{00000000-6479-804F-B8EC-99902BD46407}"/>
              </c:ext>
            </c:extLst>
          </c:dPt>
          <c:dPt>
            <c:idx val="1"/>
            <c:invertIfNegative val="1"/>
            <c:bubble3D val="0"/>
            <c:extLst>
              <c:ext xmlns:c16="http://schemas.microsoft.com/office/drawing/2014/chart" uri="{C3380CC4-5D6E-409C-BE32-E72D297353CC}">
                <c16:uniqueId val="{00000001-6479-804F-B8EC-99902BD46407}"/>
              </c:ext>
            </c:extLst>
          </c:dPt>
          <c:dPt>
            <c:idx val="2"/>
            <c:invertIfNegative val="1"/>
            <c:bubble3D val="0"/>
            <c:extLst>
              <c:ext xmlns:c16="http://schemas.microsoft.com/office/drawing/2014/chart" uri="{C3380CC4-5D6E-409C-BE32-E72D297353CC}">
                <c16:uniqueId val="{00000002-6479-804F-B8EC-99902BD46407}"/>
              </c:ext>
            </c:extLst>
          </c:dPt>
          <c:dPt>
            <c:idx val="3"/>
            <c:invertIfNegative val="1"/>
            <c:bubble3D val="0"/>
            <c:extLst>
              <c:ext xmlns:c16="http://schemas.microsoft.com/office/drawing/2014/chart" uri="{C3380CC4-5D6E-409C-BE32-E72D297353CC}">
                <c16:uniqueId val="{00000003-6479-804F-B8EC-99902BD46407}"/>
              </c:ext>
            </c:extLst>
          </c:dPt>
          <c:dPt>
            <c:idx val="4"/>
            <c:invertIfNegative val="1"/>
            <c:bubble3D val="0"/>
            <c:extLst>
              <c:ext xmlns:c16="http://schemas.microsoft.com/office/drawing/2014/chart" uri="{C3380CC4-5D6E-409C-BE32-E72D297353CC}">
                <c16:uniqueId val="{00000004-6479-804F-B8EC-99902BD46407}"/>
              </c:ext>
            </c:extLst>
          </c:dPt>
          <c:dPt>
            <c:idx val="5"/>
            <c:invertIfNegative val="1"/>
            <c:bubble3D val="0"/>
            <c:extLst>
              <c:ext xmlns:c16="http://schemas.microsoft.com/office/drawing/2014/chart" uri="{C3380CC4-5D6E-409C-BE32-E72D297353CC}">
                <c16:uniqueId val="{00000005-6479-804F-B8EC-99902BD46407}"/>
              </c:ext>
            </c:extLst>
          </c:dPt>
          <c:dPt>
            <c:idx val="6"/>
            <c:invertIfNegative val="1"/>
            <c:bubble3D val="0"/>
            <c:extLst>
              <c:ext xmlns:c16="http://schemas.microsoft.com/office/drawing/2014/chart" uri="{C3380CC4-5D6E-409C-BE32-E72D297353CC}">
                <c16:uniqueId val="{00000006-6479-804F-B8EC-99902BD46407}"/>
              </c:ext>
            </c:extLst>
          </c:dPt>
          <c:dPt>
            <c:idx val="7"/>
            <c:invertIfNegative val="1"/>
            <c:bubble3D val="0"/>
            <c:extLst>
              <c:ext xmlns:c16="http://schemas.microsoft.com/office/drawing/2014/chart" uri="{C3380CC4-5D6E-409C-BE32-E72D297353CC}">
                <c16:uniqueId val="{00000007-6479-804F-B8EC-99902BD46407}"/>
              </c:ext>
            </c:extLst>
          </c:dPt>
          <c:dPt>
            <c:idx val="8"/>
            <c:invertIfNegative val="1"/>
            <c:bubble3D val="0"/>
            <c:extLst>
              <c:ext xmlns:c16="http://schemas.microsoft.com/office/drawing/2014/chart" uri="{C3380CC4-5D6E-409C-BE32-E72D297353CC}">
                <c16:uniqueId val="{00000008-6479-804F-B8EC-99902BD46407}"/>
              </c:ext>
            </c:extLst>
          </c:dPt>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[0]!Chart_GWP_PerTonne_Materials</c:f>
            </c:multiLvlStrRef>
          </c:cat>
          <c:val>
            <c:numRef>
              <c:f>[0]!Chart_GWP_PerTonne_Values</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9-6479-804F-B8EC-99902BD46407}"/>
            </c:ext>
          </c:extLst>
        </c:ser>
        <c:dLbls>
          <c:showLegendKey val="0"/>
          <c:showVal val="1"/>
          <c:showCatName val="0"/>
          <c:showSerName val="0"/>
          <c:showPercent val="0"/>
          <c:showBubbleSize val="0"/>
        </c:dLbls>
        <c:gapWidth val="150"/>
        <c:axId val="170891136"/>
        <c:axId val="170902656"/>
      </c:barChart>
      <c:catAx>
        <c:axId val="17089113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CA" sz="1200"/>
                  <a:t>Material</a:t>
                </a:r>
              </a:p>
            </c:rich>
          </c:tx>
          <c:overlay val="0"/>
        </c:title>
        <c:numFmt formatCode="General" sourceLinked="1"/>
        <c:majorTickMark val="out"/>
        <c:minorTickMark val="none"/>
        <c:tickLblPos val="nextTo"/>
        <c:txPr>
          <a:bodyPr rot="-1200000" vert="horz"/>
          <a:lstStyle/>
          <a:p>
            <a:pPr>
              <a:defRPr sz="1100" b="0" i="0" u="none" strike="noStrike" baseline="0">
                <a:solidFill>
                  <a:srgbClr val="000000"/>
                </a:solidFill>
                <a:latin typeface="Calibri"/>
                <a:ea typeface="Calibri"/>
                <a:cs typeface="Calibri"/>
              </a:defRPr>
            </a:pPr>
            <a:endParaRPr lang="en-US"/>
          </a:p>
        </c:txPr>
        <c:crossAx val="170902656"/>
        <c:crosses val="autoZero"/>
        <c:auto val="1"/>
        <c:lblAlgn val="ctr"/>
        <c:lblOffset val="100"/>
        <c:noMultiLvlLbl val="0"/>
      </c:catAx>
      <c:valAx>
        <c:axId val="170902656"/>
        <c:scaling>
          <c:orientation val="minMax"/>
        </c:scaling>
        <c:delete val="0"/>
        <c:axPos val="l"/>
        <c:majorGridlines/>
        <c:title>
          <c:tx>
            <c:strRef>
              <c:f>'Chart Data'!$H$103</c:f>
              <c:strCache>
                <c:ptCount val="1"/>
                <c:pt idx="0">
                  <c:v>short ton/short ton</c:v>
                </c:pt>
              </c:strCache>
            </c:strRef>
          </c:tx>
          <c:layout>
            <c:manualLayout>
              <c:xMode val="edge"/>
              <c:yMode val="edge"/>
              <c:x val="1.8864391951006126E-2"/>
              <c:y val="0.30355792622696381"/>
            </c:manualLayout>
          </c:layout>
          <c:overlay val="0"/>
          <c:txPr>
            <a:bodyPr rot="-5400000" vert="horz"/>
            <a:lstStyle/>
            <a:p>
              <a:pPr>
                <a:defRPr b="1"/>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91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 Manufacturing</a:t>
            </a:r>
            <a:r>
              <a:rPr lang="en-US" baseline="0"/>
              <a:t> &amp; Transportation GWP (%)</a:t>
            </a:r>
            <a:r>
              <a:rPr lang="en-US"/>
              <a:t>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2554822399777346"/>
          <c:y val="0.27640107416416448"/>
          <c:w val="0.78286085373349201"/>
          <c:h val="0.71655311523053078"/>
        </c:manualLayout>
      </c:layout>
      <c:pie3DChart>
        <c:varyColors val="1"/>
        <c:ser>
          <c:idx val="0"/>
          <c:order val="0"/>
          <c:tx>
            <c:strRef>
              <c:f>'Principal Summary'!$E$106</c:f>
              <c:strCache>
                <c:ptCount val="1"/>
                <c:pt idx="0">
                  <c:v>Material Manufacturing &amp; Transportation GWP (short ton CO₂e)</c:v>
                </c:pt>
              </c:strCache>
            </c:strRef>
          </c:tx>
          <c:explosion val="11"/>
          <c:dLbls>
            <c:dLbl>
              <c:idx val="8"/>
              <c:layout>
                <c:manualLayout>
                  <c:x val="-5.9935368903629313E-2"/>
                  <c:y val="-9.4815483960381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CA7-034F-98E3-19993856242B}"/>
                </c:ext>
              </c:extLst>
            </c:dLbl>
            <c:spPr>
              <a:noFill/>
              <a:ln>
                <a:noFill/>
              </a:ln>
              <a:effectLst/>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[0]!Chart_GWP_Total_Materials</c:f>
            </c:multiLvlStrRef>
          </c:cat>
          <c:val>
            <c:numRef>
              <c:f>[0]!Chart_GWP_Total_Values</c:f>
              <c:numCache>
                <c:formatCode>General</c:formatCode>
                <c:ptCount val="1"/>
                <c:pt idx="0">
                  <c:v>1</c:v>
                </c:pt>
              </c:numCache>
            </c:numRef>
          </c:val>
          <c:extLst>
            <c:ext xmlns:c16="http://schemas.microsoft.com/office/drawing/2014/chart" uri="{C3380CC4-5D6E-409C-BE32-E72D297353CC}">
              <c16:uniqueId val="{00000001-FCA7-034F-98E3-19993856242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printSettings>
    <c:headerFooter/>
    <c:pageMargins b="0.75000000000000344" l="0.70000000000000062" r="0.70000000000000062" t="0.75000000000000344"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800" b="1" i="0" u="none" strike="noStrike" baseline="0">
                <a:solidFill>
                  <a:srgbClr val="000000"/>
                </a:solidFill>
                <a:latin typeface="Calibri"/>
                <a:ea typeface="Calibri"/>
                <a:cs typeface="Calibri"/>
              </a:defRPr>
            </a:pPr>
            <a:r>
              <a:rPr lang="en-US"/>
              <a:t>Total Primary Energy Contribution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0979976512837004E-2"/>
          <c:y val="0.26111418407409831"/>
          <c:w val="0.83978599313741265"/>
          <c:h val="0.73298108460300948"/>
        </c:manualLayout>
      </c:layout>
      <c:pie3DChart>
        <c:varyColors val="1"/>
        <c:ser>
          <c:idx val="0"/>
          <c:order val="0"/>
          <c:tx>
            <c:strRef>
              <c:f>'Principal Summary'!$D$177</c:f>
              <c:strCache>
                <c:ptCount val="1"/>
                <c:pt idx="0">
                  <c:v>Total (MMBtu)</c:v>
                </c:pt>
              </c:strCache>
            </c:strRef>
          </c:tx>
          <c:explosion val="14"/>
          <c:dLbls>
            <c:dLbl>
              <c:idx val="2"/>
              <c:layout>
                <c:manualLayout>
                  <c:x val="0.1571624555333957"/>
                  <c:y val="1.937839453236664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7B7-8248-ADCF-7BA1007C9CF6}"/>
                </c:ext>
              </c:extLst>
            </c:dLbl>
            <c:numFmt formatCode="0.0%" sourceLinked="0"/>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'Principal Summary'!$C$178:$C$180</c:f>
              <c:strCache>
                <c:ptCount val="3"/>
                <c:pt idx="0">
                  <c:v>Materials</c:v>
                </c:pt>
                <c:pt idx="1">
                  <c:v>Material Transportation</c:v>
                </c:pt>
                <c:pt idx="2">
                  <c:v>Plant Operations</c:v>
                </c:pt>
              </c:strCache>
            </c:strRef>
          </c:cat>
          <c:val>
            <c:numRef>
              <c:f>'Principal Summary'!$D$178:$D$180</c:f>
              <c:numCache>
                <c:formatCode>#,##0</c:formatCode>
                <c:ptCount val="3"/>
                <c:pt idx="0">
                  <c:v>0</c:v>
                </c:pt>
                <c:pt idx="1">
                  <c:v>0</c:v>
                </c:pt>
                <c:pt idx="2">
                  <c:v>0</c:v>
                </c:pt>
              </c:numCache>
            </c:numRef>
          </c:val>
          <c:extLst>
            <c:ext xmlns:c16="http://schemas.microsoft.com/office/drawing/2014/chart" uri="{C3380CC4-5D6E-409C-BE32-E72D297353CC}">
              <c16:uniqueId val="{00000001-A7B7-8248-ADCF-7BA1007C9CF6}"/>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44" l="0.70000000000000062" r="0.70000000000000062" t="0.75000000000000344" header="0.30000000000000032" footer="0.30000000000000032"/>
    <c:pageSetup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strRef>
          <c:f>'Chart Data'!$H$177</c:f>
          <c:strCache>
            <c:ptCount val="1"/>
            <c:pt idx="0">
              <c:v>Total Primary Energy by Contribution 
(MBtu/short ton precast)</c:v>
            </c:pt>
          </c:strCache>
        </c:strRef>
      </c:tx>
      <c:overlay val="0"/>
      <c:txPr>
        <a:bodyPr/>
        <a:lstStyle/>
        <a:p>
          <a:pPr algn="ctr">
            <a:defRPr sz="1800" b="1" i="0" u="none" strike="noStrike" baseline="0">
              <a:solidFill>
                <a:srgbClr val="000000"/>
              </a:solidFill>
              <a:latin typeface="Calibri"/>
              <a:ea typeface="Calibri"/>
              <a:cs typeface="Calibri"/>
            </a:defRPr>
          </a:pPr>
          <a:endParaRPr lang="en-US"/>
        </a:p>
      </c:txPr>
    </c:title>
    <c:autoTitleDeleted val="0"/>
    <c:plotArea>
      <c:layout/>
      <c:barChart>
        <c:barDir val="col"/>
        <c:grouping val="clustered"/>
        <c:varyColors val="0"/>
        <c:ser>
          <c:idx val="0"/>
          <c:order val="0"/>
          <c:tx>
            <c:strRef>
              <c:f>'Principal Summary'!$E$177</c:f>
              <c:strCache>
                <c:ptCount val="1"/>
                <c:pt idx="0">
                  <c:v>MBtu/ short ton precast</c:v>
                </c:pt>
              </c:strCache>
            </c:strRef>
          </c:tx>
          <c:spPr>
            <a:solidFill>
              <a:srgbClr val="A50021"/>
            </a:solidFill>
          </c:spPr>
          <c:invertIfNegative val="0"/>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'Principal Summary'!$C$178:$C$180</c:f>
              <c:strCache>
                <c:ptCount val="3"/>
                <c:pt idx="0">
                  <c:v>Materials</c:v>
                </c:pt>
                <c:pt idx="1">
                  <c:v>Material Transportation</c:v>
                </c:pt>
                <c:pt idx="2">
                  <c:v>Plant Operations</c:v>
                </c:pt>
              </c:strCache>
            </c:strRef>
          </c:cat>
          <c:val>
            <c:numRef>
              <c:f>'Principal Summary'!$E$178:$E$180</c:f>
              <c:numCache>
                <c:formatCode>#,##0_ ;\-#,##0\ </c:formatCode>
                <c:ptCount val="3"/>
                <c:pt idx="0">
                  <c:v>0</c:v>
                </c:pt>
                <c:pt idx="1">
                  <c:v>0</c:v>
                </c:pt>
                <c:pt idx="2">
                  <c:v>0</c:v>
                </c:pt>
              </c:numCache>
            </c:numRef>
          </c:val>
          <c:extLst>
            <c:ext xmlns:c16="http://schemas.microsoft.com/office/drawing/2014/chart" uri="{C3380CC4-5D6E-409C-BE32-E72D297353CC}">
              <c16:uniqueId val="{00000000-EB4B-444B-B986-52D828A82798}"/>
            </c:ext>
          </c:extLst>
        </c:ser>
        <c:dLbls>
          <c:showLegendKey val="0"/>
          <c:showVal val="1"/>
          <c:showCatName val="0"/>
          <c:showSerName val="0"/>
          <c:showPercent val="0"/>
          <c:showBubbleSize val="0"/>
        </c:dLbls>
        <c:gapWidth val="150"/>
        <c:axId val="171041920"/>
        <c:axId val="171078016"/>
      </c:barChart>
      <c:catAx>
        <c:axId val="171041920"/>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CA" sz="1200"/>
                  <a:t>Life Cycle Stage</a:t>
                </a:r>
              </a:p>
            </c:rich>
          </c:tx>
          <c:overlay val="0"/>
        </c:title>
        <c:numFmt formatCode="General"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71078016"/>
        <c:crosses val="autoZero"/>
        <c:auto val="1"/>
        <c:lblAlgn val="ctr"/>
        <c:lblOffset val="100"/>
        <c:noMultiLvlLbl val="0"/>
      </c:catAx>
      <c:valAx>
        <c:axId val="171078016"/>
        <c:scaling>
          <c:orientation val="minMax"/>
        </c:scaling>
        <c:delete val="0"/>
        <c:axPos val="l"/>
        <c:majorGridlines/>
        <c:title>
          <c:tx>
            <c:strRef>
              <c:f>'Chart Data'!$H$179</c:f>
              <c:strCache>
                <c:ptCount val="1"/>
                <c:pt idx="0">
                  <c:v>MBtu/short ton</c:v>
                </c:pt>
              </c:strCache>
            </c:strRef>
          </c:tx>
          <c:layout>
            <c:manualLayout>
              <c:xMode val="edge"/>
              <c:yMode val="edge"/>
              <c:x val="9.618539269129844E-3"/>
              <c:y val="0.38474574549149099"/>
            </c:manualLayout>
          </c:layout>
          <c:overlay val="0"/>
          <c:txPr>
            <a:bodyPr/>
            <a:lstStyle/>
            <a:p>
              <a:pPr>
                <a:defRPr sz="1050" b="1" i="0" u="none" strike="noStrike" baseline="0">
                  <a:solidFill>
                    <a:srgbClr val="000000"/>
                  </a:solidFill>
                  <a:latin typeface="Calibri"/>
                  <a:ea typeface="Calibri"/>
                  <a:cs typeface="Calibri"/>
                </a:defRPr>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41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Material Manufacturing &amp; Transportation TPE (%)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056815063066391E-2"/>
          <c:y val="0.22338582121670417"/>
          <c:w val="0.83980727254910392"/>
          <c:h val="0.76691770502423928"/>
        </c:manualLayout>
      </c:layout>
      <c:pie3DChart>
        <c:varyColors val="1"/>
        <c:ser>
          <c:idx val="0"/>
          <c:order val="0"/>
          <c:tx>
            <c:strRef>
              <c:f>'Principal Summary'!$E$221</c:f>
              <c:strCache>
                <c:ptCount val="1"/>
                <c:pt idx="0">
                  <c:v>Material Manufacturing &amp; Transportation TPE (MMBtu)</c:v>
                </c:pt>
              </c:strCache>
            </c:strRef>
          </c:tx>
          <c:explosion val="11"/>
          <c:dLbls>
            <c:dLbl>
              <c:idx val="5"/>
              <c:layout>
                <c:manualLayout>
                  <c:x val="-8.0334829280360689E-2"/>
                  <c:y val="-2.21052686505638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94-DE45-AED8-C5867A2D3979}"/>
                </c:ext>
              </c:extLst>
            </c:dLbl>
            <c:dLbl>
              <c:idx val="6"/>
              <c:layout>
                <c:manualLayout>
                  <c:x val="3.1540902747981242E-2"/>
                  <c:y val="-7.04816768679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94-DE45-AED8-C5867A2D3979}"/>
                </c:ext>
              </c:extLst>
            </c:dLbl>
            <c:spPr>
              <a:noFill/>
              <a:ln>
                <a:noFill/>
              </a:ln>
              <a:effectLst/>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[0]!Chart_PE_Total_Materials</c:f>
            </c:multiLvlStrRef>
          </c:cat>
          <c:val>
            <c:numRef>
              <c:f>[0]!Chart_PE_Total_Values</c:f>
              <c:numCache>
                <c:formatCode>General</c:formatCode>
                <c:ptCount val="1"/>
                <c:pt idx="0">
                  <c:v>1</c:v>
                </c:pt>
              </c:numCache>
            </c:numRef>
          </c:val>
          <c:extLst>
            <c:ext xmlns:c16="http://schemas.microsoft.com/office/drawing/2014/chart" uri="{C3380CC4-5D6E-409C-BE32-E72D297353CC}">
              <c16:uniqueId val="{00000002-6594-DE45-AED8-C5867A2D397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printSettings>
    <c:headerFooter/>
    <c:pageMargins b="0.75000000000000366" l="0.70000000000000062" r="0.70000000000000062" t="0.7500000000000036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8"/>
    </mc:Choice>
    <mc:Fallback>
      <c:style val="28"/>
    </mc:Fallback>
  </mc:AlternateContent>
  <c:chart>
    <c:title>
      <c:tx>
        <c:strRef>
          <c:f>'Chart Data'!$H$217</c:f>
          <c:strCache>
            <c:ptCount val="1"/>
            <c:pt idx="0">
              <c:v>Total Primary Energy by Material 
(MMBtu/short ton precast)</c:v>
            </c:pt>
          </c:strCache>
        </c:strRef>
      </c:tx>
      <c:overlay val="0"/>
      <c:txPr>
        <a:bodyPr/>
        <a:lstStyle/>
        <a:p>
          <a:pPr>
            <a:defRPr sz="1400"/>
          </a:pPr>
          <a:endParaRPr lang="en-US"/>
        </a:p>
      </c:txPr>
    </c:title>
    <c:autoTitleDeleted val="0"/>
    <c:plotArea>
      <c:layout>
        <c:manualLayout>
          <c:layoutTarget val="inner"/>
          <c:xMode val="edge"/>
          <c:yMode val="edge"/>
          <c:x val="0.1376518218623482"/>
          <c:y val="0.21739130434782769"/>
          <c:w val="0.85425101214575372"/>
          <c:h val="0.47058823529412036"/>
        </c:manualLayout>
      </c:layout>
      <c:barChart>
        <c:barDir val="col"/>
        <c:grouping val="clustered"/>
        <c:varyColors val="1"/>
        <c:ser>
          <c:idx val="0"/>
          <c:order val="0"/>
          <c:tx>
            <c:strRef>
              <c:f>'Principal Summary'!$H$221</c:f>
              <c:strCache>
                <c:ptCount val="1"/>
                <c:pt idx="0">
                  <c:v>Material Manufacturing &amp; Transportation TPE (MBtu/short ton precast)</c:v>
                </c:pt>
              </c:strCache>
            </c:strRef>
          </c:tx>
          <c:spPr>
            <a:solidFill>
              <a:srgbClr val="A50021"/>
            </a:solidFill>
          </c:spPr>
          <c:invertIfNegative val="1"/>
          <c:dPt>
            <c:idx val="0"/>
            <c:invertIfNegative val="1"/>
            <c:bubble3D val="0"/>
            <c:extLst>
              <c:ext xmlns:c16="http://schemas.microsoft.com/office/drawing/2014/chart" uri="{C3380CC4-5D6E-409C-BE32-E72D297353CC}">
                <c16:uniqueId val="{00000000-ADC5-DA40-96EC-19045C7294B9}"/>
              </c:ext>
            </c:extLst>
          </c:dPt>
          <c:dPt>
            <c:idx val="1"/>
            <c:invertIfNegative val="1"/>
            <c:bubble3D val="0"/>
            <c:extLst>
              <c:ext xmlns:c16="http://schemas.microsoft.com/office/drawing/2014/chart" uri="{C3380CC4-5D6E-409C-BE32-E72D297353CC}">
                <c16:uniqueId val="{00000001-ADC5-DA40-96EC-19045C7294B9}"/>
              </c:ext>
            </c:extLst>
          </c:dPt>
          <c:dPt>
            <c:idx val="2"/>
            <c:invertIfNegative val="1"/>
            <c:bubble3D val="0"/>
            <c:extLst>
              <c:ext xmlns:c16="http://schemas.microsoft.com/office/drawing/2014/chart" uri="{C3380CC4-5D6E-409C-BE32-E72D297353CC}">
                <c16:uniqueId val="{00000002-ADC5-DA40-96EC-19045C7294B9}"/>
              </c:ext>
            </c:extLst>
          </c:dPt>
          <c:dPt>
            <c:idx val="3"/>
            <c:invertIfNegative val="1"/>
            <c:bubble3D val="0"/>
            <c:extLst>
              <c:ext xmlns:c16="http://schemas.microsoft.com/office/drawing/2014/chart" uri="{C3380CC4-5D6E-409C-BE32-E72D297353CC}">
                <c16:uniqueId val="{00000003-ADC5-DA40-96EC-19045C7294B9}"/>
              </c:ext>
            </c:extLst>
          </c:dPt>
          <c:dPt>
            <c:idx val="4"/>
            <c:invertIfNegative val="1"/>
            <c:bubble3D val="0"/>
            <c:extLst>
              <c:ext xmlns:c16="http://schemas.microsoft.com/office/drawing/2014/chart" uri="{C3380CC4-5D6E-409C-BE32-E72D297353CC}">
                <c16:uniqueId val="{00000004-ADC5-DA40-96EC-19045C7294B9}"/>
              </c:ext>
            </c:extLst>
          </c:dPt>
          <c:dPt>
            <c:idx val="5"/>
            <c:invertIfNegative val="1"/>
            <c:bubble3D val="0"/>
            <c:extLst>
              <c:ext xmlns:c16="http://schemas.microsoft.com/office/drawing/2014/chart" uri="{C3380CC4-5D6E-409C-BE32-E72D297353CC}">
                <c16:uniqueId val="{00000005-ADC5-DA40-96EC-19045C7294B9}"/>
              </c:ext>
            </c:extLst>
          </c:dPt>
          <c:dPt>
            <c:idx val="6"/>
            <c:invertIfNegative val="1"/>
            <c:bubble3D val="0"/>
            <c:extLst>
              <c:ext xmlns:c16="http://schemas.microsoft.com/office/drawing/2014/chart" uri="{C3380CC4-5D6E-409C-BE32-E72D297353CC}">
                <c16:uniqueId val="{00000006-ADC5-DA40-96EC-19045C7294B9}"/>
              </c:ext>
            </c:extLst>
          </c:dPt>
          <c:dPt>
            <c:idx val="7"/>
            <c:invertIfNegative val="1"/>
            <c:bubble3D val="0"/>
            <c:extLst>
              <c:ext xmlns:c16="http://schemas.microsoft.com/office/drawing/2014/chart" uri="{C3380CC4-5D6E-409C-BE32-E72D297353CC}">
                <c16:uniqueId val="{00000007-ADC5-DA40-96EC-19045C7294B9}"/>
              </c:ext>
            </c:extLst>
          </c:dPt>
          <c:dPt>
            <c:idx val="8"/>
            <c:invertIfNegative val="1"/>
            <c:bubble3D val="0"/>
            <c:extLst>
              <c:ext xmlns:c16="http://schemas.microsoft.com/office/drawing/2014/chart" uri="{C3380CC4-5D6E-409C-BE32-E72D297353CC}">
                <c16:uniqueId val="{00000008-ADC5-DA40-96EC-19045C7294B9}"/>
              </c:ext>
            </c:extLst>
          </c:dPt>
          <c:dPt>
            <c:idx val="9"/>
            <c:invertIfNegative val="1"/>
            <c:bubble3D val="0"/>
            <c:extLst>
              <c:ext xmlns:c16="http://schemas.microsoft.com/office/drawing/2014/chart" uri="{C3380CC4-5D6E-409C-BE32-E72D297353CC}">
                <c16:uniqueId val="{00000009-ADC5-DA40-96EC-19045C7294B9}"/>
              </c:ext>
            </c:extLst>
          </c:dPt>
          <c:dLbls>
            <c:numFmt formatCode="#,##0" sourceLinked="0"/>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[0]!Chart_PE_PerTonne_Materials</c:f>
            </c:multiLvlStrRef>
          </c:cat>
          <c:val>
            <c:numRef>
              <c:f>[0]!Chart_PE_PerTonne_Values</c:f>
              <c:numCache>
                <c:formatCode>General</c:formatCode>
                <c:ptCount val="1"/>
                <c:pt idx="0">
                  <c:v>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A-ADC5-DA40-96EC-19045C7294B9}"/>
            </c:ext>
          </c:extLst>
        </c:ser>
        <c:dLbls>
          <c:showLegendKey val="0"/>
          <c:showVal val="1"/>
          <c:showCatName val="0"/>
          <c:showSerName val="0"/>
          <c:showPercent val="0"/>
          <c:showBubbleSize val="0"/>
        </c:dLbls>
        <c:gapWidth val="150"/>
        <c:axId val="171218816"/>
        <c:axId val="171263104"/>
      </c:barChart>
      <c:catAx>
        <c:axId val="171218816"/>
        <c:scaling>
          <c:orientation val="minMax"/>
        </c:scaling>
        <c:delete val="0"/>
        <c:axPos val="b"/>
        <c:title>
          <c:tx>
            <c:rich>
              <a:bodyPr/>
              <a:lstStyle/>
              <a:p>
                <a:pPr>
                  <a:defRPr sz="1200" b="1" i="0" u="none" strike="noStrike" baseline="0">
                    <a:solidFill>
                      <a:srgbClr val="000000"/>
                    </a:solidFill>
                    <a:latin typeface="Calibri"/>
                    <a:ea typeface="Calibri"/>
                    <a:cs typeface="Calibri"/>
                  </a:defRPr>
                </a:pPr>
                <a:r>
                  <a:rPr lang="en-CA" sz="1200"/>
                  <a:t>Material</a:t>
                </a:r>
              </a:p>
            </c:rich>
          </c:tx>
          <c:overlay val="0"/>
        </c:title>
        <c:numFmt formatCode="General" sourceLinked="1"/>
        <c:majorTickMark val="out"/>
        <c:minorTickMark val="none"/>
        <c:tickLblPos val="nextTo"/>
        <c:txPr>
          <a:bodyPr rot="-1200000" vert="horz"/>
          <a:lstStyle/>
          <a:p>
            <a:pPr>
              <a:defRPr sz="1100" b="0" i="0" u="none" strike="noStrike" baseline="0">
                <a:solidFill>
                  <a:srgbClr val="000000"/>
                </a:solidFill>
                <a:latin typeface="Calibri"/>
                <a:ea typeface="Calibri"/>
                <a:cs typeface="Calibri"/>
              </a:defRPr>
            </a:pPr>
            <a:endParaRPr lang="en-US"/>
          </a:p>
        </c:txPr>
        <c:crossAx val="171263104"/>
        <c:crosses val="autoZero"/>
        <c:auto val="1"/>
        <c:lblAlgn val="ctr"/>
        <c:lblOffset val="100"/>
        <c:noMultiLvlLbl val="0"/>
      </c:catAx>
      <c:valAx>
        <c:axId val="171263104"/>
        <c:scaling>
          <c:orientation val="minMax"/>
        </c:scaling>
        <c:delete val="0"/>
        <c:axPos val="l"/>
        <c:majorGridlines/>
        <c:title>
          <c:tx>
            <c:strRef>
              <c:f>'Chart Data'!$H$219</c:f>
              <c:strCache>
                <c:ptCount val="1"/>
                <c:pt idx="0">
                  <c:v>MMBtu/short ton</c:v>
                </c:pt>
              </c:strCache>
            </c:strRef>
          </c:tx>
          <c:layout>
            <c:manualLayout>
              <c:xMode val="edge"/>
              <c:yMode val="edge"/>
              <c:x val="1.7629826632202309E-2"/>
              <c:y val="0.35230344594022561"/>
            </c:manualLayout>
          </c:layout>
          <c:overlay val="0"/>
          <c:txPr>
            <a:bodyPr rot="-5400000" vert="horz"/>
            <a:lstStyle/>
            <a:p>
              <a:pPr>
                <a:defRPr b="1"/>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21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389" l="0.70000000000000062" r="0.70000000000000062" t="0.750000000000003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Contribution (%)</a:t>
            </a:r>
          </a:p>
        </c:rich>
      </c:tx>
      <c:overlay val="0"/>
    </c:title>
    <c:autoTitleDeleted val="0"/>
    <c:view3D>
      <c:rotX val="30"/>
      <c:rotY val="330"/>
      <c:rAngAx val="0"/>
    </c:view3D>
    <c:floor>
      <c:thickness val="0"/>
    </c:floor>
    <c:sideWall>
      <c:thickness val="0"/>
    </c:sideWall>
    <c:backWall>
      <c:thickness val="0"/>
    </c:backWall>
    <c:plotArea>
      <c:layout>
        <c:manualLayout>
          <c:layoutTarget val="inner"/>
          <c:xMode val="edge"/>
          <c:yMode val="edge"/>
          <c:x val="9.6093142996300743E-2"/>
          <c:y val="0.15711684289244365"/>
          <c:w val="0.83980727254910437"/>
          <c:h val="0.76691770502423928"/>
        </c:manualLayout>
      </c:layout>
      <c:pie3DChart>
        <c:varyColors val="1"/>
        <c:ser>
          <c:idx val="0"/>
          <c:order val="0"/>
          <c:tx>
            <c:strRef>
              <c:f>'Principal Summary'!$D$295</c:f>
              <c:strCache>
                <c:ptCount val="1"/>
                <c:pt idx="0">
                  <c:v>Total (kgal)</c:v>
                </c:pt>
              </c:strCache>
            </c:strRef>
          </c:tx>
          <c:explosion val="20"/>
          <c:dLbls>
            <c:dLbl>
              <c:idx val="0"/>
              <c:layout>
                <c:manualLayout>
                  <c:x val="-0.13163483430550563"/>
                  <c:y val="-2.4524767406062365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69C-7C4D-AD6E-3CC8CE847942}"/>
                </c:ext>
              </c:extLst>
            </c:dLbl>
            <c:dLbl>
              <c:idx val="1"/>
              <c:layout>
                <c:manualLayout>
                  <c:x val="-6.1458606334002082E-2"/>
                  <c:y val="-3.06686912644865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9C-7C4D-AD6E-3CC8CE847942}"/>
                </c:ext>
              </c:extLst>
            </c:dLbl>
            <c:dLbl>
              <c:idx val="2"/>
              <c:layout>
                <c:manualLayout>
                  <c:x val="0.27717525000096627"/>
                  <c:y val="4.2082413654555726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69C-7C4D-AD6E-3CC8CE847942}"/>
                </c:ext>
              </c:extLst>
            </c:dLbl>
            <c:spPr>
              <a:noFill/>
              <a:ln>
                <a:noFill/>
              </a:ln>
              <a:effectLst/>
            </c:spPr>
            <c:txPr>
              <a:bodyPr/>
              <a:lstStyle/>
              <a:p>
                <a:pPr>
                  <a:defRPr sz="11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'Principal Summary'!$C$296:$C$298</c:f>
              <c:strCache>
                <c:ptCount val="3"/>
                <c:pt idx="0">
                  <c:v>Batch Fresh Water Use</c:v>
                </c:pt>
                <c:pt idx="1">
                  <c:v>Other Water Use (washing, recycled for batch, etc.)</c:v>
                </c:pt>
                <c:pt idx="2">
                  <c:v>Upstream Process Water</c:v>
                </c:pt>
              </c:strCache>
            </c:strRef>
          </c:cat>
          <c:val>
            <c:numRef>
              <c:f>'Principal Summary'!$D$296:$D$298</c:f>
              <c:numCache>
                <c:formatCode>#,##0</c:formatCode>
                <c:ptCount val="3"/>
                <c:pt idx="0">
                  <c:v>0</c:v>
                </c:pt>
                <c:pt idx="1">
                  <c:v>0</c:v>
                </c:pt>
                <c:pt idx="2">
                  <c:v>0</c:v>
                </c:pt>
              </c:numCache>
            </c:numRef>
          </c:val>
          <c:extLst>
            <c:ext xmlns:c16="http://schemas.microsoft.com/office/drawing/2014/chart" uri="{C3380CC4-5D6E-409C-BE32-E72D297353CC}">
              <c16:uniqueId val="{00000003-F69C-7C4D-AD6E-3CC8CE84794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printSettings>
    <c:headerFooter/>
    <c:pageMargins b="0.75000000000000389" l="0.70000000000000062" r="0.70000000000000062" t="0.75000000000000389" header="0.30000000000000032" footer="0.30000000000000032"/>
    <c:pageSetup/>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1.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857250</xdr:colOff>
      <xdr:row>0</xdr:row>
      <xdr:rowOff>238125</xdr:rowOff>
    </xdr:from>
    <xdr:to>
      <xdr:col>3</xdr:col>
      <xdr:colOff>1078230</xdr:colOff>
      <xdr:row>0</xdr:row>
      <xdr:rowOff>1581150</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1850" y="238125"/>
          <a:ext cx="1383030" cy="1343025"/>
        </a:xfrm>
        <a:prstGeom prst="rect">
          <a:avLst/>
        </a:prstGeom>
      </xdr:spPr>
    </xdr:pic>
    <xdr:clientData/>
  </xdr:twoCellAnchor>
  <xdr:twoCellAnchor editAs="oneCell">
    <xdr:from>
      <xdr:col>1</xdr:col>
      <xdr:colOff>380999</xdr:colOff>
      <xdr:row>15</xdr:row>
      <xdr:rowOff>191996</xdr:rowOff>
    </xdr:from>
    <xdr:to>
      <xdr:col>4</xdr:col>
      <xdr:colOff>2647950</xdr:colOff>
      <xdr:row>19</xdr:row>
      <xdr:rowOff>180974</xdr:rowOff>
    </xdr:to>
    <xdr:grpSp>
      <xdr:nvGrpSpPr>
        <xdr:cNvPr id="8662032" name="Group 10">
          <a:extLst>
            <a:ext uri="{FF2B5EF4-FFF2-40B4-BE49-F238E27FC236}">
              <a16:creationId xmlns:a16="http://schemas.microsoft.com/office/drawing/2014/main" id="{00000000-0008-0000-0000-0000102C8400}"/>
            </a:ext>
          </a:extLst>
        </xdr:cNvPr>
        <xdr:cNvGrpSpPr>
          <a:grpSpLocks/>
        </xdr:cNvGrpSpPr>
      </xdr:nvGrpSpPr>
      <xdr:grpSpPr bwMode="auto">
        <a:xfrm>
          <a:off x="620888" y="6824218"/>
          <a:ext cx="7488062" cy="892089"/>
          <a:chOff x="1228725" y="11258857"/>
          <a:chExt cx="5499099" cy="918326"/>
        </a:xfrm>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228725" y="11267017"/>
            <a:ext cx="1027726" cy="277840"/>
          </a:xfrm>
          <a:prstGeom prst="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CA"/>
          </a:p>
        </xdr:txBody>
      </xdr:sp>
      <xdr:sp macro="" textlink="">
        <xdr:nvSpPr>
          <xdr:cNvPr id="9" name="Rectangle 8">
            <a:extLst>
              <a:ext uri="{FF2B5EF4-FFF2-40B4-BE49-F238E27FC236}">
                <a16:creationId xmlns:a16="http://schemas.microsoft.com/office/drawing/2014/main" id="{00000000-0008-0000-0000-000009000000}"/>
              </a:ext>
            </a:extLst>
          </xdr:cNvPr>
          <xdr:cNvSpPr/>
        </xdr:nvSpPr>
        <xdr:spPr>
          <a:xfrm>
            <a:off x="1228725" y="11602341"/>
            <a:ext cx="1031346" cy="249098"/>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CA"/>
          </a:p>
        </xdr:txBody>
      </xdr:sp>
      <xdr:sp macro="" textlink="">
        <xdr:nvSpPr>
          <xdr:cNvPr id="10" name="Rectangle 9">
            <a:extLst>
              <a:ext uri="{FF2B5EF4-FFF2-40B4-BE49-F238E27FC236}">
                <a16:creationId xmlns:a16="http://schemas.microsoft.com/office/drawing/2014/main" id="{00000000-0008-0000-0000-00000A000000}"/>
              </a:ext>
            </a:extLst>
          </xdr:cNvPr>
          <xdr:cNvSpPr/>
        </xdr:nvSpPr>
        <xdr:spPr>
          <a:xfrm>
            <a:off x="1228725" y="11899343"/>
            <a:ext cx="1031346" cy="277840"/>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CA"/>
          </a:p>
        </xdr:txBody>
      </xdr:sp>
      <xdr:sp macro="" textlink="">
        <xdr:nvSpPr>
          <xdr:cNvPr id="13" name="Rectangle 12">
            <a:extLst>
              <a:ext uri="{FF2B5EF4-FFF2-40B4-BE49-F238E27FC236}">
                <a16:creationId xmlns:a16="http://schemas.microsoft.com/office/drawing/2014/main" id="{00000000-0008-0000-0000-00000D000000}"/>
              </a:ext>
            </a:extLst>
          </xdr:cNvPr>
          <xdr:cNvSpPr/>
        </xdr:nvSpPr>
        <xdr:spPr>
          <a:xfrm>
            <a:off x="2263439" y="11258857"/>
            <a:ext cx="4464385" cy="30374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spAutoFit/>
          </a:bodyPr>
          <a:lstStyle/>
          <a:p>
            <a:pPr algn="l"/>
            <a:r>
              <a:rPr lang="en-CA" sz="1400">
                <a:solidFill>
                  <a:sysClr val="windowText" lastClr="000000"/>
                </a:solidFill>
                <a:latin typeface="Arial" pitchFamily="34" charset="0"/>
                <a:cs typeface="Arial" pitchFamily="34" charset="0"/>
              </a:rPr>
              <a:t>Yellow cells show required inputs</a:t>
            </a:r>
            <a:r>
              <a:rPr lang="en-CA" sz="1200">
                <a:solidFill>
                  <a:sysClr val="windowText" lastClr="000000"/>
                </a:solidFill>
                <a:latin typeface="Arial" pitchFamily="34" charset="0"/>
                <a:cs typeface="Arial" pitchFamily="34" charset="0"/>
              </a:rPr>
              <a:t>.</a:t>
            </a:r>
            <a:endParaRPr lang="en-CA" sz="1100">
              <a:solidFill>
                <a:sysClr val="windowText" lastClr="000000"/>
              </a:solidFill>
              <a:latin typeface="Arial" pitchFamily="34" charset="0"/>
              <a:cs typeface="Arial" pitchFamily="34" charset="0"/>
            </a:endParaRPr>
          </a:p>
        </xdr:txBody>
      </xdr:sp>
      <xdr:sp macro="" textlink="">
        <xdr:nvSpPr>
          <xdr:cNvPr id="15" name="Rectangle 14">
            <a:extLst>
              <a:ext uri="{FF2B5EF4-FFF2-40B4-BE49-F238E27FC236}">
                <a16:creationId xmlns:a16="http://schemas.microsoft.com/office/drawing/2014/main" id="{00000000-0008-0000-0000-00000F000000}"/>
              </a:ext>
            </a:extLst>
          </xdr:cNvPr>
          <xdr:cNvSpPr/>
        </xdr:nvSpPr>
        <xdr:spPr>
          <a:xfrm>
            <a:off x="2251813" y="11460496"/>
            <a:ext cx="4452759" cy="513628"/>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spAutoFit/>
          </a:bodyPr>
          <a:lstStyle/>
          <a:p>
            <a:pPr algn="l"/>
            <a:r>
              <a:rPr lang="en-CA" sz="1400">
                <a:solidFill>
                  <a:sysClr val="windowText" lastClr="000000"/>
                </a:solidFill>
                <a:latin typeface="Arial" pitchFamily="34" charset="0"/>
                <a:cs typeface="Arial" pitchFamily="34" charset="0"/>
              </a:rPr>
              <a:t>Green cells show calculated, constant or reference information.</a:t>
            </a:r>
            <a:endParaRPr lang="en-CA" sz="1200">
              <a:solidFill>
                <a:sysClr val="windowText" lastClr="000000"/>
              </a:solidFill>
              <a:latin typeface="Arial" pitchFamily="34" charset="0"/>
              <a:cs typeface="Arial" pitchFamily="34" charset="0"/>
            </a:endParaRPr>
          </a:p>
        </xdr:txBody>
      </xdr:sp>
      <xdr:sp macro="" textlink="">
        <xdr:nvSpPr>
          <xdr:cNvPr id="16" name="Rectangle 15">
            <a:extLst>
              <a:ext uri="{FF2B5EF4-FFF2-40B4-BE49-F238E27FC236}">
                <a16:creationId xmlns:a16="http://schemas.microsoft.com/office/drawing/2014/main" id="{00000000-0008-0000-0000-000010000000}"/>
              </a:ext>
            </a:extLst>
          </xdr:cNvPr>
          <xdr:cNvSpPr/>
        </xdr:nvSpPr>
        <xdr:spPr>
          <a:xfrm>
            <a:off x="2251813" y="11872019"/>
            <a:ext cx="4452759" cy="303744"/>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spAutoFit/>
          </a:bodyPr>
          <a:lstStyle/>
          <a:p>
            <a:pPr algn="l"/>
            <a:r>
              <a:rPr lang="en-CA" sz="1400">
                <a:solidFill>
                  <a:sysClr val="windowText" lastClr="000000"/>
                </a:solidFill>
                <a:latin typeface="Arial" pitchFamily="34" charset="0"/>
                <a:cs typeface="Arial" pitchFamily="34" charset="0"/>
              </a:rPr>
              <a:t>Blue cells show editable unit of measure information.</a:t>
            </a:r>
            <a:endParaRPr lang="en-CA" sz="1200">
              <a:solidFill>
                <a:sysClr val="windowText" lastClr="000000"/>
              </a:solidFill>
              <a:latin typeface="Arial" pitchFamily="34" charset="0"/>
              <a:cs typeface="Arial" pitchFamily="34" charset="0"/>
            </a:endParaRPr>
          </a:p>
        </xdr:txBody>
      </xdr:sp>
    </xdr:grpSp>
    <xdr:clientData/>
  </xdr:twoCellAnchor>
  <xdr:twoCellAnchor editAs="oneCell">
    <xdr:from>
      <xdr:col>4</xdr:col>
      <xdr:colOff>2181225</xdr:colOff>
      <xdr:row>0</xdr:row>
      <xdr:rowOff>491950</xdr:rowOff>
    </xdr:from>
    <xdr:to>
      <xdr:col>4</xdr:col>
      <xdr:colOff>4895850</xdr:colOff>
      <xdr:row>0</xdr:row>
      <xdr:rowOff>1413050</xdr:rowOff>
    </xdr:to>
    <xdr:pic>
      <xdr:nvPicPr>
        <xdr:cNvPr id="12" name="Picture 11" descr="ASMIMember-Logo-2011-CMYK-GrOlBr.jpg">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cstate="print"/>
        <a:stretch>
          <a:fillRect/>
        </a:stretch>
      </xdr:blipFill>
      <xdr:spPr>
        <a:xfrm>
          <a:off x="6334125" y="491950"/>
          <a:ext cx="2714625" cy="92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2881313</xdr:colOff>
      <xdr:row>0</xdr:row>
      <xdr:rowOff>261937</xdr:rowOff>
    </xdr:from>
    <xdr:to>
      <xdr:col>3</xdr:col>
      <xdr:colOff>787718</xdr:colOff>
      <xdr:row>0</xdr:row>
      <xdr:rowOff>1604962</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52813" y="261937"/>
          <a:ext cx="1383030" cy="1343025"/>
        </a:xfrm>
        <a:prstGeom prst="rect">
          <a:avLst/>
        </a:prstGeom>
      </xdr:spPr>
    </xdr:pic>
    <xdr:clientData/>
  </xdr:twoCellAnchor>
  <xdr:twoCellAnchor editAs="oneCell">
    <xdr:from>
      <xdr:col>2</xdr:col>
      <xdr:colOff>123825</xdr:colOff>
      <xdr:row>32</xdr:row>
      <xdr:rowOff>66675</xdr:rowOff>
    </xdr:from>
    <xdr:to>
      <xdr:col>4</xdr:col>
      <xdr:colOff>1600200</xdr:colOff>
      <xdr:row>59</xdr:row>
      <xdr:rowOff>114299</xdr:rowOff>
    </xdr:to>
    <xdr:graphicFrame macro="">
      <xdr:nvGraphicFramePr>
        <xdr:cNvPr id="8674527" name="GWP_Total_LCS">
          <a:extLst>
            <a:ext uri="{FF2B5EF4-FFF2-40B4-BE49-F238E27FC236}">
              <a16:creationId xmlns:a16="http://schemas.microsoft.com/office/drawing/2014/main" id="{00000000-0008-0000-0700-0000DF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1409700</xdr:colOff>
      <xdr:row>32</xdr:row>
      <xdr:rowOff>57150</xdr:rowOff>
    </xdr:from>
    <xdr:to>
      <xdr:col>10</xdr:col>
      <xdr:colOff>695325</xdr:colOff>
      <xdr:row>59</xdr:row>
      <xdr:rowOff>114299</xdr:rowOff>
    </xdr:to>
    <xdr:graphicFrame macro="">
      <xdr:nvGraphicFramePr>
        <xdr:cNvPr id="8674528" name="GWP_PerTonne_LCS">
          <a:extLst>
            <a:ext uri="{FF2B5EF4-FFF2-40B4-BE49-F238E27FC236}">
              <a16:creationId xmlns:a16="http://schemas.microsoft.com/office/drawing/2014/main" id="{00000000-0008-0000-0700-0000E0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5</xdr:col>
      <xdr:colOff>1409700</xdr:colOff>
      <xdr:row>70</xdr:row>
      <xdr:rowOff>23812</xdr:rowOff>
    </xdr:from>
    <xdr:to>
      <xdr:col>11</xdr:col>
      <xdr:colOff>1485900</xdr:colOff>
      <xdr:row>99</xdr:row>
      <xdr:rowOff>47624</xdr:rowOff>
    </xdr:to>
    <xdr:graphicFrame macro="">
      <xdr:nvGraphicFramePr>
        <xdr:cNvPr id="8674529" name="GWP_PerTonne_Material">
          <a:extLst>
            <a:ext uri="{FF2B5EF4-FFF2-40B4-BE49-F238E27FC236}">
              <a16:creationId xmlns:a16="http://schemas.microsoft.com/office/drawing/2014/main" id="{00000000-0008-0000-0700-0000E1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123825</xdr:colOff>
      <xdr:row>69</xdr:row>
      <xdr:rowOff>142875</xdr:rowOff>
    </xdr:from>
    <xdr:to>
      <xdr:col>4</xdr:col>
      <xdr:colOff>1600200</xdr:colOff>
      <xdr:row>99</xdr:row>
      <xdr:rowOff>76200</xdr:rowOff>
    </xdr:to>
    <xdr:graphicFrame macro="">
      <xdr:nvGraphicFramePr>
        <xdr:cNvPr id="8674530" name="GWP_Total_Material">
          <a:extLst>
            <a:ext uri="{FF2B5EF4-FFF2-40B4-BE49-F238E27FC236}">
              <a16:creationId xmlns:a16="http://schemas.microsoft.com/office/drawing/2014/main" id="{00000000-0008-0000-0700-0000E2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409575</xdr:colOff>
      <xdr:row>147</xdr:row>
      <xdr:rowOff>95250</xdr:rowOff>
    </xdr:from>
    <xdr:to>
      <xdr:col>5</xdr:col>
      <xdr:colOff>135731</xdr:colOff>
      <xdr:row>174</xdr:row>
      <xdr:rowOff>119062</xdr:rowOff>
    </xdr:to>
    <xdr:graphicFrame macro="">
      <xdr:nvGraphicFramePr>
        <xdr:cNvPr id="8674531" name="PE_Total_LCS">
          <a:extLst>
            <a:ext uri="{FF2B5EF4-FFF2-40B4-BE49-F238E27FC236}">
              <a16:creationId xmlns:a16="http://schemas.microsoft.com/office/drawing/2014/main" id="{00000000-0008-0000-0700-0000E3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133350</xdr:colOff>
      <xdr:row>147</xdr:row>
      <xdr:rowOff>95250</xdr:rowOff>
    </xdr:from>
    <xdr:to>
      <xdr:col>10</xdr:col>
      <xdr:colOff>1057275</xdr:colOff>
      <xdr:row>174</xdr:row>
      <xdr:rowOff>119062</xdr:rowOff>
    </xdr:to>
    <xdr:graphicFrame macro="">
      <xdr:nvGraphicFramePr>
        <xdr:cNvPr id="8674532" name="GWP_PerTonne_LCS">
          <a:extLst>
            <a:ext uri="{FF2B5EF4-FFF2-40B4-BE49-F238E27FC236}">
              <a16:creationId xmlns:a16="http://schemas.microsoft.com/office/drawing/2014/main" id="{00000000-0008-0000-0700-0000E4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0</xdr:colOff>
      <xdr:row>185</xdr:row>
      <xdr:rowOff>0</xdr:rowOff>
    </xdr:from>
    <xdr:to>
      <xdr:col>4</xdr:col>
      <xdr:colOff>1476375</xdr:colOff>
      <xdr:row>214</xdr:row>
      <xdr:rowOff>95250</xdr:rowOff>
    </xdr:to>
    <xdr:graphicFrame macro="">
      <xdr:nvGraphicFramePr>
        <xdr:cNvPr id="8674533" name="PE_Total_Material">
          <a:extLst>
            <a:ext uri="{FF2B5EF4-FFF2-40B4-BE49-F238E27FC236}">
              <a16:creationId xmlns:a16="http://schemas.microsoft.com/office/drawing/2014/main" id="{00000000-0008-0000-0700-0000E5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0</xdr:colOff>
      <xdr:row>185</xdr:row>
      <xdr:rowOff>0</xdr:rowOff>
    </xdr:from>
    <xdr:to>
      <xdr:col>11</xdr:col>
      <xdr:colOff>1466850</xdr:colOff>
      <xdr:row>214</xdr:row>
      <xdr:rowOff>71438</xdr:rowOff>
    </xdr:to>
    <xdr:graphicFrame macro="">
      <xdr:nvGraphicFramePr>
        <xdr:cNvPr id="8674534" name="PE_PerTonne_Material">
          <a:extLst>
            <a:ext uri="{FF2B5EF4-FFF2-40B4-BE49-F238E27FC236}">
              <a16:creationId xmlns:a16="http://schemas.microsoft.com/office/drawing/2014/main" id="{00000000-0008-0000-0700-0000E6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0</xdr:colOff>
      <xdr:row>262</xdr:row>
      <xdr:rowOff>0</xdr:rowOff>
    </xdr:from>
    <xdr:to>
      <xdr:col>4</xdr:col>
      <xdr:colOff>1476375</xdr:colOff>
      <xdr:row>291</xdr:row>
      <xdr:rowOff>95250</xdr:rowOff>
    </xdr:to>
    <xdr:graphicFrame macro="">
      <xdr:nvGraphicFramePr>
        <xdr:cNvPr id="8674535" name="Water_Total">
          <a:extLst>
            <a:ext uri="{FF2B5EF4-FFF2-40B4-BE49-F238E27FC236}">
              <a16:creationId xmlns:a16="http://schemas.microsoft.com/office/drawing/2014/main" id="{00000000-0008-0000-0700-0000E7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editAs="oneCell">
    <xdr:from>
      <xdr:col>6</xdr:col>
      <xdr:colOff>0</xdr:colOff>
      <xdr:row>263</xdr:row>
      <xdr:rowOff>19050</xdr:rowOff>
    </xdr:from>
    <xdr:to>
      <xdr:col>10</xdr:col>
      <xdr:colOff>923925</xdr:colOff>
      <xdr:row>290</xdr:row>
      <xdr:rowOff>76200</xdr:rowOff>
    </xdr:to>
    <xdr:graphicFrame macro="">
      <xdr:nvGraphicFramePr>
        <xdr:cNvPr id="8674536" name="Water_PerTonne">
          <a:extLst>
            <a:ext uri="{FF2B5EF4-FFF2-40B4-BE49-F238E27FC236}">
              <a16:creationId xmlns:a16="http://schemas.microsoft.com/office/drawing/2014/main" id="{00000000-0008-0000-0700-0000E85C8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5</xdr:col>
      <xdr:colOff>57150</xdr:colOff>
      <xdr:row>0</xdr:row>
      <xdr:rowOff>434800</xdr:rowOff>
    </xdr:from>
    <xdr:to>
      <xdr:col>6</xdr:col>
      <xdr:colOff>1133475</xdr:colOff>
      <xdr:row>0</xdr:row>
      <xdr:rowOff>1355900</xdr:rowOff>
    </xdr:to>
    <xdr:pic>
      <xdr:nvPicPr>
        <xdr:cNvPr id="13" name="Picture 12" descr="ASMIMember-Logo-2011-CMYK-GrOlBr.jpg">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2" cstate="print"/>
        <a:stretch>
          <a:fillRect/>
        </a:stretch>
      </xdr:blipFill>
      <xdr:spPr>
        <a:xfrm>
          <a:off x="6105525" y="434800"/>
          <a:ext cx="2714625" cy="921100"/>
        </a:xfrm>
        <a:prstGeom prst="rect">
          <a:avLst/>
        </a:prstGeom>
      </xdr:spPr>
    </xdr:pic>
    <xdr:clientData/>
  </xdr:twoCellAnchor>
  <xdr:twoCellAnchor editAs="oneCell">
    <xdr:from>
      <xdr:col>1</xdr:col>
      <xdr:colOff>261937</xdr:colOff>
      <xdr:row>303</xdr:row>
      <xdr:rowOff>83343</xdr:rowOff>
    </xdr:from>
    <xdr:to>
      <xdr:col>5</xdr:col>
      <xdr:colOff>71437</xdr:colOff>
      <xdr:row>333</xdr:row>
      <xdr:rowOff>11905</xdr:rowOff>
    </xdr:to>
    <xdr:graphicFrame macro="">
      <xdr:nvGraphicFramePr>
        <xdr:cNvPr id="16" name="PE_Total_Material">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5</xdr:col>
      <xdr:colOff>1595437</xdr:colOff>
      <xdr:row>304</xdr:row>
      <xdr:rowOff>59531</xdr:rowOff>
    </xdr:from>
    <xdr:to>
      <xdr:col>11</xdr:col>
      <xdr:colOff>1419225</xdr:colOff>
      <xdr:row>331</xdr:row>
      <xdr:rowOff>116682</xdr:rowOff>
    </xdr:to>
    <xdr:graphicFrame macro="">
      <xdr:nvGraphicFramePr>
        <xdr:cNvPr id="19" name="PE_PerTonne_Material">
          <a:extLst>
            <a:ext uri="{FF2B5EF4-FFF2-40B4-BE49-F238E27FC236}">
              <a16:creationId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190500</xdr:colOff>
          <xdr:row>10</xdr:row>
          <xdr:rowOff>12700</xdr:rowOff>
        </xdr:from>
        <xdr:to>
          <xdr:col>1</xdr:col>
          <xdr:colOff>1143000</xdr:colOff>
          <xdr:row>12</xdr:row>
          <xdr:rowOff>101600</xdr:rowOff>
        </xdr:to>
        <xdr:sp macro="" textlink="">
          <xdr:nvSpPr>
            <xdr:cNvPr id="8678432" name="Button 32" hidden="1">
              <a:extLst>
                <a:ext uri="{63B3BB69-23CF-44E3-9099-C40C66FF867C}">
                  <a14:compatExt spid="_x0000_s8678432"/>
                </a:ext>
                <a:ext uri="{FF2B5EF4-FFF2-40B4-BE49-F238E27FC236}">
                  <a16:creationId xmlns:a16="http://schemas.microsoft.com/office/drawing/2014/main" id="{00000000-0008-0000-0A00-0000206C8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100" b="0" i="0" u="none" strike="noStrike" baseline="0">
                  <a:solidFill>
                    <a:srgbClr val="000000"/>
                  </a:solidFill>
                  <a:latin typeface="Calibri" pitchFamily="2" charset="0"/>
                  <a:cs typeface="Calibri" pitchFamily="2" charset="0"/>
                </a:rPr>
                <a:t>Prep Public Version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2095500</xdr:colOff>
      <xdr:row>0</xdr:row>
      <xdr:rowOff>228600</xdr:rowOff>
    </xdr:from>
    <xdr:to>
      <xdr:col>4</xdr:col>
      <xdr:colOff>713721</xdr:colOff>
      <xdr:row>0</xdr:row>
      <xdr:rowOff>1562100</xdr:rowOff>
    </xdr:to>
    <xdr:pic>
      <xdr:nvPicPr>
        <xdr:cNvPr id="12" name="Picture 11" descr="CPCI Colour logo HiRes.JPG">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cstate="print"/>
        <a:stretch>
          <a:fillRect/>
        </a:stretch>
      </xdr:blipFill>
      <xdr:spPr>
        <a:xfrm>
          <a:off x="2676525" y="228600"/>
          <a:ext cx="2532996" cy="1333500"/>
        </a:xfrm>
        <a:prstGeom prst="rect">
          <a:avLst/>
        </a:prstGeom>
      </xdr:spPr>
    </xdr:pic>
    <xdr:clientData/>
  </xdr:twoCellAnchor>
  <xdr:twoCellAnchor editAs="oneCell">
    <xdr:from>
      <xdr:col>5</xdr:col>
      <xdr:colOff>57150</xdr:colOff>
      <xdr:row>0</xdr:row>
      <xdr:rowOff>434800</xdr:rowOff>
    </xdr:from>
    <xdr:to>
      <xdr:col>6</xdr:col>
      <xdr:colOff>1133475</xdr:colOff>
      <xdr:row>0</xdr:row>
      <xdr:rowOff>1355900</xdr:rowOff>
    </xdr:to>
    <xdr:pic>
      <xdr:nvPicPr>
        <xdr:cNvPr id="13" name="Picture 12" descr="ASMIMember-Logo-2011-CMYK-GrOlBr.jpg">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2" cstate="print"/>
        <a:stretch>
          <a:fillRect/>
        </a:stretch>
      </xdr:blipFill>
      <xdr:spPr>
        <a:xfrm>
          <a:off x="6105525" y="434800"/>
          <a:ext cx="2714625" cy="921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efca.info/publications.html"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O54"/>
  <sheetViews>
    <sheetView topLeftCell="A38" zoomScale="90" zoomScaleNormal="90" workbookViewId="0">
      <selection activeCell="B8" sqref="B8"/>
    </sheetView>
  </sheetViews>
  <sheetFormatPr baseColWidth="10" defaultColWidth="9.1640625" defaultRowHeight="15"/>
  <cols>
    <col min="1" max="1" width="3.1640625" style="3" customWidth="1"/>
    <col min="2" max="2" width="34.5" style="3" customWidth="1"/>
    <col min="3" max="3" width="17.5" style="3" customWidth="1"/>
    <col min="4" max="4" width="16.5" style="3" customWidth="1"/>
    <col min="5" max="5" width="117.83203125" style="3" customWidth="1"/>
    <col min="6" max="18" width="9.5" style="3" customWidth="1"/>
    <col min="19" max="16384" width="9.1640625" style="3"/>
  </cols>
  <sheetData>
    <row r="1" spans="2:15" ht="135.75" customHeight="1">
      <c r="F1"/>
    </row>
    <row r="2" spans="2:15" ht="8.25" customHeight="1">
      <c r="E2" s="188"/>
    </row>
    <row r="3" spans="2:15" ht="9" customHeight="1">
      <c r="B3" s="641"/>
      <c r="C3" s="641"/>
      <c r="D3" s="641"/>
      <c r="E3" s="641"/>
    </row>
    <row r="4" spans="2:15" ht="15" customHeight="1">
      <c r="B4" s="642" t="s">
        <v>331</v>
      </c>
      <c r="C4" s="642"/>
      <c r="D4" s="642"/>
      <c r="E4" s="642"/>
    </row>
    <row r="5" spans="2:15" ht="42" customHeight="1">
      <c r="B5" s="643" t="str">
        <f>IF(ToolType="Survey","This survey does not replace version 2.0x of the "&amp;Association_Version&amp;" Sustainable Plant Tool, it is a one time survey to collect data for a Precast LCA/EPD","")</f>
        <v>This survey does not replace version 2.0x of the PCI Sustainable Plant Tool, it is a one time survey to collect data for a Precast LCA/EPD</v>
      </c>
      <c r="C5" s="643"/>
      <c r="D5" s="643"/>
      <c r="E5" s="643"/>
    </row>
    <row r="6" spans="2:15" ht="110.25" customHeight="1">
      <c r="B6" s="645" t="s">
        <v>841</v>
      </c>
      <c r="C6" s="645"/>
      <c r="D6" s="645"/>
      <c r="E6" s="645"/>
    </row>
    <row r="7" spans="2:15" ht="27.75" customHeight="1">
      <c r="B7" s="496" t="s">
        <v>687</v>
      </c>
      <c r="C7" s="648" t="s">
        <v>260</v>
      </c>
      <c r="D7" s="648"/>
      <c r="E7" s="175"/>
    </row>
    <row r="8" spans="2:15" ht="23.25" customHeight="1">
      <c r="B8" s="495">
        <f ca="1">IF(Association_Version="CPCI",INDEX(PlantNumbersCPCI,1),IF(Association_Version="PCI",INDEX(PlantNumbersPCI,1),IF(Association_Version="NPCA",INDEX(PlantNumbersNPCA,1),NA())))</f>
        <v>2000</v>
      </c>
      <c r="C8" s="639" t="str">
        <f>IF(ToolType="Reporting",INDEX(Reporting_Periods_Reporting,1),IF(ToolType="Survey",INDEX(Reporting_Periods_Survey,1),NA()))</f>
        <v>Annual</v>
      </c>
      <c r="D8" s="639">
        <v>2014</v>
      </c>
      <c r="E8" s="632" t="str">
        <f>IF(ToolType="Reporting","",IF(ToolType="Survey","Please report plant operations data for the January 1, "&amp;$D$8&amp;" - December 31, "&amp;$D$8&amp;" period.",NA()))</f>
        <v>Please report plant operations data for the January 1, 2014 - December 31, 2014 period.</v>
      </c>
    </row>
    <row r="9" spans="2:15" ht="24" customHeight="1">
      <c r="B9" s="176" t="s">
        <v>688</v>
      </c>
    </row>
    <row r="10" spans="2:15" ht="30.75" customHeight="1">
      <c r="B10" s="640" t="str">
        <f>IF(Association_Version="CPCI","SI-Metric (Canada)","US-Imperial (United States)")</f>
        <v>US-Imperial (United States)</v>
      </c>
      <c r="C10" s="649" t="s">
        <v>689</v>
      </c>
      <c r="D10" s="650"/>
    </row>
    <row r="11" spans="2:15" ht="13.5" customHeight="1">
      <c r="B11" s="647"/>
      <c r="C11" s="647"/>
      <c r="D11" s="647"/>
    </row>
    <row r="12" spans="2:15" ht="19">
      <c r="B12" s="181"/>
      <c r="C12" s="181"/>
      <c r="D12" s="181"/>
      <c r="E12" s="181"/>
    </row>
    <row r="13" spans="2:15" ht="23">
      <c r="B13" s="646" t="str">
        <f>IF(ToolType="Reporting","Using the Environmental Tracking Tool",IF(ToolType="Survey","Using this plant survey",NA()))</f>
        <v>Using this plant survey</v>
      </c>
      <c r="C13" s="646"/>
      <c r="D13" s="646"/>
      <c r="E13" s="646"/>
    </row>
    <row r="14" spans="2:15" ht="21.75" customHeight="1">
      <c r="B14" s="644" t="s">
        <v>255</v>
      </c>
      <c r="C14" s="644"/>
      <c r="D14" s="644"/>
      <c r="E14" s="644"/>
    </row>
    <row r="15" spans="2:15" ht="21.75" customHeight="1">
      <c r="B15" s="644" t="s">
        <v>254</v>
      </c>
      <c r="C15" s="644"/>
      <c r="D15" s="644"/>
      <c r="E15" s="644"/>
    </row>
    <row r="16" spans="2:15" s="10" customFormat="1" ht="18" customHeight="1">
      <c r="B16" s="182"/>
      <c r="C16" s="11"/>
      <c r="D16" s="11"/>
      <c r="E16" s="182"/>
      <c r="O16" s="3"/>
    </row>
    <row r="17" spans="2:5" ht="18">
      <c r="B17" s="11"/>
      <c r="C17" s="11"/>
      <c r="D17" s="11"/>
      <c r="E17" s="11"/>
    </row>
    <row r="18" spans="2:5" ht="18">
      <c r="B18" s="11"/>
      <c r="C18" s="11"/>
      <c r="D18" s="11"/>
      <c r="E18" s="11"/>
    </row>
    <row r="19" spans="2:5" ht="18">
      <c r="B19" s="11"/>
      <c r="C19" s="11"/>
      <c r="D19" s="11"/>
      <c r="E19" s="11"/>
    </row>
    <row r="20" spans="2:5" ht="18">
      <c r="B20" s="11"/>
      <c r="C20" s="11"/>
      <c r="D20" s="11"/>
      <c r="E20" s="11"/>
    </row>
    <row r="21" spans="2:5" ht="18">
      <c r="B21" s="11"/>
      <c r="C21" s="11"/>
      <c r="D21" s="11"/>
      <c r="E21" s="11"/>
    </row>
    <row r="22" spans="2:5" ht="77.25" customHeight="1">
      <c r="B22" s="644" t="s">
        <v>335</v>
      </c>
      <c r="C22" s="644"/>
      <c r="D22" s="644"/>
      <c r="E22" s="644"/>
    </row>
    <row r="23" spans="2:5" ht="110.25" customHeight="1">
      <c r="B23" s="644" t="s">
        <v>818</v>
      </c>
      <c r="C23" s="644"/>
      <c r="D23" s="644"/>
      <c r="E23" s="644"/>
    </row>
    <row r="24" spans="2:5" ht="13.5" customHeight="1">
      <c r="B24" s="644"/>
      <c r="C24" s="644"/>
      <c r="D24" s="644"/>
      <c r="E24" s="644"/>
    </row>
    <row r="25" spans="2:5" ht="29.25" customHeight="1">
      <c r="B25" s="176" t="s">
        <v>252</v>
      </c>
      <c r="C25" s="11"/>
      <c r="D25" s="11"/>
      <c r="E25" s="11"/>
    </row>
    <row r="26" spans="2:5" ht="41.25" customHeight="1">
      <c r="B26" s="644" t="s">
        <v>859</v>
      </c>
      <c r="C26" s="644"/>
      <c r="D26" s="644"/>
      <c r="E26" s="644"/>
    </row>
    <row r="27" spans="2:5" ht="120" customHeight="1">
      <c r="B27" s="644" t="s">
        <v>842</v>
      </c>
      <c r="C27" s="644"/>
      <c r="D27" s="644"/>
      <c r="E27" s="644"/>
    </row>
    <row r="28" spans="2:5" ht="18">
      <c r="B28" s="11"/>
      <c r="C28" s="11"/>
      <c r="D28" s="11"/>
      <c r="E28" s="11"/>
    </row>
    <row r="29" spans="2:5" ht="18">
      <c r="B29" s="176" t="s">
        <v>253</v>
      </c>
      <c r="C29" s="11"/>
      <c r="D29" s="11"/>
      <c r="E29" s="11"/>
    </row>
    <row r="30" spans="2:5" ht="39.75" customHeight="1">
      <c r="B30" s="644" t="s">
        <v>843</v>
      </c>
      <c r="C30" s="644"/>
      <c r="D30" s="644"/>
      <c r="E30" s="644"/>
    </row>
    <row r="31" spans="2:5" ht="64.5" customHeight="1">
      <c r="B31" s="644" t="s">
        <v>860</v>
      </c>
      <c r="C31" s="644"/>
      <c r="D31" s="644"/>
      <c r="E31" s="644"/>
    </row>
    <row r="32" spans="2:5" ht="99.75" customHeight="1">
      <c r="B32" s="644" t="s">
        <v>625</v>
      </c>
      <c r="C32" s="644"/>
      <c r="D32" s="644"/>
      <c r="E32" s="644"/>
    </row>
    <row r="33" spans="2:5" ht="55.5" customHeight="1">
      <c r="B33" s="644" t="s">
        <v>861</v>
      </c>
      <c r="C33" s="644"/>
      <c r="D33" s="644"/>
      <c r="E33" s="644"/>
    </row>
    <row r="34" spans="2:5" ht="41.25" customHeight="1">
      <c r="B34" s="644" t="s">
        <v>807</v>
      </c>
      <c r="C34" s="644"/>
      <c r="D34" s="644"/>
      <c r="E34" s="644"/>
    </row>
    <row r="35" spans="2:5" ht="65.25" customHeight="1">
      <c r="B35" s="644" t="s">
        <v>862</v>
      </c>
      <c r="C35" s="644"/>
      <c r="D35" s="644"/>
      <c r="E35" s="644"/>
    </row>
    <row r="36" spans="2:5" ht="38.25" customHeight="1">
      <c r="B36" s="644" t="s">
        <v>819</v>
      </c>
      <c r="C36" s="644"/>
      <c r="D36" s="644"/>
      <c r="E36" s="644"/>
    </row>
    <row r="37" spans="2:5" ht="33" customHeight="1">
      <c r="B37" s="176" t="s">
        <v>256</v>
      </c>
      <c r="C37" s="11"/>
      <c r="D37" s="11"/>
      <c r="E37" s="11"/>
    </row>
    <row r="38" spans="2:5" ht="221.25" customHeight="1">
      <c r="B38" s="644" t="s">
        <v>820</v>
      </c>
      <c r="C38" s="644"/>
      <c r="D38" s="644"/>
      <c r="E38" s="644"/>
    </row>
    <row r="39" spans="2:5" ht="58.5" customHeight="1">
      <c r="B39" s="644" t="s">
        <v>821</v>
      </c>
      <c r="C39" s="644"/>
      <c r="D39" s="644"/>
      <c r="E39" s="644"/>
    </row>
    <row r="40" spans="2:5" ht="61.5" customHeight="1">
      <c r="B40" s="644" t="s">
        <v>822</v>
      </c>
      <c r="C40" s="644"/>
      <c r="D40" s="644"/>
      <c r="E40" s="644"/>
    </row>
    <row r="41" spans="2:5" ht="30.75" customHeight="1">
      <c r="B41" s="176" t="s">
        <v>808</v>
      </c>
      <c r="C41" s="11"/>
      <c r="D41" s="11"/>
      <c r="E41" s="11"/>
    </row>
    <row r="42" spans="2:5" ht="116.25" customHeight="1">
      <c r="B42" s="644" t="s">
        <v>823</v>
      </c>
      <c r="C42" s="644"/>
      <c r="D42" s="644"/>
      <c r="E42" s="644"/>
    </row>
    <row r="43" spans="2:5" ht="36.75" customHeight="1">
      <c r="B43" s="176" t="s">
        <v>259</v>
      </c>
      <c r="C43" s="176"/>
      <c r="D43" s="176"/>
      <c r="E43" s="176"/>
    </row>
    <row r="44" spans="2:5" ht="14.25" customHeight="1">
      <c r="B44" s="644"/>
      <c r="C44" s="644"/>
      <c r="D44" s="644"/>
      <c r="E44" s="644"/>
    </row>
    <row r="45" spans="2:5" ht="68.25" customHeight="1">
      <c r="B45" s="644" t="s">
        <v>261</v>
      </c>
      <c r="C45" s="644"/>
      <c r="D45" s="644"/>
      <c r="E45" s="644"/>
    </row>
    <row r="46" spans="2:5" ht="88.5" customHeight="1">
      <c r="B46" s="644" t="s">
        <v>672</v>
      </c>
      <c r="C46" s="644"/>
      <c r="D46" s="644"/>
      <c r="E46" s="644"/>
    </row>
    <row r="47" spans="2:5" ht="7.5" customHeight="1"/>
    <row r="48" spans="2:5" ht="7.5" customHeight="1"/>
    <row r="49" spans="2:2" ht="7.5" customHeight="1"/>
    <row r="50" spans="2:2" ht="15" customHeight="1">
      <c r="B50" s="172"/>
    </row>
    <row r="51" spans="2:2">
      <c r="B51" s="172"/>
    </row>
    <row r="52" spans="2:2">
      <c r="B52" s="172"/>
    </row>
    <row r="53" spans="2:2">
      <c r="B53" s="172"/>
    </row>
    <row r="54" spans="2:2">
      <c r="B54" s="172"/>
    </row>
  </sheetData>
  <sheetProtection password="840D" sheet="1" objects="1" scenarios="1" selectLockedCells="1"/>
  <mergeCells count="29">
    <mergeCell ref="B46:E46"/>
    <mergeCell ref="B26:E26"/>
    <mergeCell ref="B30:E30"/>
    <mergeCell ref="B31:E31"/>
    <mergeCell ref="B44:E44"/>
    <mergeCell ref="B45:E45"/>
    <mergeCell ref="B35:E35"/>
    <mergeCell ref="B39:E39"/>
    <mergeCell ref="B42:E42"/>
    <mergeCell ref="B36:E36"/>
    <mergeCell ref="B32:E32"/>
    <mergeCell ref="B33:E33"/>
    <mergeCell ref="C10:D10"/>
    <mergeCell ref="B34:E34"/>
    <mergeCell ref="B40:E40"/>
    <mergeCell ref="B24:E24"/>
    <mergeCell ref="B38:E38"/>
    <mergeCell ref="B3:E3"/>
    <mergeCell ref="B4:E4"/>
    <mergeCell ref="B5:E5"/>
    <mergeCell ref="B27:E27"/>
    <mergeCell ref="B6:E6"/>
    <mergeCell ref="B13:E13"/>
    <mergeCell ref="B14:E14"/>
    <mergeCell ref="B11:D11"/>
    <mergeCell ref="C7:D7"/>
    <mergeCell ref="B15:E15"/>
    <mergeCell ref="B22:E22"/>
    <mergeCell ref="B23:E23"/>
  </mergeCells>
  <phoneticPr fontId="5" type="noConversion"/>
  <conditionalFormatting sqref="C8:D8 B10">
    <cfRule type="expression" dxfId="28" priority="2">
      <formula>CELL("PROTECT",B8)=1</formula>
    </cfRule>
  </conditionalFormatting>
  <dataValidations count="4">
    <dataValidation type="list" allowBlank="1" showInputMessage="1" showErrorMessage="1" error="The Reporting Period must exactly match a value in the drop down list.  Click Cancel, then re-enter your Reporting Period, or choose it from the drop down list." sqref="C8" xr:uid="{00000000-0002-0000-0000-000000000000}">
      <formula1>IF(ToolType="Reporting",Reporting_Periods_Reporting,IF(ToolType="Survey",Reporting_Periods_Survey,NA()))</formula1>
    </dataValidation>
    <dataValidation type="list" allowBlank="1" showErrorMessage="1" error="The Year must exactly match a value in the drop down list.  Click Cancel, then re-enter your Year, or choose it from the drop down list." sqref="D8" xr:uid="{00000000-0002-0000-0000-000001000000}">
      <formula1>Years</formula1>
    </dataValidation>
    <dataValidation type="list" errorStyle="warning" allowBlank="1" showErrorMessage="1" prompt="BEWARE!  Changing the Display Units will only change the units, it will not convert any numeric values to the new units. _x000a_ Any data that has already been entered will need to be re-entered using the new units." sqref="B10" xr:uid="{00000000-0002-0000-0000-000002000000}">
      <formula1>"SI-Metric (Canada), US-Imperial (United States)"</formula1>
    </dataValidation>
    <dataValidation type="list" allowBlank="1" showInputMessage="1" showErrorMessage="1" error="The plant number must exactly match a number in the drop down list.  Click Cancel, then re-enter your plant number, or choose it from the drop down list." sqref="B8" xr:uid="{00000000-0002-0000-0000-000003000000}">
      <formula1>IF(Association_Version="CPCI",PlantNumbersCPCI,IF(Association_Version="PCI",PlantNumbersPCI,IF(Association_Version="NPCA",PlantNumbersNPCA,NA())))</formula1>
    </dataValidation>
  </dataValidations>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1:EG112"/>
  <sheetViews>
    <sheetView showGridLines="0" zoomScale="90" zoomScaleNormal="90" workbookViewId="0">
      <selection activeCell="E18" sqref="E18"/>
    </sheetView>
  </sheetViews>
  <sheetFormatPr baseColWidth="10" defaultColWidth="9.1640625" defaultRowHeight="15"/>
  <cols>
    <col min="1" max="1" width="1.5" style="12" customWidth="1"/>
    <col min="2" max="2" width="2.83203125" style="53" customWidth="1"/>
    <col min="3" max="3" width="10.5" style="12" customWidth="1"/>
    <col min="4" max="4" width="57.83203125" style="12" bestFit="1" customWidth="1"/>
    <col min="5" max="6" width="21.6640625" style="12" customWidth="1"/>
    <col min="7" max="7" width="18.33203125" style="12" customWidth="1"/>
    <col min="8" max="10" width="14.6640625" style="12" customWidth="1"/>
    <col min="11" max="11" width="6.6640625" style="12" customWidth="1"/>
    <col min="12" max="12" width="17" style="12" customWidth="1"/>
    <col min="13" max="13" width="21.33203125" style="13" customWidth="1"/>
    <col min="14" max="14" width="4.33203125" style="13" customWidth="1"/>
    <col min="15" max="15" width="15.83203125" style="13" customWidth="1"/>
    <col min="16" max="16" width="14.33203125" style="13" customWidth="1"/>
    <col min="17" max="17" width="4.33203125" style="13" customWidth="1"/>
    <col min="18" max="20" width="4.33203125" style="13" hidden="1" customWidth="1"/>
    <col min="21" max="21" width="4.33203125" hidden="1" customWidth="1"/>
    <col min="22" max="22" width="28.5" hidden="1" customWidth="1"/>
    <col min="23" max="23" width="6" hidden="1" customWidth="1"/>
    <col min="24" max="24" width="6.5" style="65" hidden="1" customWidth="1"/>
    <col min="25" max="25" width="9.5" style="13" hidden="1" customWidth="1"/>
    <col min="26" max="26" width="3.8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0" hidden="1" customWidth="1"/>
    <col min="73" max="73" width="18.6640625" hidden="1" customWidth="1"/>
    <col min="74" max="77" width="18.6640625" style="12" hidden="1" customWidth="1"/>
    <col min="78" max="80" width="8.83203125" style="12" hidden="1" customWidth="1"/>
    <col min="81" max="81" width="9.83203125" style="12" hidden="1" customWidth="1"/>
    <col min="82" max="82" width="9.33203125" style="12" hidden="1" customWidth="1"/>
    <col min="83" max="83" width="8.1640625" style="12" hidden="1" customWidth="1"/>
    <col min="84" max="84" width="16.5" style="12" hidden="1" customWidth="1"/>
    <col min="85" max="85" width="11.6640625" style="12" hidden="1" customWidth="1"/>
    <col min="86" max="86" width="15.1640625" style="12" hidden="1" customWidth="1"/>
    <col min="87" max="134" width="9.1640625" style="12" hidden="1" customWidth="1"/>
    <col min="135" max="156" width="0" style="12" hidden="1" customWidth="1"/>
    <col min="157" max="16384" width="9.1640625" style="12"/>
  </cols>
  <sheetData>
    <row r="1" spans="2:95" ht="16" thickBot="1">
      <c r="BV1"/>
      <c r="BW1"/>
      <c r="BX1"/>
      <c r="BY1"/>
      <c r="BZ1"/>
      <c r="CA1"/>
      <c r="CB1"/>
      <c r="CC1"/>
      <c r="CD1"/>
      <c r="CE1"/>
      <c r="CF1"/>
      <c r="CG1"/>
      <c r="CH1"/>
    </row>
    <row r="2" spans="2:95" ht="24.75" customHeight="1" thickBot="1">
      <c r="C2" s="83" t="str">
        <f>ToolName</f>
        <v>North American Precast Concrete Sustainable Plant Tool</v>
      </c>
      <c r="D2" s="84"/>
      <c r="E2" s="84"/>
      <c r="F2" s="84"/>
      <c r="G2" s="84"/>
      <c r="H2" s="84"/>
      <c r="I2" s="84"/>
      <c r="J2" s="84"/>
      <c r="K2" s="84"/>
      <c r="L2" s="84"/>
      <c r="M2" s="84"/>
      <c r="N2" s="84"/>
      <c r="O2" s="84"/>
      <c r="P2" s="85"/>
      <c r="X2" s="595" t="s">
        <v>806</v>
      </c>
      <c r="Y2" s="628" t="s">
        <v>869</v>
      </c>
      <c r="Z2" s="626" t="str">
        <f>IF($Y$2="A","Structural",IF($Y$2="B","Architectural",IF($Y$2="C","Insulated Architectural",IF($Y$2="D","Underground",IF($Y$2="Custom","Custom Project Calculator",NA())))))</f>
        <v>Custom Project Calculator</v>
      </c>
      <c r="AA2"/>
      <c r="AB2"/>
      <c r="AC2"/>
      <c r="AD2"/>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c r="CB2"/>
      <c r="CC2"/>
      <c r="CD2"/>
      <c r="CE2"/>
      <c r="CF2"/>
      <c r="CG2"/>
      <c r="CH2"/>
      <c r="CI2"/>
      <c r="CJ2"/>
      <c r="CK2"/>
      <c r="CL2"/>
      <c r="CM2"/>
      <c r="CN2"/>
      <c r="CO2"/>
      <c r="CP2"/>
      <c r="CQ2"/>
    </row>
    <row r="3" spans="2:95" ht="8.25" customHeight="1">
      <c r="C3" s="14"/>
      <c r="D3" s="14"/>
      <c r="E3"/>
      <c r="F3"/>
      <c r="G3"/>
      <c r="H3"/>
      <c r="I3"/>
      <c r="J3"/>
      <c r="K3" s="577"/>
      <c r="L3"/>
      <c r="M3"/>
      <c r="N3"/>
      <c r="O3"/>
      <c r="P3"/>
      <c r="Q3" s="547"/>
      <c r="R3" s="547"/>
      <c r="S3" s="547"/>
      <c r="X3" s="595" t="s">
        <v>804</v>
      </c>
      <c r="Y3" s="626" t="str">
        <f>IF(Y2="Custom",Z2,Y2&amp;"-PCR-"&amp;Z2)</f>
        <v>Custom Project Calculator</v>
      </c>
      <c r="AA3"/>
      <c r="AB3"/>
      <c r="AC3"/>
      <c r="AD3"/>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337" t="str">
        <f>INDEX(EPD_Measures,1)</f>
        <v>Global warming potential (GWP)</v>
      </c>
      <c r="BM3" s="337" t="str">
        <f>INDEX(EPD_Measures,2)</f>
        <v>Acidification potential</v>
      </c>
      <c r="BN3" s="337" t="str">
        <f>INDEX(EPD_Measures,3)</f>
        <v>Eutrophication potential</v>
      </c>
      <c r="BO3" s="337" t="str">
        <f>INDEX(EPD_Measures,4)</f>
        <v>Smog creation potential</v>
      </c>
      <c r="BP3" s="337" t="str">
        <f>INDEX(EPD_Measures,5)</f>
        <v>Ozone depletion potential</v>
      </c>
      <c r="BQ3" s="337" t="str">
        <f>INDEX(EPD_Measures,6)</f>
        <v>Total primary energy consumption</v>
      </c>
      <c r="BR3" s="337" t="str">
        <f>INDEX(EPD_Measures,7)</f>
        <v>Nonrenewable energy resources</v>
      </c>
      <c r="BS3" s="337" t="str">
        <f>INDEX(EPD_Measures,8)</f>
        <v>Renewable energy resources</v>
      </c>
      <c r="BT3" s="337" t="str">
        <f>INDEX(EPD_Measures,9)</f>
        <v>Material resources consumption</v>
      </c>
      <c r="BU3" s="337" t="str">
        <f>INDEX(EPD_Measures,10)</f>
        <v>Nonrenewable material resources</v>
      </c>
      <c r="BV3" s="337" t="str">
        <f>INDEX(EPD_Measures,11)</f>
        <v>Renewable material resources</v>
      </c>
      <c r="BW3" s="337" t="s">
        <v>105</v>
      </c>
      <c r="BX3" s="565" t="str">
        <f>INDEX(EPD_Measures,13)</f>
        <v>Non-hazardous waste generated</v>
      </c>
      <c r="BY3" s="565" t="str">
        <f>INDEX(EPD_Measures,14)</f>
        <v>Hazardous waste generated</v>
      </c>
      <c r="BZ3"/>
      <c r="CA3"/>
      <c r="CB3"/>
      <c r="CC3"/>
      <c r="CD3"/>
      <c r="CE3"/>
      <c r="CF3"/>
      <c r="CG3"/>
      <c r="CH3"/>
      <c r="CI3"/>
      <c r="CJ3"/>
      <c r="CK3"/>
      <c r="CL3"/>
      <c r="CM3"/>
      <c r="CN3"/>
      <c r="CO3"/>
      <c r="CP3"/>
      <c r="CQ3"/>
    </row>
    <row r="4" spans="2:95" ht="8.25" customHeight="1">
      <c r="C4" s="14"/>
      <c r="D4" s="14"/>
      <c r="E4"/>
      <c r="F4"/>
      <c r="G4"/>
      <c r="H4"/>
      <c r="I4"/>
      <c r="J4"/>
      <c r="K4" s="577"/>
      <c r="L4"/>
      <c r="M4"/>
      <c r="N4"/>
      <c r="O4"/>
      <c r="P4"/>
      <c r="Q4" s="547"/>
      <c r="R4" s="547"/>
      <c r="S4" s="547"/>
      <c r="X4" s="595" t="s">
        <v>805</v>
      </c>
      <c r="Y4" s="627" t="str">
        <f>IF(Y2="Custom","Custom Project",Z2&amp;" Precast Products")</f>
        <v>Custom Project</v>
      </c>
      <c r="Z4" s="1"/>
      <c r="AA4"/>
      <c r="AB4"/>
      <c r="AC4"/>
      <c r="AD4"/>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c r="CB4"/>
      <c r="CC4"/>
      <c r="CD4"/>
      <c r="CE4"/>
      <c r="CF4"/>
      <c r="CG4"/>
      <c r="CH4"/>
      <c r="CI4"/>
      <c r="CJ4"/>
      <c r="CK4"/>
      <c r="CL4"/>
      <c r="CM4"/>
      <c r="CN4"/>
      <c r="CO4"/>
      <c r="CP4"/>
      <c r="CQ4"/>
    </row>
    <row r="5" spans="2:95" ht="8.25" customHeight="1">
      <c r="C5" s="14"/>
      <c r="D5" s="14"/>
      <c r="E5"/>
      <c r="F5"/>
      <c r="G5"/>
      <c r="H5"/>
      <c r="I5"/>
      <c r="J5"/>
      <c r="K5" s="577"/>
      <c r="L5"/>
      <c r="M5"/>
      <c r="N5"/>
      <c r="O5"/>
      <c r="P5"/>
      <c r="Q5" s="547"/>
      <c r="R5" s="547"/>
      <c r="S5" s="547"/>
      <c r="W5" s="12"/>
      <c r="X5" s="595" t="s">
        <v>863</v>
      </c>
      <c r="Y5" s="1" t="s">
        <v>817</v>
      </c>
      <c r="Z5" s="87" t="s">
        <v>864</v>
      </c>
      <c r="AA5"/>
      <c r="AB5"/>
      <c r="AC5"/>
      <c r="AD5"/>
      <c r="AO5" s="12"/>
      <c r="AP5" s="12"/>
      <c r="AW5" t="s">
        <v>494</v>
      </c>
      <c r="AX5" s="152">
        <f t="shared" ref="AX5:BH5" si="0">IF($AR$18=0,0,AX$68+BM$71+AU$87+AX$103*$AY$92+BM$108*$AY$92)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IF($AR$18=0,0,$AX$10+$AX$14+$AX$16)</f>
        <v>0</v>
      </c>
      <c r="BJ5" s="603">
        <f>IF($AR$18=0,0,BJ$68+BY$71+BG$87+BJ$103*$AY$92+BY$108*$AY$92+SUM($AT$100:$AT$102))</f>
        <v>0</v>
      </c>
      <c r="BK5" s="603">
        <f>IF($AR$18=0,0,BK$68+BZ$71+BH$87+BK$103*$AY$92+BZ$108*$AY$92+SUM($AT$97:$AT$99))</f>
        <v>0</v>
      </c>
      <c r="BL5" s="337">
        <f>IF($AR$18=0,0,AX$5/$AR$18)</f>
        <v>0</v>
      </c>
      <c r="BM5" s="337">
        <f t="shared" ref="BM5:BY5" si="1">IF($AR$18=0,0,AY$5/$AR$18)</f>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c r="CB5"/>
      <c r="CC5"/>
      <c r="CD5"/>
      <c r="CE5"/>
      <c r="CF5"/>
      <c r="CG5"/>
      <c r="CH5"/>
      <c r="CI5"/>
      <c r="CJ5"/>
      <c r="CK5"/>
      <c r="CL5"/>
      <c r="CM5"/>
      <c r="CN5"/>
      <c r="CO5"/>
      <c r="CP5"/>
      <c r="CQ5"/>
    </row>
    <row r="6" spans="2:95" ht="19.5" customHeight="1">
      <c r="C6" s="658" t="str">
        <f>IF(W13&lt;&gt;1,"Plant Inputs Data is Not Complete","Data Input is " &amp; ROUND($X$13*100,0)&amp; "% Complete")</f>
        <v>Plant Inputs Data is Not Complete</v>
      </c>
      <c r="D6" s="658"/>
      <c r="E6"/>
      <c r="F6"/>
      <c r="G6"/>
      <c r="H6"/>
      <c r="I6"/>
      <c r="J6"/>
      <c r="K6" s="577"/>
      <c r="L6"/>
      <c r="M6"/>
      <c r="N6"/>
      <c r="O6"/>
      <c r="P6"/>
      <c r="Q6" s="547"/>
      <c r="R6" s="547"/>
      <c r="S6" s="547"/>
      <c r="X6"/>
      <c r="Y6" s="1" t="s">
        <v>839</v>
      </c>
      <c r="Z6" s="87" t="s">
        <v>865</v>
      </c>
      <c r="AA6"/>
      <c r="AB6"/>
      <c r="AC6"/>
      <c r="AD6"/>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c r="CB6"/>
      <c r="CC6"/>
      <c r="CD6"/>
      <c r="CE6"/>
      <c r="CF6"/>
      <c r="CG6"/>
      <c r="CH6"/>
      <c r="CI6"/>
      <c r="CJ6"/>
      <c r="CK6"/>
      <c r="CL6"/>
      <c r="CM6"/>
      <c r="CN6"/>
      <c r="CO6"/>
      <c r="CP6"/>
      <c r="CQ6"/>
    </row>
    <row r="7" spans="2:95" ht="19.5" customHeight="1">
      <c r="C7" s="54"/>
      <c r="D7" s="54"/>
      <c r="E7"/>
      <c r="F7"/>
      <c r="G7"/>
      <c r="H7"/>
      <c r="I7"/>
      <c r="J7"/>
      <c r="K7" s="577"/>
      <c r="L7"/>
      <c r="M7"/>
      <c r="N7"/>
      <c r="O7"/>
      <c r="P7"/>
      <c r="Q7" s="547"/>
      <c r="R7" s="547"/>
      <c r="S7" s="547"/>
      <c r="X7"/>
      <c r="Y7" s="1" t="s">
        <v>840</v>
      </c>
      <c r="Z7" s="87" t="s">
        <v>866</v>
      </c>
      <c r="AA7"/>
      <c r="AB7"/>
      <c r="AC7"/>
      <c r="AD7"/>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IF($AR$18=0,0,AX$5*INDEX(Conversion_Table,MATCH(TRACICalcUnit,Conversion_Rows,0),MATCH(TRACIPerTonneDisplayUnit,Conversion_Columns,0))/$AT$18)</f>
        <v>0</v>
      </c>
      <c r="BM7" s="337">
        <f>IF($AR$18=0,0,AY$5*INDEX(Conversion_Table,MATCH(TRACICalcUnit,Conversion_Rows,0),MATCH(TRACIPerTonneDisplayUnit,Conversion_Columns,0))/$AT$18)</f>
        <v>0</v>
      </c>
      <c r="BN7" s="337">
        <f>IF($AR$18=0,0,AZ$5*INDEX(Conversion_Table,MATCH(TRACICalcUnit,Conversion_Rows,0),MATCH(TRACIPerTonneDisplayUnit,Conversion_Columns,0))/$AT$18)</f>
        <v>0</v>
      </c>
      <c r="BO7" s="337">
        <f>IF($AR$18=0,0,BA$5*INDEX(Conversion_Table,MATCH(TRACICalcUnit,Conversion_Rows,0),MATCH(TRACIPerTonneDisplayUnit,Conversion_Columns,0))/$AT$18)</f>
        <v>0</v>
      </c>
      <c r="BP7" s="337">
        <f>IF($AR$18=0,0,BB$5*INDEX(Conversion_Table,MATCH(TRACICalcUnit,Conversion_Rows,0),MATCH(TRACIPerTonneDisplayUnit,Conversion_Columns,0))/$AT$18)</f>
        <v>0</v>
      </c>
      <c r="BQ7" s="337">
        <f>IF($AR$18=0,0,BC$5*INDEX(Conversion_Table,MATCH(EnergyCalcUnit,Conversion_Rows,0),MATCH(EnergyPerTonneDisplayUnit,Conversion_Columns,0))/$AT$18)</f>
        <v>0</v>
      </c>
      <c r="BR7" s="337">
        <f>IF($AR$18=0,0,BD$5*INDEX(Conversion_Table,MATCH(EnergyCalcUnit,Conversion_Rows,0),MATCH(EnergyPerTonneDisplayUnit,Conversion_Columns,0))/$AT$18)</f>
        <v>0</v>
      </c>
      <c r="BS7" s="337">
        <f>IF($AR$18=0,0,BE$5*INDEX(Conversion_Table,MATCH(EnergyCalcUnit,Conversion_Rows,0),MATCH(EnergyPerTonneDisplayUnit,Conversion_Columns,0))/$AT$18)</f>
        <v>0</v>
      </c>
      <c r="BT7" s="337">
        <f>IF($AR$18=0,0,BF$5*INDEX(Conversion_Table,MATCH(MassCalcUnit,Conversion_Rows,0),MATCH(MassDisplayUnit,Conversion_Columns,0))/$AT$18)</f>
        <v>0</v>
      </c>
      <c r="BU7" s="337">
        <f>IF($AR$18=0,0,BG$5*INDEX(Conversion_Table,MATCH(MassCalcUnit,Conversion_Rows,0),MATCH(MassDisplayUnit,Conversion_Columns,0))/$AT$18)</f>
        <v>0</v>
      </c>
      <c r="BV7" s="337">
        <f>IF($AR$18=0,0,BH$5*INDEX(Conversion_Table,MATCH(MassCalcUnit,Conversion_Rows,0),MATCH(MassDisplayUnit,Conversion_Columns,0))/$AT$18)</f>
        <v>0</v>
      </c>
      <c r="BW7" s="337">
        <f>IF($AR$18=0,0,BI$5*INDEX(Conversion_Table,MATCH(WaterCalcUnit,Conversion_Rows,0),MATCH(WaterPerTonneDisplayUnit,Conversion_Columns,0))/$AT$18)</f>
        <v>0</v>
      </c>
      <c r="BX7" s="337">
        <f>IF($AR$18=0,0,BJ$5*INDEX(Conversion_Table,MATCH(MassCalcUnit,Conversion_Rows,0),MATCH(MassDisplayUnit,Conversion_Columns,0))/$AT$18)</f>
        <v>0</v>
      </c>
      <c r="BY7" s="337">
        <f>IF($AR$18=0,0,BK$5*INDEX(Conversion_Table,MATCH(MassCalcUnit,Conversion_Rows,0),MATCH(MassDisplayUnit,Conversion_Columns,0))/$AT$18)</f>
        <v>0</v>
      </c>
      <c r="BZ7"/>
      <c r="CA7"/>
      <c r="CB7"/>
      <c r="CC7"/>
      <c r="CD7"/>
      <c r="CE7"/>
      <c r="CF7"/>
      <c r="CG7"/>
      <c r="CH7"/>
      <c r="CI7"/>
      <c r="CJ7"/>
      <c r="CK7"/>
      <c r="CL7"/>
      <c r="CM7"/>
      <c r="CN7"/>
      <c r="CO7"/>
      <c r="CP7"/>
      <c r="CQ7"/>
    </row>
    <row r="8" spans="2:95" ht="19.5" customHeight="1">
      <c r="C8" s="54"/>
      <c r="D8" s="54"/>
      <c r="E8"/>
      <c r="F8"/>
      <c r="G8"/>
      <c r="H8"/>
      <c r="I8"/>
      <c r="J8"/>
      <c r="K8" s="577"/>
      <c r="L8"/>
      <c r="M8"/>
      <c r="N8"/>
      <c r="O8"/>
      <c r="P8"/>
      <c r="Q8" s="547"/>
      <c r="R8" s="547"/>
      <c r="S8" s="547"/>
      <c r="W8" s="12"/>
      <c r="X8"/>
      <c r="Y8" s="634" t="s">
        <v>630</v>
      </c>
      <c r="Z8" s="216" t="s">
        <v>867</v>
      </c>
      <c r="AA8"/>
      <c r="AB8"/>
      <c r="AC8"/>
      <c r="AD8"/>
      <c r="AW8" s="12" t="s">
        <v>497</v>
      </c>
      <c r="AX8" s="152" t="str">
        <f t="shared" ref="AX8:BU8" si="3">FIXED(AX$7,0,FALSE)</f>
        <v>0</v>
      </c>
      <c r="AY8" s="152" t="str">
        <f t="shared" si="3"/>
        <v>0</v>
      </c>
      <c r="AZ8" s="152" t="str">
        <f t="shared" si="3"/>
        <v>0</v>
      </c>
      <c r="BA8" s="152" t="str">
        <f t="shared" si="3"/>
        <v>0</v>
      </c>
      <c r="BB8" s="152" t="str">
        <f t="shared" si="3"/>
        <v>0</v>
      </c>
      <c r="BC8" s="152" t="str">
        <f t="shared" si="3"/>
        <v>0</v>
      </c>
      <c r="BD8" s="152" t="str">
        <f t="shared" si="3"/>
        <v>0</v>
      </c>
      <c r="BE8" s="152" t="str">
        <f t="shared" si="3"/>
        <v>0</v>
      </c>
      <c r="BF8" s="152" t="str">
        <f t="shared" si="3"/>
        <v>0</v>
      </c>
      <c r="BG8" s="152" t="str">
        <f t="shared" si="3"/>
        <v>0</v>
      </c>
      <c r="BH8" s="152" t="str">
        <f t="shared" si="3"/>
        <v>0</v>
      </c>
      <c r="BI8" s="152" t="str">
        <f t="shared" si="3"/>
        <v>0</v>
      </c>
      <c r="BJ8" s="152" t="str">
        <f t="shared" si="3"/>
        <v>0</v>
      </c>
      <c r="BK8" s="152"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FIXED(BV$7,0,FALSE)</f>
        <v>0</v>
      </c>
      <c r="BW8" s="337" t="str">
        <f>FIXED(BW$7,0,FALSE)</f>
        <v>0</v>
      </c>
      <c r="BX8" s="337" t="str">
        <f t="shared" ref="BX8:BY8" si="4">FIXED(BX$7,0,FALSE)</f>
        <v>0</v>
      </c>
      <c r="BY8" s="337" t="str">
        <f t="shared" si="4"/>
        <v>0</v>
      </c>
      <c r="BZ8"/>
      <c r="CA8"/>
      <c r="CB8"/>
      <c r="CC8"/>
      <c r="CD8"/>
      <c r="CE8"/>
      <c r="CF8"/>
      <c r="CG8"/>
      <c r="CH8"/>
      <c r="CI8"/>
      <c r="CJ8"/>
      <c r="CK8"/>
      <c r="CL8"/>
      <c r="CM8"/>
      <c r="CN8"/>
      <c r="CO8"/>
      <c r="CP8"/>
      <c r="CQ8"/>
    </row>
    <row r="9" spans="2:95" ht="19.5" customHeight="1">
      <c r="C9" s="631" t="str">
        <f>IF($Y$2="Custom",$Y$4,"PCR Category: "&amp;$Y$4)</f>
        <v>Custom Project</v>
      </c>
      <c r="D9" s="54"/>
      <c r="E9"/>
      <c r="F9"/>
      <c r="G9"/>
      <c r="H9"/>
      <c r="I9" s="3"/>
      <c r="J9" s="3"/>
      <c r="K9" s="577"/>
      <c r="L9"/>
      <c r="M9"/>
      <c r="N9"/>
      <c r="O9"/>
      <c r="P9"/>
      <c r="Q9" s="547"/>
      <c r="R9" s="547"/>
      <c r="S9" s="547"/>
      <c r="W9" s="12"/>
      <c r="X9"/>
      <c r="Y9" s="13" t="str">
        <f>IF($Y$2="Custom","",VLOOKUP($Y$2,$Y$5:$AA$8,2,FALSE))</f>
        <v/>
      </c>
      <c r="AA9"/>
      <c r="AB9"/>
      <c r="AC9"/>
      <c r="AD9"/>
      <c r="AW9" s="338" t="s">
        <v>105</v>
      </c>
      <c r="AX9" s="338" t="str">
        <f>WaterCalcUnit</f>
        <v>m3</v>
      </c>
      <c r="AY9" s="338" t="str">
        <f>WaterCalcUnit&amp;"/"&amp;MassCalcUnit</f>
        <v>m3/tonne</v>
      </c>
    </row>
    <row r="10" spans="2:95" ht="19.5" customHeight="1" thickBot="1">
      <c r="C10" s="14"/>
      <c r="D10" s="14"/>
      <c r="E10" s="14"/>
      <c r="F10" s="14"/>
      <c r="G10" s="14"/>
      <c r="H10" s="14"/>
      <c r="I10" s="14"/>
      <c r="J10" s="14"/>
      <c r="K10" s="577"/>
      <c r="L10"/>
      <c r="M10"/>
      <c r="N10"/>
      <c r="O10"/>
      <c r="P10"/>
      <c r="Q10" s="547"/>
      <c r="R10" s="547"/>
      <c r="S10" s="547"/>
      <c r="X10"/>
      <c r="Y10" s="15"/>
      <c r="Z10" s="15"/>
      <c r="AA10"/>
      <c r="AB10"/>
      <c r="AC10"/>
      <c r="AD10"/>
      <c r="AE10" s="15"/>
      <c r="AF10" s="15"/>
      <c r="AG10" s="15"/>
      <c r="AH10" s="15"/>
      <c r="AI10" s="15"/>
      <c r="AJ10" s="15"/>
      <c r="AK10" s="15"/>
      <c r="AL10" s="15"/>
      <c r="AW10" s="338" t="s">
        <v>505</v>
      </c>
      <c r="AX10" s="339">
        <f>IF($AR$18=0,0,$BI$68+$BF$87+$BX$71+$BI$103*$AY$92+$BX$108*$AY$92)</f>
        <v>0</v>
      </c>
      <c r="AY10" s="340">
        <f>IF($AR$18=0,0,$AX10/$AR$18)</f>
        <v>0</v>
      </c>
    </row>
    <row r="11" spans="2:95" ht="19.5" customHeight="1" thickBot="1">
      <c r="C11" s="16" t="s">
        <v>583</v>
      </c>
      <c r="D11" s="17"/>
      <c r="E11" s="17"/>
      <c r="F11" s="18"/>
      <c r="G11" s="691" t="str">
        <f>IF($Y$2="Custom","This page is to be used to customize results for a specific project or product.  
For example, if you want to calculate the effects of hollow core production, enter the total hollow core production mass in E22, then enter the material quantities in E"&amp;ROW($C$29)&amp;"-E"&amp;ROW($C$64)&amp;".  
The results for hollow core are then calculated using the same cement profile from Cement Sources and the the plant operating energy and waste from Plant Inputs.",$Y$4&amp;" include "&amp;$Y$9)</f>
        <v>This page is to be used to customize results for a specific project or product.  
For example, if you want to calculate the effects of hollow core production, enter the total hollow core production mass in E22, then enter the material quantities in E29-E64.  
The results for hollow core are then calculated using the same cement profile from Cement Sources and the the plant operating energy and waste from Plant Inputs.</v>
      </c>
      <c r="H11" s="692"/>
      <c r="I11" s="692"/>
      <c r="J11" s="692"/>
      <c r="K11" s="577"/>
      <c r="L11"/>
      <c r="M11"/>
      <c r="N11"/>
      <c r="O11"/>
      <c r="P11"/>
      <c r="Q11" s="547"/>
      <c r="R11" s="547"/>
      <c r="S11" s="547"/>
      <c r="V11" s="1" t="s">
        <v>250</v>
      </c>
      <c r="W11" s="65">
        <f>'Plant Inputs'!X11</f>
        <v>0</v>
      </c>
      <c r="X11" s="67">
        <f>SUM(X16,X18,X30:X64,X65:X67,X76:X86)</f>
        <v>0</v>
      </c>
      <c r="Y11" s="13" t="s">
        <v>64</v>
      </c>
      <c r="AA11"/>
      <c r="AB11"/>
      <c r="AC11"/>
      <c r="AD11"/>
      <c r="AW11" s="338" t="str">
        <f>$D$65</f>
        <v>Total Batch Water Use</v>
      </c>
      <c r="AX11" s="340">
        <f>IF($AR$18=0,0,$AP$65*INDEX(Conversion_Table,MATCH($AQ$65,Conversion_Rows,0),MATCH(WaterCalcUnit,Conversion_Columns,0)))</f>
        <v>0</v>
      </c>
      <c r="AY11" s="340">
        <f>IF($AR$18=0,0,$AX11/$AR$18)</f>
        <v>0</v>
      </c>
    </row>
    <row r="12" spans="2:95" ht="19.5" customHeight="1" thickBot="1">
      <c r="C12" s="73" t="s">
        <v>243</v>
      </c>
      <c r="D12" s="74"/>
      <c r="E12" s="74"/>
      <c r="F12" s="133"/>
      <c r="G12" s="691"/>
      <c r="H12" s="692"/>
      <c r="I12" s="692"/>
      <c r="J12" s="692"/>
      <c r="K12" s="577"/>
      <c r="L12"/>
      <c r="M12"/>
      <c r="N12"/>
      <c r="O12"/>
      <c r="P12"/>
      <c r="Q12" s="547"/>
      <c r="R12" s="547"/>
      <c r="S12" s="547"/>
      <c r="V12" s="1" t="s">
        <v>249</v>
      </c>
      <c r="W12" s="65">
        <f>'Plant Inputs'!X12</f>
        <v>99</v>
      </c>
      <c r="X12" s="65">
        <v>51</v>
      </c>
      <c r="Y12" s="13" t="s">
        <v>65</v>
      </c>
      <c r="AA12"/>
      <c r="AB12"/>
      <c r="AC12"/>
      <c r="AD12"/>
      <c r="AW12" s="338" t="str">
        <f>$D$66</f>
        <v>Total Plant Water Use</v>
      </c>
      <c r="AX12" s="340">
        <f>$AY$12*$AR$18</f>
        <v>0</v>
      </c>
      <c r="AY12" s="340">
        <f>'Plant Inputs'!$AY$12</f>
        <v>0</v>
      </c>
      <c r="AZ12" s="604">
        <f>E66*INDEX(Conversion_Table,MATCH($F$66,Conversion_Rows,0),MATCH(WaterCalcUnit,Conversion_Columns,0))</f>
        <v>0</v>
      </c>
    </row>
    <row r="13" spans="2:95" ht="19.5" customHeight="1">
      <c r="C13" s="19"/>
      <c r="D13" s="20"/>
      <c r="E13" s="20"/>
      <c r="F13" s="134"/>
      <c r="G13" s="691"/>
      <c r="H13" s="692"/>
      <c r="I13" s="692"/>
      <c r="J13" s="692"/>
      <c r="K13" s="577"/>
      <c r="L13"/>
      <c r="M13"/>
      <c r="N13"/>
      <c r="O13"/>
      <c r="P13"/>
      <c r="Q13" s="547"/>
      <c r="R13" s="547"/>
      <c r="S13" s="547"/>
      <c r="V13" s="1" t="s">
        <v>251</v>
      </c>
      <c r="W13" s="66">
        <f>'Plant Inputs'!X13</f>
        <v>0</v>
      </c>
      <c r="X13" s="66">
        <f>IF(OR(X12=0,W13&lt;&gt;1),0,IF(ISERROR(X11/X12),0,X11/X12))</f>
        <v>0</v>
      </c>
      <c r="Y13" s="13" t="s">
        <v>66</v>
      </c>
      <c r="AA13"/>
      <c r="AB13"/>
      <c r="AC13"/>
      <c r="AD13"/>
      <c r="AW13" s="338" t="str">
        <f>$D$67</f>
        <v>Percentage of Batch Water that is Recycled Water</v>
      </c>
      <c r="AX13" s="341">
        <f>IF($AR$18=0,0,$E$67/100)</f>
        <v>0</v>
      </c>
      <c r="AY13" s="341"/>
    </row>
    <row r="14" spans="2:95" ht="19.5" customHeight="1">
      <c r="C14" s="21" t="s">
        <v>248</v>
      </c>
      <c r="D14" s="22"/>
      <c r="E14" s="22"/>
      <c r="F14" s="134"/>
      <c r="G14" s="691"/>
      <c r="H14" s="692"/>
      <c r="I14" s="692"/>
      <c r="J14" s="692"/>
      <c r="K14" s="577"/>
      <c r="L14"/>
      <c r="M14"/>
      <c r="N14"/>
      <c r="O14"/>
      <c r="P14"/>
      <c r="Q14" s="547"/>
      <c r="R14" s="547"/>
      <c r="S14" s="547"/>
      <c r="AA14"/>
      <c r="AB14"/>
      <c r="AC14"/>
      <c r="AD14"/>
      <c r="AW14" s="338" t="s">
        <v>580</v>
      </c>
      <c r="AX14" s="340">
        <f>IF($AR$18=0,0,$AX$11*(1-$AX$13))</f>
        <v>0</v>
      </c>
      <c r="AY14" s="340">
        <f>IF($AR$18=0,0,$AX14/$AR$18)</f>
        <v>0</v>
      </c>
    </row>
    <row r="15" spans="2:95" ht="19.5" customHeight="1">
      <c r="C15" s="23" t="s">
        <v>2</v>
      </c>
      <c r="D15" s="24" t="s">
        <v>11</v>
      </c>
      <c r="E15" s="25" t="s">
        <v>11</v>
      </c>
      <c r="F15" s="134"/>
      <c r="G15" s="691"/>
      <c r="H15" s="692"/>
      <c r="I15" s="692"/>
      <c r="J15" s="692"/>
      <c r="K15" s="577"/>
      <c r="L15"/>
      <c r="M15"/>
      <c r="N15"/>
      <c r="O15"/>
      <c r="P15"/>
      <c r="Q15" s="547"/>
      <c r="R15" s="547"/>
      <c r="S15" s="547"/>
      <c r="AA15"/>
      <c r="AB15"/>
      <c r="AC15"/>
      <c r="AD15"/>
      <c r="AM15" s="1" t="s">
        <v>485</v>
      </c>
      <c r="AO15">
        <f>IF(COUNTIF(Locations_USA,$E$16)=1,VLOOKUP($E$16,Locations_USA,3,FALSE),IF(COUNTIF(Locations_CAN,$E$16)=1,VLOOKUP($E$16,Locations_CAN,3,FALSE),NA()))</f>
        <v>0</v>
      </c>
      <c r="AW15" s="338" t="s">
        <v>581</v>
      </c>
      <c r="AX15" s="340">
        <f>IF($AR$18=0,0,$AX$11*$AX$13)</f>
        <v>0</v>
      </c>
      <c r="AY15" s="340">
        <f>IF($AR$18=0,0,$AX15/$AR$18)</f>
        <v>0</v>
      </c>
    </row>
    <row r="16" spans="2:95" ht="19.5" customHeight="1">
      <c r="B16" s="53">
        <f t="shared" ref="B16" si="5">X16</f>
        <v>0</v>
      </c>
      <c r="C16" s="26">
        <v>1</v>
      </c>
      <c r="D16" s="27" t="s">
        <v>58</v>
      </c>
      <c r="E16" s="636" t="str">
        <f>PlantLocation</f>
        <v>Insert Location</v>
      </c>
      <c r="F16" s="659" t="s">
        <v>6</v>
      </c>
      <c r="G16" s="691"/>
      <c r="H16" s="692"/>
      <c r="I16" s="692"/>
      <c r="J16" s="692"/>
      <c r="K16" s="3"/>
      <c r="L16"/>
      <c r="M16"/>
      <c r="N16"/>
      <c r="O16"/>
      <c r="P16"/>
      <c r="X16" s="65">
        <f>IF(OR(ISBLANK(E16),E16="Insert Location"),0,1)</f>
        <v>0</v>
      </c>
      <c r="AA16"/>
      <c r="AB16"/>
      <c r="AC16"/>
      <c r="AD16"/>
      <c r="AM16" s="1" t="str">
        <f>D16</f>
        <v>Plant Location</v>
      </c>
      <c r="AN16" s="87" t="str">
        <f>E16</f>
        <v>Insert Location</v>
      </c>
      <c r="AO16">
        <f>IF(COUNTIF(Locations_USA,$E$16)=1,VLOOKUP($E$16,Locations_USA,2,FALSE),IF(COUNTIF(Locations_CAN,$E$16)=1,VLOOKUP($E$16,Locations_CAN,2,FALSE),NA()))</f>
        <v>0</v>
      </c>
      <c r="AT16" s="87" t="s">
        <v>491</v>
      </c>
      <c r="AW16" s="338" t="s">
        <v>579</v>
      </c>
      <c r="AX16" s="340">
        <f>IF($AR$18=0,0,$AX$12-$AX$14)</f>
        <v>0</v>
      </c>
      <c r="AY16" s="340">
        <f>IF($AR$18=0,0,$AX16/$AR$18)</f>
        <v>0</v>
      </c>
    </row>
    <row r="17" spans="2:137" ht="19.5" customHeight="1">
      <c r="C17" s="28"/>
      <c r="D17" s="24" t="s">
        <v>91</v>
      </c>
      <c r="E17" s="25" t="s">
        <v>12</v>
      </c>
      <c r="F17" s="660"/>
      <c r="G17" s="691"/>
      <c r="H17" s="692"/>
      <c r="I17" s="692"/>
      <c r="J17" s="692"/>
      <c r="K17" s="3"/>
      <c r="L17"/>
      <c r="M17"/>
      <c r="N17"/>
      <c r="O17"/>
      <c r="P17"/>
      <c r="X17" s="13"/>
      <c r="AA17"/>
      <c r="AB17"/>
      <c r="AC17"/>
      <c r="AD17"/>
      <c r="AN17" s="1" t="s">
        <v>129</v>
      </c>
      <c r="AO17" s="1" t="s">
        <v>126</v>
      </c>
      <c r="AP17" s="87" t="s">
        <v>79</v>
      </c>
      <c r="AQ17" s="87" t="s">
        <v>210</v>
      </c>
      <c r="AR17" s="1" t="s">
        <v>102</v>
      </c>
      <c r="AS17" s="87" t="s">
        <v>136</v>
      </c>
      <c r="AT17" s="1"/>
      <c r="AU17" s="87"/>
      <c r="AV17" s="87"/>
    </row>
    <row r="18" spans="2:137" ht="19.5" customHeight="1" thickBot="1">
      <c r="B18" s="53">
        <f>X18</f>
        <v>0</v>
      </c>
      <c r="C18" s="425">
        <v>2</v>
      </c>
      <c r="D18" s="424" t="str">
        <f>"Total Output of "&amp;$Y$4</f>
        <v>Total Output of Custom Project</v>
      </c>
      <c r="E18" s="395"/>
      <c r="F18" s="396" t="str">
        <f>$AE$18</f>
        <v>short ton</v>
      </c>
      <c r="G18" s="691"/>
      <c r="H18" s="692"/>
      <c r="I18" s="692"/>
      <c r="J18" s="692"/>
      <c r="K18" s="3"/>
      <c r="L18"/>
      <c r="M18"/>
      <c r="N18"/>
      <c r="O18"/>
      <c r="P18"/>
      <c r="Q18" s="65"/>
      <c r="R18" s="65"/>
      <c r="S18" s="65"/>
      <c r="X18" s="65">
        <f>IF(ISBLANK(E18),0,1)</f>
        <v>0</v>
      </c>
      <c r="Y18" s="216">
        <f>IF($X18=1,1,0)</f>
        <v>0</v>
      </c>
      <c r="AD18" s="635" t="str">
        <f>IF($Y$2="A",'Plant Inputs'!$E$18,IF($Y$2="B",'Plant Inputs'!$E$19,IF($Y$2="C",'Plant Inputs'!$E$20,IF($Y$2="D",'Plant Inputs'!$E$21,""))))</f>
        <v/>
      </c>
      <c r="AE18" s="635" t="str">
        <f>IF($Y$2="A",'Plant Inputs'!$F$18,IF($Y$2="B",'Plant Inputs'!$F$19,IF($Y$2="C",'Plant Inputs'!$F$20,IF($Y$2="D",'Plant Inputs'!$F$21,MassDisplayUnit))))</f>
        <v>short ton</v>
      </c>
      <c r="AM18" s="1" t="str">
        <f>D18</f>
        <v>Total Output of Custom Project</v>
      </c>
      <c r="AN18" s="1">
        <f>E18</f>
        <v>0</v>
      </c>
      <c r="AO18" s="1" t="str">
        <f>F18</f>
        <v>short ton</v>
      </c>
      <c r="AP18" s="1">
        <f>INDEX(Conversion_Table,MATCH($AO18,Conversion_Rows,0),MATCH($AS18,Conversion_Columns,0))</f>
        <v>0.90718499588591606</v>
      </c>
      <c r="AQ18" s="87" t="str">
        <f>AS18&amp;"/"&amp;AO18</f>
        <v>tonne/short ton</v>
      </c>
      <c r="AR18">
        <f>AN18*AP18</f>
        <v>0</v>
      </c>
      <c r="AS18" s="331" t="str">
        <f>MassCalcUnit</f>
        <v>tonne</v>
      </c>
      <c r="AT18">
        <f>$AR$18*INDEX(Conversion_Table,MATCH($AS18,Conversion_Rows,0),MATCH($AU18,Conversion_Columns,0))</f>
        <v>0</v>
      </c>
      <c r="AU18" s="329" t="str">
        <f>MassDisplayUnit</f>
        <v>short ton</v>
      </c>
      <c r="AW18" s="1"/>
      <c r="AX18" s="97"/>
      <c r="AY18" s="97"/>
      <c r="AZ18" s="97"/>
    </row>
    <row r="19" spans="2:137" ht="17.25" customHeight="1">
      <c r="B19"/>
      <c r="C19"/>
      <c r="D19"/>
      <c r="E19"/>
      <c r="F19"/>
      <c r="G19"/>
      <c r="H19" s="593"/>
      <c r="I19" s="593"/>
      <c r="J19" s="593"/>
      <c r="K19" s="3"/>
      <c r="L19" s="3"/>
      <c r="M19" s="65"/>
      <c r="N19" s="65"/>
      <c r="O19" s="65"/>
      <c r="P19" s="65"/>
      <c r="Q19" s="65"/>
      <c r="R19" s="65"/>
      <c r="S19" s="65"/>
      <c r="AN19" s="1"/>
      <c r="AO19" s="1"/>
      <c r="AP19" s="1"/>
      <c r="AS19" s="87"/>
      <c r="AW19" s="1"/>
      <c r="AX19" s="97"/>
      <c r="AY19" s="97"/>
      <c r="AZ19" s="97"/>
    </row>
    <row r="20" spans="2:137" ht="15" customHeight="1">
      <c r="B20"/>
      <c r="C20" s="629" t="str">
        <f>IF($Y$2="Custom","",IF(ToolType="Reporting","This page is used to produce EPD results for the PCR category "&amp;$Y$4,IF(ToolType="Survey","This page is used as a one time survey for the PCR category "&amp;$Y$4,NA())) )</f>
        <v/>
      </c>
      <c r="D20"/>
      <c r="E20"/>
      <c r="F20"/>
      <c r="G20"/>
      <c r="H20" s="593"/>
      <c r="I20" s="593"/>
      <c r="J20" s="593"/>
      <c r="K20" s="3"/>
      <c r="L20" s="3"/>
      <c r="AN20" s="1"/>
      <c r="AO20" s="1"/>
      <c r="AP20" s="1"/>
      <c r="AS20" s="87"/>
      <c r="AW20" s="1"/>
      <c r="AX20" s="97"/>
      <c r="AY20" s="97"/>
      <c r="AZ20" s="97"/>
    </row>
    <row r="21" spans="2:137" ht="15" customHeight="1">
      <c r="B21"/>
      <c r="C21" s="629" t="str">
        <f>IF($Y$2="Custom","",IF(Association_Version="CPCI","Enter 1 "&amp;MassDisplayUnit&amp;" of "&amp;$Y$4&amp;" in Table A above.",IF(OR(Association_Version="NPCA",Association_Version="PCI"),"Enter the total production of "&amp;$Y$4&amp;" in Table A above.",NA())))</f>
        <v/>
      </c>
      <c r="D21"/>
      <c r="E21"/>
      <c r="F21"/>
      <c r="G21"/>
      <c r="H21" s="593"/>
      <c r="I21" s="593"/>
      <c r="J21" s="593"/>
      <c r="K21" s="3"/>
      <c r="L21" s="3"/>
      <c r="AN21" s="1"/>
      <c r="AO21" s="1"/>
      <c r="AP21" s="1"/>
      <c r="AS21" s="87"/>
      <c r="AW21" s="1"/>
      <c r="AX21" s="97"/>
      <c r="AY21" s="97"/>
      <c r="AZ21" s="97"/>
    </row>
    <row r="22" spans="2:137" ht="15" customHeight="1">
      <c r="B22"/>
      <c r="C22" s="629" t="str">
        <f>IF($Y$2="Custom","",IF(Association_Version="CPCI","Then, enter the totals of all the materials that are used in the production of 1 "&amp;MassDisplayUnit&amp;" of "&amp;$Y$4&amp;", in Table B below.",IF(OR(Association_Version="NPCA",Association_Version="PCI"),"Then, enter the totals of all the materials that were used in that total production, in Table B below.",NA())))</f>
        <v/>
      </c>
      <c r="D22"/>
      <c r="E22"/>
      <c r="F22"/>
      <c r="G22"/>
      <c r="H22" s="593"/>
      <c r="I22" s="593"/>
      <c r="J22" s="593"/>
      <c r="K22" s="3"/>
      <c r="L22" s="3"/>
      <c r="Z22" s="216"/>
      <c r="AX22" s="97"/>
      <c r="AY22" s="97"/>
      <c r="AZ22" s="97"/>
      <c r="BA22" s="97"/>
      <c r="BB22" s="97"/>
      <c r="BC22" s="97"/>
      <c r="BD22" s="97"/>
      <c r="BE22" s="97"/>
      <c r="BF22" s="97"/>
      <c r="BG22" s="97"/>
      <c r="BH22" s="97"/>
      <c r="BI22" s="97"/>
      <c r="BJ22" s="97"/>
      <c r="BV22"/>
      <c r="BW22"/>
      <c r="BX22"/>
      <c r="BY22"/>
      <c r="BZ22"/>
      <c r="CA22"/>
      <c r="CB22"/>
      <c r="CC22"/>
      <c r="CD22"/>
    </row>
    <row r="23" spans="2:137" ht="18" customHeight="1">
      <c r="C23" s="630" t="str">
        <f>IF(OR($Y$2="Custom",Association_Version="CPCI"),"","The transportation, energy and solid waste data from the Plant Inputs page will be used to allocate those inputs for "&amp;$Y$4&amp;".")</f>
        <v/>
      </c>
      <c r="D23" s="57"/>
      <c r="E23" s="30"/>
      <c r="F23" s="30"/>
      <c r="G23" s="142"/>
      <c r="H23" s="30"/>
      <c r="I23" s="30"/>
      <c r="J23" s="30"/>
      <c r="AN23" s="1"/>
      <c r="AO23" s="1"/>
      <c r="AP23" s="1"/>
      <c r="BM23" s="1" t="s">
        <v>336</v>
      </c>
      <c r="BN23" s="87">
        <v>1</v>
      </c>
      <c r="BV23"/>
      <c r="BW23"/>
      <c r="BX23"/>
      <c r="BY23"/>
      <c r="BZ23"/>
      <c r="CA23"/>
      <c r="CB23"/>
      <c r="CC23"/>
      <c r="CD23"/>
      <c r="CE23"/>
      <c r="CF23"/>
    </row>
    <row r="24" spans="2:137" ht="16" thickBot="1">
      <c r="D24" s="30"/>
      <c r="E24" s="30"/>
      <c r="F24" s="30"/>
      <c r="G24" s="30"/>
      <c r="H24" s="30"/>
      <c r="I24" s="30"/>
      <c r="J24" s="30"/>
      <c r="AN24" s="1"/>
      <c r="AO24" s="1"/>
      <c r="AP24" s="1"/>
      <c r="BV24"/>
      <c r="BW24"/>
      <c r="BX24"/>
      <c r="BY24"/>
      <c r="BZ24"/>
      <c r="CA24"/>
      <c r="CB24"/>
      <c r="CC24"/>
      <c r="CD24"/>
      <c r="CE24"/>
      <c r="CF24"/>
    </row>
    <row r="25" spans="2:137" ht="21" thickBot="1">
      <c r="C25" s="16" t="s">
        <v>72</v>
      </c>
      <c r="D25" s="17"/>
      <c r="E25" s="17"/>
      <c r="F25" s="17"/>
      <c r="G25" s="17"/>
      <c r="H25" s="17"/>
      <c r="I25" s="18"/>
      <c r="J25"/>
      <c r="K25"/>
      <c r="L25"/>
      <c r="M25"/>
      <c r="N25"/>
      <c r="O25"/>
      <c r="P25"/>
      <c r="Q25"/>
      <c r="R25"/>
      <c r="S25"/>
      <c r="T25"/>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6"/>
      <c r="DO25"/>
      <c r="DP25"/>
      <c r="DQ25"/>
      <c r="DR25"/>
      <c r="DS25"/>
      <c r="DT25"/>
      <c r="DU25"/>
      <c r="DV25"/>
      <c r="DW25"/>
      <c r="DX25"/>
      <c r="DY25"/>
      <c r="DZ25"/>
      <c r="EA25"/>
      <c r="EB25"/>
      <c r="EC25"/>
      <c r="ED25"/>
      <c r="EE25"/>
      <c r="EF25"/>
      <c r="EG25"/>
    </row>
    <row r="26" spans="2:137" ht="15" customHeight="1" thickBot="1">
      <c r="C26" s="73" t="s">
        <v>141</v>
      </c>
      <c r="D26" s="74"/>
      <c r="E26" s="74"/>
      <c r="F26" s="74"/>
      <c r="G26" s="74"/>
      <c r="H26" s="74"/>
      <c r="I26" s="79"/>
      <c r="J26"/>
      <c r="K26"/>
      <c r="L26"/>
      <c r="M26"/>
      <c r="N26"/>
      <c r="O26"/>
      <c r="P26"/>
      <c r="Q26"/>
      <c r="R26"/>
      <c r="S26"/>
      <c r="T26"/>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c r="BY26" s="2"/>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16</v>
      </c>
      <c r="CN26" s="2" t="s">
        <v>16</v>
      </c>
      <c r="CO26" s="2" t="s">
        <v>16</v>
      </c>
      <c r="CP26" s="2" t="s">
        <v>16</v>
      </c>
      <c r="CQ26" s="2" t="s">
        <v>16</v>
      </c>
      <c r="CR26" s="2" t="s">
        <v>16</v>
      </c>
      <c r="CS26" s="2" t="s">
        <v>16</v>
      </c>
      <c r="CT26" s="2" t="s">
        <v>16</v>
      </c>
      <c r="CU26" s="2" t="s">
        <v>16</v>
      </c>
      <c r="CV26" s="2" t="s">
        <v>16</v>
      </c>
      <c r="CW26" s="2" t="s">
        <v>16</v>
      </c>
      <c r="CX26" s="2"/>
      <c r="CY26" s="2"/>
      <c r="CZ26" s="2" t="s">
        <v>16</v>
      </c>
      <c r="DA26" s="2" t="s">
        <v>15</v>
      </c>
      <c r="DB26" s="2" t="s">
        <v>15</v>
      </c>
      <c r="DC26" s="2" t="s">
        <v>15</v>
      </c>
      <c r="DD26" s="2" t="s">
        <v>15</v>
      </c>
      <c r="DE26" s="2" t="s">
        <v>15</v>
      </c>
      <c r="DF26" s="2" t="s">
        <v>15</v>
      </c>
      <c r="DG26" s="2" t="s">
        <v>15</v>
      </c>
      <c r="DH26" s="2" t="s">
        <v>15</v>
      </c>
      <c r="DI26" s="2" t="s">
        <v>15</v>
      </c>
      <c r="DJ26" s="2" t="s">
        <v>15</v>
      </c>
      <c r="DK26" s="2" t="s">
        <v>15</v>
      </c>
      <c r="DL26" s="2"/>
      <c r="DM26" s="2"/>
      <c r="DN26" s="2" t="s">
        <v>15</v>
      </c>
      <c r="DO26" s="584" t="s">
        <v>726</v>
      </c>
      <c r="DP26" s="585"/>
      <c r="DQ26" s="585"/>
      <c r="DR26" s="585"/>
      <c r="DS26" s="585"/>
      <c r="DT26" s="585"/>
      <c r="DU26" s="585"/>
      <c r="DV26" s="585"/>
      <c r="DW26" s="585"/>
      <c r="DX26" s="585"/>
      <c r="DY26" s="585"/>
      <c r="DZ26" s="585"/>
      <c r="EA26" s="585"/>
      <c r="EB26" s="586"/>
      <c r="EC26"/>
      <c r="ED26"/>
      <c r="EE26"/>
      <c r="EF26"/>
      <c r="EG26"/>
    </row>
    <row r="27" spans="2:137" ht="15" customHeight="1">
      <c r="C27" s="31"/>
      <c r="I27" s="94"/>
      <c r="J27"/>
      <c r="K27"/>
      <c r="L27"/>
      <c r="M27"/>
      <c r="N27"/>
      <c r="O27"/>
      <c r="P27"/>
      <c r="Q27"/>
      <c r="R27"/>
      <c r="S27"/>
      <c r="T27"/>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INDEX(EPD_Measures,3)</f>
        <v>Eutrophication potential</v>
      </c>
      <c r="CP27" s="564" t="str">
        <f>INDEX(EPD_Measures,4)</f>
        <v>Smog creation potential</v>
      </c>
      <c r="CQ27" s="564" t="str">
        <f>INDEX(EPD_Measures,5)</f>
        <v>Ozone depletion potential</v>
      </c>
      <c r="CR27" s="564" t="str">
        <f>INDEX(EPD_Measures,6)</f>
        <v>Total primary energy consumption</v>
      </c>
      <c r="CS27" s="564" t="str">
        <f>INDEX(EPD_Measures,7)</f>
        <v>Nonrenewable energy resources</v>
      </c>
      <c r="CT27" s="564" t="str">
        <f>INDEX(EPD_Measures,8)</f>
        <v>Renewable energy resources</v>
      </c>
      <c r="CU27" s="564" t="str">
        <f>INDEX(EPD_Measures,9)</f>
        <v>Material resources consumption</v>
      </c>
      <c r="CV27" s="564" t="str">
        <f>INDEX(EPD_Measures,10)</f>
        <v>Nonrenewable material resources</v>
      </c>
      <c r="CW27" s="564" t="str">
        <f>INDEX(EPD_Measures,11)</f>
        <v>Renewable material resources</v>
      </c>
      <c r="CX27" s="564"/>
      <c r="CY27" s="564"/>
      <c r="CZ27" s="564" t="str">
        <f>INDEX(EPD_Measures,12)</f>
        <v>Net Fresh Water</v>
      </c>
      <c r="DA27" s="564" t="str">
        <f>INDEX(EPD_Measures,1)</f>
        <v>Global warming potential (GWP)</v>
      </c>
      <c r="DB27" s="564" t="str">
        <f>INDEX(EPD_Measures,2)</f>
        <v>Acidification potential</v>
      </c>
      <c r="DC27" s="564" t="str">
        <f>INDEX(EPD_Measures,3)</f>
        <v>Eutrophication potential</v>
      </c>
      <c r="DD27" s="564" t="str">
        <f>INDEX(EPD_Measures,4)</f>
        <v>Smog creation potential</v>
      </c>
      <c r="DE27" s="564" t="str">
        <f>INDEX(EPD_Measures,5)</f>
        <v>Ozone depletion potential</v>
      </c>
      <c r="DF27" s="564" t="str">
        <f>INDEX(EPD_Measures,6)</f>
        <v>Total primary energy consumption</v>
      </c>
      <c r="DG27" s="564" t="str">
        <f>INDEX(EPD_Measures,7)</f>
        <v>Nonrenewable energy resources</v>
      </c>
      <c r="DH27" s="564" t="str">
        <f>INDEX(EPD_Measures,8)</f>
        <v>Renewable energy resources</v>
      </c>
      <c r="DI27" s="564" t="str">
        <f>INDEX(EPD_Measures,9)</f>
        <v>Material resources consumption</v>
      </c>
      <c r="DJ27" s="564" t="str">
        <f>INDEX(EPD_Measures,10)</f>
        <v>Nonrenewable material resources</v>
      </c>
      <c r="DK27" s="564" t="str">
        <f>INDEX(EPD_Measures,11)</f>
        <v>Renewable material resources</v>
      </c>
      <c r="DL27" s="564"/>
      <c r="DM27" s="564"/>
      <c r="DN27" s="564" t="str">
        <f>INDEX(EPD_Measures,12)</f>
        <v>Net Fresh Water</v>
      </c>
      <c r="DO27" s="564" t="str">
        <f>INDEX(EPD_Measures,1)</f>
        <v>Global warming potential (GWP)</v>
      </c>
      <c r="DP27" s="564" t="str">
        <f>INDEX(EPD_Measures,2)</f>
        <v>Acidification potential</v>
      </c>
      <c r="DQ27" s="564" t="str">
        <f>INDEX(EPD_Measures,3)</f>
        <v>Eutrophication potential</v>
      </c>
      <c r="DR27" s="564" t="str">
        <f>INDEX(EPD_Measures,4)</f>
        <v>Smog creation potential</v>
      </c>
      <c r="DS27" s="564" t="str">
        <f>INDEX(EPD_Measures,5)</f>
        <v>Ozone depletion potential</v>
      </c>
      <c r="DT27" s="564" t="str">
        <f>INDEX(EPD_Measures,6)</f>
        <v>Total primary energy consumption</v>
      </c>
      <c r="DU27" s="564" t="str">
        <f>INDEX(EPD_Measures,7)</f>
        <v>Nonrenewable energy resources</v>
      </c>
      <c r="DV27" s="564" t="str">
        <f>INDEX(EPD_Measures,8)</f>
        <v>Renewable energy resources</v>
      </c>
      <c r="DW27" s="564" t="str">
        <f>INDEX(EPD_Measures,9)</f>
        <v>Material resources consumption</v>
      </c>
      <c r="DX27" s="564" t="str">
        <f>INDEX(EPD_Measures,10)</f>
        <v>Nonrenewable material resources</v>
      </c>
      <c r="DY27" s="564" t="str">
        <f>INDEX(EPD_Measures,11)</f>
        <v>Renewable material resources</v>
      </c>
      <c r="DZ27" s="564"/>
      <c r="EA27" s="564"/>
      <c r="EB27" s="564" t="str">
        <f>INDEX(EPD_Measures,12)</f>
        <v>Net Fresh Water</v>
      </c>
      <c r="EC27"/>
      <c r="ED27"/>
      <c r="EE27"/>
      <c r="EF27"/>
      <c r="EG27"/>
    </row>
    <row r="28" spans="2:137" ht="15" customHeight="1">
      <c r="C28" s="43" t="str">
        <f>"Define the total specific materials used to produce the amount of "&amp;$Y$4&amp;" defined in Table A above."</f>
        <v>Define the total specific materials used to produce the amount of Custom Project defined in Table A above.</v>
      </c>
      <c r="D28" s="44"/>
      <c r="E28" s="44"/>
      <c r="F28" s="44"/>
      <c r="G28" s="44"/>
      <c r="I28" s="98"/>
      <c r="J28"/>
      <c r="K28"/>
      <c r="L28"/>
      <c r="M28"/>
      <c r="N28"/>
      <c r="O28"/>
      <c r="P28"/>
      <c r="Q28"/>
      <c r="R28"/>
      <c r="S28"/>
      <c r="T28"/>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5" t="str">
        <f>INDEX(EPD_Calc_Units,12)</f>
        <v>m3</v>
      </c>
      <c r="BJ28" s="145"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INDEX(EPD_Calc_Units,3)</f>
        <v>kg</v>
      </c>
      <c r="CP28" s="490" t="str">
        <f>INDEX(EPD_Calc_Units,4)</f>
        <v>kg</v>
      </c>
      <c r="CQ28" s="490" t="str">
        <f>INDEX(EPD_Calc_Units,5)</f>
        <v>kg</v>
      </c>
      <c r="CR28" s="490" t="str">
        <f>INDEX(EPD_Calc_Units,6)</f>
        <v>MJ</v>
      </c>
      <c r="CS28" s="490" t="str">
        <f>INDEX(EPD_Calc_Units,7)</f>
        <v>MJ</v>
      </c>
      <c r="CT28" s="490" t="str">
        <f>INDEX(EPD_Calc_Units,8)</f>
        <v>MJ</v>
      </c>
      <c r="CU28" s="490" t="str">
        <f>INDEX(EPD_Calc_Units,9)</f>
        <v>kg</v>
      </c>
      <c r="CV28" s="490" t="str">
        <f>INDEX(EPD_Calc_Units,10)</f>
        <v>kg</v>
      </c>
      <c r="CW28" s="490" t="str">
        <f>INDEX(EPD_Calc_Units,11)</f>
        <v>kg</v>
      </c>
      <c r="CX28" s="490"/>
      <c r="CY28" s="490"/>
      <c r="CZ28" s="490" t="str">
        <f>INDEX(EPD_Calc_Units,12)</f>
        <v>m3</v>
      </c>
      <c r="DA28" s="490" t="str">
        <f>INDEX(EPD_Calc_Units,1)</f>
        <v>kg</v>
      </c>
      <c r="DB28" s="490" t="str">
        <f>INDEX(EPD_Calc_Units,2)</f>
        <v>kg</v>
      </c>
      <c r="DC28" s="490" t="str">
        <f>INDEX(EPD_Calc_Units,3)</f>
        <v>kg</v>
      </c>
      <c r="DD28" s="490" t="str">
        <f>INDEX(EPD_Calc_Units,4)</f>
        <v>kg</v>
      </c>
      <c r="DE28" s="490" t="str">
        <f>INDEX(EPD_Calc_Units,5)</f>
        <v>kg</v>
      </c>
      <c r="DF28" s="490" t="str">
        <f>INDEX(EPD_Calc_Units,6)</f>
        <v>MJ</v>
      </c>
      <c r="DG28" s="490" t="str">
        <f>INDEX(EPD_Calc_Units,7)</f>
        <v>MJ</v>
      </c>
      <c r="DH28" s="490" t="str">
        <f>INDEX(EPD_Calc_Units,8)</f>
        <v>MJ</v>
      </c>
      <c r="DI28" s="490" t="str">
        <f>INDEX(EPD_Calc_Units,9)</f>
        <v>kg</v>
      </c>
      <c r="DJ28" s="490" t="str">
        <f>INDEX(EPD_Calc_Units,10)</f>
        <v>kg</v>
      </c>
      <c r="DK28" s="490" t="str">
        <f>INDEX(EPD_Calc_Units,11)</f>
        <v>kg</v>
      </c>
      <c r="DL28" s="490"/>
      <c r="DM28" s="490"/>
      <c r="DN28" s="490" t="str">
        <f>INDEX(EPD_Calc_Units,12)</f>
        <v>m3</v>
      </c>
      <c r="DO28" s="490" t="str">
        <f>INDEX(EPD_Calc_Units,1)</f>
        <v>kg</v>
      </c>
      <c r="DP28" s="490" t="str">
        <f>INDEX(EPD_Calc_Units,2)</f>
        <v>kg</v>
      </c>
      <c r="DQ28" s="490" t="str">
        <f>INDEX(EPD_Calc_Units,3)</f>
        <v>kg</v>
      </c>
      <c r="DR28" s="490" t="str">
        <f>INDEX(EPD_Calc_Units,4)</f>
        <v>kg</v>
      </c>
      <c r="DS28" s="490" t="str">
        <f>INDEX(EPD_Calc_Units,5)</f>
        <v>kg</v>
      </c>
      <c r="DT28" s="490" t="str">
        <f>INDEX(EPD_Calc_Units,6)</f>
        <v>MJ</v>
      </c>
      <c r="DU28" s="490" t="str">
        <f>INDEX(EPD_Calc_Units,7)</f>
        <v>MJ</v>
      </c>
      <c r="DV28" s="490" t="str">
        <f>INDEX(EPD_Calc_Units,8)</f>
        <v>MJ</v>
      </c>
      <c r="DW28" s="490" t="str">
        <f>INDEX(EPD_Calc_Units,9)</f>
        <v>kg</v>
      </c>
      <c r="DX28" s="490" t="str">
        <f>INDEX(EPD_Calc_Units,10)</f>
        <v>kg</v>
      </c>
      <c r="DY28" s="490" t="str">
        <f>INDEX(EPD_Calc_Units,11)</f>
        <v>kg</v>
      </c>
      <c r="DZ28" s="490"/>
      <c r="EA28" s="490"/>
      <c r="EB28" s="490" t="str">
        <f>INDEX(EPD_Calc_Units,12)</f>
        <v>m3</v>
      </c>
      <c r="EC28"/>
      <c r="ED28"/>
      <c r="EE28"/>
      <c r="EF28"/>
      <c r="EG28"/>
    </row>
    <row r="29" spans="2:137" ht="15" customHeight="1">
      <c r="C29" s="23" t="s">
        <v>2</v>
      </c>
      <c r="D29" s="24" t="s">
        <v>5</v>
      </c>
      <c r="E29" s="25" t="s">
        <v>12</v>
      </c>
      <c r="F29" s="25" t="s">
        <v>6</v>
      </c>
      <c r="G29" s="25" t="s">
        <v>102</v>
      </c>
      <c r="H29" s="25" t="s">
        <v>6</v>
      </c>
      <c r="I29" s="155" t="s">
        <v>240</v>
      </c>
      <c r="J29"/>
      <c r="K29"/>
      <c r="L29"/>
      <c r="M29"/>
      <c r="N29"/>
      <c r="O29"/>
      <c r="P29"/>
      <c r="Q29"/>
      <c r="R29"/>
      <c r="S29"/>
      <c r="T29"/>
      <c r="Y29" s="13" t="s">
        <v>452</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2:137" ht="15" customHeight="1">
      <c r="B30" s="53">
        <f>X30</f>
        <v>0</v>
      </c>
      <c r="C30" s="26">
        <f>ROW($C30)-ROW($C$30)+1</f>
        <v>1</v>
      </c>
      <c r="D30" s="46" t="str">
        <f>'Plant Inputs'!$D30</f>
        <v>Portland Cement</v>
      </c>
      <c r="E30" s="419"/>
      <c r="F30" s="106" t="str">
        <f t="shared" ref="F30:F41" si="6">MassDisplayUnit</f>
        <v>short ton</v>
      </c>
      <c r="G30" s="158">
        <f>$AV30</f>
        <v>0</v>
      </c>
      <c r="H30" s="204" t="str">
        <f t="shared" ref="H30:H66" si="7">MassDisplayUnit</f>
        <v>short ton</v>
      </c>
      <c r="I30" s="156">
        <f t="shared" ref="I30:I65" si="8">IF($G$68=0,0,G30/$G$68)</f>
        <v>0</v>
      </c>
      <c r="J30"/>
      <c r="K30"/>
      <c r="L30"/>
      <c r="M30"/>
      <c r="N30"/>
      <c r="O30"/>
      <c r="P30"/>
      <c r="Q30"/>
      <c r="R30"/>
      <c r="S30"/>
      <c r="T30"/>
      <c r="X30" s="67">
        <f>IF(ISBLANK(E30),0,1)</f>
        <v>0</v>
      </c>
      <c r="Y30" s="216">
        <f>IF(AND($X30=1,'Plant Inputs'!$Y30=1),1,0)</f>
        <v>0</v>
      </c>
      <c r="Z30" s="216"/>
      <c r="AA30" s="216">
        <f>IF($Y30=0,0,IF('Plant Inputs'!J30="",0,'Plant Inputs'!J30))</f>
        <v>0</v>
      </c>
      <c r="AB30" s="216">
        <f>IF($Y30=0,0,IF('Plant Inputs'!K30="",0,'Plant Inputs'!K30))</f>
        <v>0</v>
      </c>
      <c r="AC30" s="216">
        <f>IF($Y30=0,0,IF('Plant Inputs'!L30="",0,'Plant Inputs'!L30))</f>
        <v>0</v>
      </c>
      <c r="AD30" s="216">
        <f>IF($Y30=0,0,IF('Plant Inputs'!M30="",0,'Plant Inputs'!M30))</f>
        <v>0</v>
      </c>
      <c r="AE30" s="217" t="str">
        <f>'Plant Inputs'!$O30</f>
        <v>mile</v>
      </c>
      <c r="AF30" s="217">
        <f t="shared" ref="AF30:AF64" si="9">INDEX(Conversion_Table,MATCH($AE30,Conversion_Rows,0),MATCH($AG$27,Conversion_Columns,0))</f>
        <v>1.6093473468862911</v>
      </c>
      <c r="AG30" s="216" t="str">
        <f>$AG$27&amp;"/"&amp;$AE30</f>
        <v>km/mile</v>
      </c>
      <c r="AH30" s="216">
        <f t="shared" ref="AH30:AK45" si="10">AA30*$AF30</f>
        <v>0</v>
      </c>
      <c r="AI30" s="216">
        <f t="shared" si="10"/>
        <v>0</v>
      </c>
      <c r="AJ30" s="216">
        <f t="shared" si="10"/>
        <v>0</v>
      </c>
      <c r="AK30" s="216">
        <f t="shared" si="10"/>
        <v>0</v>
      </c>
      <c r="AL30" s="216"/>
      <c r="AM30" s="1" t="str">
        <f t="shared" ref="AM30:AM45" si="11">D30</f>
        <v>Portland Cement</v>
      </c>
      <c r="AN30" t="s">
        <v>127</v>
      </c>
      <c r="AO30">
        <f t="shared" ref="AO30:AO45" si="12">VLOOKUP(AM30,Material_Densities,2,FALSE)</f>
        <v>0</v>
      </c>
      <c r="AP30" s="1">
        <f>IF($E30="",0,$E30)</f>
        <v>0</v>
      </c>
      <c r="AQ30" s="1" t="str">
        <f t="shared" ref="AQ30:AQ45" si="13">F30</f>
        <v>short ton</v>
      </c>
      <c r="AR30" s="1">
        <f t="shared" ref="AR30:AR66" si="14">IFERROR(IF($AN30="M",INDEX(Conversion_Table,MATCH($AQ30,Conversion_Rows,0),MATCH($AT$29,Conversion_Columns,0)),IF($AN30="V",INDEX(Conversion_Table,MATCH($AQ30,Conversion_Rows,0),MATCH("m3",Conversion_Columns,0))*$AO30)),NA())</f>
        <v>0.90718499588591606</v>
      </c>
      <c r="AS30" s="87" t="str">
        <f t="shared" ref="AS30:AS45" si="15">$AT$29&amp;"/"&amp;AQ30</f>
        <v>tonne/short ton</v>
      </c>
      <c r="AT30" s="87">
        <f t="shared" ref="AT30:AT45" si="16">AP30*AR30</f>
        <v>0</v>
      </c>
      <c r="AU30" s="87">
        <f t="shared" ref="AU30:AU45" si="17">INDEX(Conversion_Table,MATCH($AT$29,Conversion_Rows,0),MATCH($AU$29,Conversion_Columns,0))*AT30</f>
        <v>0</v>
      </c>
      <c r="AV30" s="87">
        <f t="shared" ref="AV30:AV66" si="18">$AT30*INDEX(Conversion_Table,MATCH($AT$29,Conversion_Rows,0),MATCH($AV$29,Conversion_Columns,0))</f>
        <v>0</v>
      </c>
      <c r="AW30" t="str">
        <f t="shared" ref="AW30:AW45" si="19">AM30</f>
        <v>Portland Cement</v>
      </c>
      <c r="AX30" s="148">
        <f>'Cement Sources'!BC$13*$AU30</f>
        <v>0</v>
      </c>
      <c r="AY30" s="148">
        <f>'Cement Sources'!BD$13*$AU30</f>
        <v>0</v>
      </c>
      <c r="AZ30" s="148">
        <f>'Cement Sources'!BE$13*$AU30</f>
        <v>0</v>
      </c>
      <c r="BA30" s="148">
        <f>'Cement Sources'!BF$13*$AU30</f>
        <v>0</v>
      </c>
      <c r="BB30" s="148">
        <f>'Cement Sources'!BG$13*$AU30</f>
        <v>0</v>
      </c>
      <c r="BC30" s="148">
        <f>'Cement Sources'!BH$13*$AU30</f>
        <v>0</v>
      </c>
      <c r="BD30" s="148">
        <f>'Cement Sources'!BI$13*$AU30</f>
        <v>0</v>
      </c>
      <c r="BE30" s="148">
        <f>'Cement Sources'!BJ$13*$AU30</f>
        <v>0</v>
      </c>
      <c r="BF30" s="148">
        <f>'Cement Sources'!BK$13*$AU30</f>
        <v>0</v>
      </c>
      <c r="BG30" s="148">
        <f>'Cement Sources'!BL$13*$AU30</f>
        <v>0</v>
      </c>
      <c r="BH30" s="148">
        <f>'Cement Sources'!BM$13*$AU30</f>
        <v>0</v>
      </c>
      <c r="BI30" s="148">
        <f>'Cement Sources'!BN$13*$AU30</f>
        <v>0</v>
      </c>
      <c r="BJ30" s="148">
        <f>'Cement Sources'!BO$13*$AU30</f>
        <v>0</v>
      </c>
      <c r="BK30" s="148">
        <f>'Cement Sources'!BP$13*$AU30</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IFERROR(INDEX(LCIA_Data,MATCH($AO$15&amp;CM$27,LCIA_Rows_B&amp;LCIA_Rows_C,0),MATCH(CM$26,LCIA_Columns,0)),0)*$AT30*$AJ30*$BN$23</f>
        <v>0</v>
      </c>
      <c r="CN30" s="1">
        <f t="array" ref="CN30">IFERROR(INDEX(LCIA_Data,MATCH($AO$15&amp;CN$27,LCIA_Rows_B&amp;LCIA_Rows_C,0),MATCH(CN$26,LCIA_Columns,0)),0)*$AT30*$AJ30*$BN$23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IFERROR(INDEX(LCIA_Data,MATCH($AO$15&amp;DA$27,LCIA_Rows_B&amp;LCIA_Rows_C,0),MATCH(DA$26,LCIA_Columns,0)),0)*$AT30*$AK30*$BN$23</f>
        <v>0</v>
      </c>
      <c r="DB30" s="1">
        <f t="array" ref="DB30">IFERROR(INDEX(LCIA_Data,MATCH($AO$15&amp;DB$27,LCIA_Rows_B&amp;LCIA_Rows_C,0),MATCH(DB$26,LCIA_Columns,0)),0)*$AT30*$AK30*$BN$23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f t="shared" ref="DO30:EA49" si="20">BM30+CA30+CM30+DA30</f>
        <v>0</v>
      </c>
      <c r="DP30">
        <f t="shared" si="20"/>
        <v>0</v>
      </c>
      <c r="DQ30">
        <f t="shared" si="20"/>
        <v>0</v>
      </c>
      <c r="DR30">
        <f t="shared" si="20"/>
        <v>0</v>
      </c>
      <c r="DS30">
        <f t="shared" si="20"/>
        <v>0</v>
      </c>
      <c r="DT30">
        <f t="shared" si="20"/>
        <v>0</v>
      </c>
      <c r="DU30">
        <f t="shared" si="20"/>
        <v>0</v>
      </c>
      <c r="DV30">
        <f t="shared" si="20"/>
        <v>0</v>
      </c>
      <c r="DW30">
        <f t="shared" si="20"/>
        <v>0</v>
      </c>
      <c r="DX30">
        <f t="shared" si="20"/>
        <v>0</v>
      </c>
      <c r="DY30">
        <f t="shared" si="20"/>
        <v>0</v>
      </c>
      <c r="DZ30">
        <f t="shared" si="20"/>
        <v>0</v>
      </c>
      <c r="EA30">
        <f t="shared" si="20"/>
        <v>0</v>
      </c>
      <c r="EB30">
        <f t="shared" ref="EB30:EB64" si="21">BZ30+CL30+CZ30+DN30</f>
        <v>0</v>
      </c>
      <c r="EC30"/>
      <c r="ED30"/>
      <c r="EE30"/>
      <c r="EF30"/>
      <c r="EG30"/>
    </row>
    <row r="31" spans="2:137" ht="15" customHeight="1">
      <c r="B31" s="53">
        <f>X31</f>
        <v>0</v>
      </c>
      <c r="C31" s="26">
        <f t="shared" ref="C31:C67" si="22">ROW($C31)-ROW($C$30)+1</f>
        <v>2</v>
      </c>
      <c r="D31" s="46" t="str">
        <f>'Plant Inputs'!$D31</f>
        <v>Portland Limestone Cement (PLC)</v>
      </c>
      <c r="E31" s="419"/>
      <c r="F31" s="106" t="str">
        <f t="shared" si="6"/>
        <v>short ton</v>
      </c>
      <c r="G31" s="158">
        <f>$AV31</f>
        <v>0</v>
      </c>
      <c r="H31" s="204" t="str">
        <f t="shared" si="7"/>
        <v>short ton</v>
      </c>
      <c r="I31" s="399">
        <f t="shared" si="8"/>
        <v>0</v>
      </c>
      <c r="J31"/>
      <c r="K31"/>
      <c r="L31"/>
      <c r="M31"/>
      <c r="N31"/>
      <c r="O31"/>
      <c r="P31"/>
      <c r="Q31"/>
      <c r="R31"/>
      <c r="S31"/>
      <c r="T31"/>
      <c r="X31" s="67">
        <f>IF(ISBLANK(E31),0,1)</f>
        <v>0</v>
      </c>
      <c r="Y31" s="216">
        <f>IF(AND($X31=1,'Plant Inputs'!$Y31=1),1,0)</f>
        <v>0</v>
      </c>
      <c r="Z31" s="216"/>
      <c r="AA31" s="216">
        <f>IF($Y31=0,0,IF('Plant Inputs'!J31="",0,'Plant Inputs'!J31))</f>
        <v>0</v>
      </c>
      <c r="AB31" s="216">
        <f>IF($Y31=0,0,IF('Plant Inputs'!K31="",0,'Plant Inputs'!K31))</f>
        <v>0</v>
      </c>
      <c r="AC31" s="216">
        <f>IF($Y31=0,0,IF('Plant Inputs'!L31="",0,'Plant Inputs'!L31))</f>
        <v>0</v>
      </c>
      <c r="AD31" s="216">
        <f>IF($Y31=0,0,IF('Plant Inputs'!M31="",0,'Plant Inputs'!M31))</f>
        <v>0</v>
      </c>
      <c r="AE31" s="217" t="str">
        <f>'Plant Inputs'!$O31</f>
        <v>mile</v>
      </c>
      <c r="AF31" s="217">
        <f t="shared" si="9"/>
        <v>1.6093473468862911</v>
      </c>
      <c r="AG31" s="216" t="str">
        <f t="shared" ref="AG31:AG64" si="23">$AG$27&amp;"/"&amp;$AE31</f>
        <v>km/mile</v>
      </c>
      <c r="AH31" s="216">
        <f t="shared" si="10"/>
        <v>0</v>
      </c>
      <c r="AI31" s="216">
        <f t="shared" si="10"/>
        <v>0</v>
      </c>
      <c r="AJ31" s="216">
        <f t="shared" si="10"/>
        <v>0</v>
      </c>
      <c r="AK31" s="216">
        <f t="shared" si="10"/>
        <v>0</v>
      </c>
      <c r="AL31" s="216"/>
      <c r="AM31" s="1" t="str">
        <f t="shared" si="11"/>
        <v>Portland Limestone Cement (PLC)</v>
      </c>
      <c r="AN31" t="s">
        <v>127</v>
      </c>
      <c r="AO31">
        <f t="shared" si="12"/>
        <v>0</v>
      </c>
      <c r="AP31" s="1">
        <f t="shared" ref="AP31:AP67" si="24">IF($E31="",0,$E31)</f>
        <v>0</v>
      </c>
      <c r="AQ31" s="1" t="str">
        <f t="shared" si="13"/>
        <v>short ton</v>
      </c>
      <c r="AR31" s="1">
        <f t="shared" si="14"/>
        <v>0.90718499588591606</v>
      </c>
      <c r="AS31" s="87" t="str">
        <f t="shared" si="15"/>
        <v>tonne/short ton</v>
      </c>
      <c r="AT31" s="87">
        <f t="shared" si="16"/>
        <v>0</v>
      </c>
      <c r="AU31" s="87">
        <f t="shared" si="17"/>
        <v>0</v>
      </c>
      <c r="AV31" s="87">
        <f t="shared" si="18"/>
        <v>0</v>
      </c>
      <c r="AW31" t="str">
        <f t="shared" si="19"/>
        <v>Portland Limestone Cement (PLC)</v>
      </c>
      <c r="AX31" s="148">
        <f>'Cement Sources'!BC$25*$AU31</f>
        <v>0</v>
      </c>
      <c r="AY31" s="148">
        <f>'Cement Sources'!BD$25*$AU31</f>
        <v>0</v>
      </c>
      <c r="AZ31" s="148">
        <f>'Cement Sources'!BE$25*$AU31</f>
        <v>0</v>
      </c>
      <c r="BA31" s="148">
        <f>'Cement Sources'!BF$25*$AU31</f>
        <v>0</v>
      </c>
      <c r="BB31" s="148">
        <f>'Cement Sources'!BG$25*$AU31</f>
        <v>0</v>
      </c>
      <c r="BC31" s="148">
        <f>'Cement Sources'!BH$25*$AU31</f>
        <v>0</v>
      </c>
      <c r="BD31" s="148">
        <f>'Cement Sources'!BI$25*$AU31</f>
        <v>0</v>
      </c>
      <c r="BE31" s="148">
        <f>'Cement Sources'!BJ$25*$AU31</f>
        <v>0</v>
      </c>
      <c r="BF31" s="148">
        <f>'Cement Sources'!BK$25*$AU31</f>
        <v>0</v>
      </c>
      <c r="BG31" s="148">
        <f>'Cement Sources'!BL$25*$AU31</f>
        <v>0</v>
      </c>
      <c r="BH31" s="148">
        <f>'Cement Sources'!BM$25*$AU31</f>
        <v>0</v>
      </c>
      <c r="BI31" s="148">
        <f>'Cement Sources'!BN$25*$AU31</f>
        <v>0</v>
      </c>
      <c r="BJ31" s="148">
        <f>'Cement Sources'!BO$25*$AU31</f>
        <v>0</v>
      </c>
      <c r="BK31" s="148">
        <f>'Cement Sources'!BP$25*$AU31</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IFERROR(INDEX(LCIA_Data,MATCH($AO$15&amp;CM$27,LCIA_Rows_B&amp;LCIA_Rows_C,0),MATCH(CM$26,LCIA_Columns,0)),0)*$AT31*$AJ31*$BN$23</f>
        <v>0</v>
      </c>
      <c r="CN31" s="1">
        <f t="array" ref="CN31">IFERROR(INDEX(LCIA_Data,MATCH($AO$15&amp;CN$27,LCIA_Rows_B&amp;LCIA_Rows_C,0),MATCH(CN$26,LCIA_Columns,0)),0)*$AT31*$AJ31*$BN$23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IFERROR(INDEX(LCIA_Data,MATCH($AO$15&amp;DA$27,LCIA_Rows_B&amp;LCIA_Rows_C,0),MATCH(DA$26,LCIA_Columns,0)),0)*$AT31*$AK31*$BN$23</f>
        <v>0</v>
      </c>
      <c r="DB31" s="1">
        <f t="array" ref="DB31">IFERROR(INDEX(LCIA_Data,MATCH($AO$15&amp;DB$27,LCIA_Rows_B&amp;LCIA_Rows_C,0),MATCH(DB$26,LCIA_Columns,0)),0)*$AT31*$AK31*$BN$23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f t="shared" si="20"/>
        <v>0</v>
      </c>
      <c r="DP31">
        <f t="shared" si="20"/>
        <v>0</v>
      </c>
      <c r="DQ31">
        <f t="shared" si="20"/>
        <v>0</v>
      </c>
      <c r="DR31">
        <f t="shared" si="20"/>
        <v>0</v>
      </c>
      <c r="DS31">
        <f t="shared" si="20"/>
        <v>0</v>
      </c>
      <c r="DT31">
        <f t="shared" si="20"/>
        <v>0</v>
      </c>
      <c r="DU31">
        <f t="shared" si="20"/>
        <v>0</v>
      </c>
      <c r="DV31">
        <f t="shared" si="20"/>
        <v>0</v>
      </c>
      <c r="DW31">
        <f t="shared" si="20"/>
        <v>0</v>
      </c>
      <c r="DX31">
        <f t="shared" si="20"/>
        <v>0</v>
      </c>
      <c r="DY31">
        <f t="shared" si="20"/>
        <v>0</v>
      </c>
      <c r="DZ31">
        <f t="shared" si="20"/>
        <v>0</v>
      </c>
      <c r="EA31">
        <f t="shared" si="20"/>
        <v>0</v>
      </c>
      <c r="EB31">
        <f t="shared" si="21"/>
        <v>0</v>
      </c>
      <c r="EC31"/>
      <c r="ED31"/>
      <c r="EE31"/>
      <c r="EF31"/>
      <c r="EG31"/>
    </row>
    <row r="32" spans="2:137" ht="15" customHeight="1" thickBot="1">
      <c r="B32" s="53">
        <f>X32</f>
        <v>0</v>
      </c>
      <c r="C32" s="578">
        <f t="shared" si="22"/>
        <v>3</v>
      </c>
      <c r="D32" s="579" t="str">
        <f>'Plant Inputs'!$D32</f>
        <v>Pre-Blended Cement</v>
      </c>
      <c r="E32" s="580"/>
      <c r="F32" s="581" t="str">
        <f t="shared" si="6"/>
        <v>short ton</v>
      </c>
      <c r="G32" s="582">
        <f>$AV32</f>
        <v>0</v>
      </c>
      <c r="H32" s="205" t="str">
        <f t="shared" si="7"/>
        <v>short ton</v>
      </c>
      <c r="I32" s="157">
        <f t="shared" si="8"/>
        <v>0</v>
      </c>
      <c r="J32"/>
      <c r="K32"/>
      <c r="L32"/>
      <c r="M32"/>
      <c r="N32"/>
      <c r="O32"/>
      <c r="P32"/>
      <c r="Q32"/>
      <c r="R32"/>
      <c r="S32"/>
      <c r="T32"/>
      <c r="X32" s="67">
        <f>IF(ISBLANK(E32),0,1)</f>
        <v>0</v>
      </c>
      <c r="Y32" s="216">
        <f>IF(AND($X32=1,'Plant Inputs'!$Y32=1),1,0)</f>
        <v>0</v>
      </c>
      <c r="Z32" s="216"/>
      <c r="AA32" s="216">
        <f>IF($Y32=0,0,IF('Plant Inputs'!J32="",0,'Plant Inputs'!J32))</f>
        <v>0</v>
      </c>
      <c r="AB32" s="216">
        <f>IF($Y32=0,0,IF('Plant Inputs'!K32="",0,'Plant Inputs'!K32))</f>
        <v>0</v>
      </c>
      <c r="AC32" s="216">
        <f>IF($Y32=0,0,IF('Plant Inputs'!L32="",0,'Plant Inputs'!L32))</f>
        <v>0</v>
      </c>
      <c r="AD32" s="216">
        <f>IF($Y32=0,0,IF('Plant Inputs'!M32="",0,'Plant Inputs'!M32))</f>
        <v>0</v>
      </c>
      <c r="AE32" s="217" t="str">
        <f>'Plant Inputs'!$O32</f>
        <v>mile</v>
      </c>
      <c r="AF32" s="217">
        <f t="shared" si="9"/>
        <v>1.6093473468862911</v>
      </c>
      <c r="AG32" s="216" t="str">
        <f t="shared" si="23"/>
        <v>km/mile</v>
      </c>
      <c r="AH32" s="216">
        <f t="shared" si="10"/>
        <v>0</v>
      </c>
      <c r="AI32" s="216">
        <f t="shared" si="10"/>
        <v>0</v>
      </c>
      <c r="AJ32" s="216">
        <f t="shared" si="10"/>
        <v>0</v>
      </c>
      <c r="AK32" s="216">
        <f t="shared" si="10"/>
        <v>0</v>
      </c>
      <c r="AL32" s="216"/>
      <c r="AM32" s="1" t="str">
        <f t="shared" si="11"/>
        <v>Pre-Blended Cement</v>
      </c>
      <c r="AN32" t="s">
        <v>127</v>
      </c>
      <c r="AO32">
        <f t="shared" si="12"/>
        <v>0</v>
      </c>
      <c r="AP32" s="1">
        <f t="shared" si="24"/>
        <v>0</v>
      </c>
      <c r="AQ32" s="1" t="str">
        <f t="shared" si="13"/>
        <v>short ton</v>
      </c>
      <c r="AR32" s="1">
        <f t="shared" si="14"/>
        <v>0.90718499588591606</v>
      </c>
      <c r="AS32" s="87" t="str">
        <f t="shared" si="15"/>
        <v>tonne/short ton</v>
      </c>
      <c r="AT32" s="87">
        <f t="shared" si="16"/>
        <v>0</v>
      </c>
      <c r="AU32" s="87">
        <f t="shared" si="17"/>
        <v>0</v>
      </c>
      <c r="AV32" s="87">
        <f t="shared" si="18"/>
        <v>0</v>
      </c>
      <c r="AW32" t="str">
        <f t="shared" si="19"/>
        <v>Pre-Blended Cement</v>
      </c>
      <c r="AX32" s="148">
        <f>'Cement Sources'!BC$37*$AU32</f>
        <v>0</v>
      </c>
      <c r="AY32" s="148">
        <f>'Cement Sources'!BD$37*$AU32</f>
        <v>0</v>
      </c>
      <c r="AZ32" s="148">
        <f>'Cement Sources'!BE$37*$AU32</f>
        <v>0</v>
      </c>
      <c r="BA32" s="148">
        <f>'Cement Sources'!BF$37*$AU32</f>
        <v>0</v>
      </c>
      <c r="BB32" s="148">
        <f>'Cement Sources'!BG$37*$AU32</f>
        <v>0</v>
      </c>
      <c r="BC32" s="148">
        <f>'Cement Sources'!BH$37*$AU32</f>
        <v>0</v>
      </c>
      <c r="BD32" s="148">
        <f>'Cement Sources'!BI$37*$AU32</f>
        <v>0</v>
      </c>
      <c r="BE32" s="148">
        <f>'Cement Sources'!BJ$37*$AU32</f>
        <v>0</v>
      </c>
      <c r="BF32" s="148">
        <f>'Cement Sources'!BK$37*$AU32</f>
        <v>0</v>
      </c>
      <c r="BG32" s="148">
        <f>'Cement Sources'!BL$37*$AU32</f>
        <v>0</v>
      </c>
      <c r="BH32" s="148">
        <f>'Cement Sources'!BM$37*$AU32</f>
        <v>0</v>
      </c>
      <c r="BI32" s="148">
        <f>'Cement Sources'!BN$37*$AU32</f>
        <v>0</v>
      </c>
      <c r="BJ32" s="148">
        <f>'Cement Sources'!BO$37*$AU32</f>
        <v>0</v>
      </c>
      <c r="BK32" s="148">
        <f>'Cement Sources'!BP$37*$AU32</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IFERROR(INDEX(LCIA_Data,MATCH($AO$15&amp;CM$27,LCIA_Rows_B&amp;LCIA_Rows_C,0),MATCH(CM$26,LCIA_Columns,0)),0)*$AT32*$AJ32*$BN$23</f>
        <v>0</v>
      </c>
      <c r="CN32" s="1">
        <f t="array" ref="CN32">IFERROR(INDEX(LCIA_Data,MATCH($AO$15&amp;CN$27,LCIA_Rows_B&amp;LCIA_Rows_C,0),MATCH(CN$26,LCIA_Columns,0)),0)*$AT32*$AJ32*$BN$23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IFERROR(INDEX(LCIA_Data,MATCH($AO$15&amp;DA$27,LCIA_Rows_B&amp;LCIA_Rows_C,0),MATCH(DA$26,LCIA_Columns,0)),0)*$AT32*$AK32*$BN$23</f>
        <v>0</v>
      </c>
      <c r="DB32" s="1">
        <f t="array" ref="DB32">IFERROR(INDEX(LCIA_Data,MATCH($AO$15&amp;DB$27,LCIA_Rows_B&amp;LCIA_Rows_C,0),MATCH(DB$26,LCIA_Columns,0)),0)*$AT32*$AK32*$BN$23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f t="shared" si="20"/>
        <v>0</v>
      </c>
      <c r="DP32">
        <f t="shared" si="20"/>
        <v>0</v>
      </c>
      <c r="DQ32">
        <f t="shared" si="20"/>
        <v>0</v>
      </c>
      <c r="DR32">
        <f t="shared" si="20"/>
        <v>0</v>
      </c>
      <c r="DS32">
        <f t="shared" si="20"/>
        <v>0</v>
      </c>
      <c r="DT32">
        <f t="shared" si="20"/>
        <v>0</v>
      </c>
      <c r="DU32">
        <f t="shared" si="20"/>
        <v>0</v>
      </c>
      <c r="DV32">
        <f t="shared" si="20"/>
        <v>0</v>
      </c>
      <c r="DW32">
        <f t="shared" si="20"/>
        <v>0</v>
      </c>
      <c r="DX32">
        <f t="shared" si="20"/>
        <v>0</v>
      </c>
      <c r="DY32">
        <f t="shared" si="20"/>
        <v>0</v>
      </c>
      <c r="DZ32">
        <f t="shared" si="20"/>
        <v>0</v>
      </c>
      <c r="EA32">
        <f t="shared" si="20"/>
        <v>0</v>
      </c>
      <c r="EB32">
        <f t="shared" si="21"/>
        <v>0</v>
      </c>
      <c r="EC32"/>
      <c r="ED32"/>
      <c r="EE32"/>
      <c r="EF32"/>
      <c r="EG32"/>
    </row>
    <row r="33" spans="2:137" ht="15" customHeight="1">
      <c r="B33" s="53">
        <f t="shared" ref="B33:B45" si="25">X33</f>
        <v>0</v>
      </c>
      <c r="C33" s="221">
        <f t="shared" si="22"/>
        <v>4</v>
      </c>
      <c r="D33" s="222" t="str">
        <f>'Plant Inputs'!$D33</f>
        <v>Fine Aggregate - natural sand</v>
      </c>
      <c r="E33" s="154"/>
      <c r="F33" s="223" t="str">
        <f t="shared" si="6"/>
        <v>short ton</v>
      </c>
      <c r="G33" s="224">
        <f>$AV33</f>
        <v>0</v>
      </c>
      <c r="H33" s="225" t="str">
        <f t="shared" si="7"/>
        <v>short ton</v>
      </c>
      <c r="I33" s="156">
        <f t="shared" si="8"/>
        <v>0</v>
      </c>
      <c r="J33"/>
      <c r="K33"/>
      <c r="L33"/>
      <c r="M33"/>
      <c r="N33"/>
      <c r="O33"/>
      <c r="P33"/>
      <c r="Q33"/>
      <c r="R33"/>
      <c r="S33"/>
      <c r="T33"/>
      <c r="X33" s="67">
        <f>IF(ISBLANK(E33),0,1)</f>
        <v>0</v>
      </c>
      <c r="Y33" s="216">
        <f>IF(AND($X33=1,'Plant Inputs'!$Y33=1),1,0)</f>
        <v>0</v>
      </c>
      <c r="Z33" s="216"/>
      <c r="AA33" s="216">
        <f>IF($Y33=0,0,IF('Plant Inputs'!J33="",0,'Plant Inputs'!J33))</f>
        <v>0</v>
      </c>
      <c r="AB33" s="216">
        <f>IF($Y33=0,0,IF('Plant Inputs'!K33="",0,'Plant Inputs'!K33))</f>
        <v>0</v>
      </c>
      <c r="AC33" s="216">
        <f>IF($Y33=0,0,IF('Plant Inputs'!L33="",0,'Plant Inputs'!L33))</f>
        <v>0</v>
      </c>
      <c r="AD33" s="216">
        <f>IF($Y33=0,0,IF('Plant Inputs'!M33="",0,'Plant Inputs'!M33))</f>
        <v>0</v>
      </c>
      <c r="AE33" s="217" t="str">
        <f>'Plant Inputs'!$O33</f>
        <v>mile</v>
      </c>
      <c r="AF33" s="217">
        <f t="shared" si="9"/>
        <v>1.6093473468862911</v>
      </c>
      <c r="AG33" s="216" t="str">
        <f t="shared" si="23"/>
        <v>km/mile</v>
      </c>
      <c r="AH33" s="216">
        <f t="shared" si="10"/>
        <v>0</v>
      </c>
      <c r="AI33" s="216">
        <f t="shared" si="10"/>
        <v>0</v>
      </c>
      <c r="AJ33" s="216">
        <f t="shared" si="10"/>
        <v>0</v>
      </c>
      <c r="AK33" s="216">
        <f t="shared" si="10"/>
        <v>0</v>
      </c>
      <c r="AL33" s="216"/>
      <c r="AM33" s="1" t="str">
        <f t="shared" si="11"/>
        <v>Fine Aggregate - natural sand</v>
      </c>
      <c r="AN33" t="s">
        <v>127</v>
      </c>
      <c r="AO33">
        <f t="shared" si="12"/>
        <v>0</v>
      </c>
      <c r="AP33" s="1">
        <f t="shared" si="24"/>
        <v>0</v>
      </c>
      <c r="AQ33" s="1" t="str">
        <f t="shared" si="13"/>
        <v>short ton</v>
      </c>
      <c r="AR33" s="1">
        <f t="shared" si="14"/>
        <v>0.90718499588591606</v>
      </c>
      <c r="AS33" s="87" t="str">
        <f t="shared" si="15"/>
        <v>tonne/short ton</v>
      </c>
      <c r="AT33" s="87">
        <f t="shared" si="16"/>
        <v>0</v>
      </c>
      <c r="AU33" s="87">
        <f t="shared" si="17"/>
        <v>0</v>
      </c>
      <c r="AV33" s="87">
        <f t="shared" si="18"/>
        <v>0</v>
      </c>
      <c r="AW33" t="str">
        <f t="shared" si="19"/>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IFERROR(INDEX(LCIA_Data,MATCH($AO$15&amp;CM$27,LCIA_Rows_B&amp;LCIA_Rows_C,0),MATCH(CM$26,LCIA_Columns,0)),0)*$AT33*$AJ33*$BN$23</f>
        <v>0</v>
      </c>
      <c r="CN33" s="1">
        <f t="array" ref="CN33">IFERROR(INDEX(LCIA_Data,MATCH($AO$15&amp;CN$27,LCIA_Rows_B&amp;LCIA_Rows_C,0),MATCH(CN$26,LCIA_Columns,0)),0)*$AT33*$AJ33*$BN$23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IFERROR(INDEX(LCIA_Data,MATCH($AO$15&amp;DA$27,LCIA_Rows_B&amp;LCIA_Rows_C,0),MATCH(DA$26,LCIA_Columns,0)),0)*$AT33*$AK33*$BN$23</f>
        <v>0</v>
      </c>
      <c r="DB33" s="1">
        <f t="array" ref="DB33">IFERROR(INDEX(LCIA_Data,MATCH($AO$15&amp;DB$27,LCIA_Rows_B&amp;LCIA_Rows_C,0),MATCH(DB$26,LCIA_Columns,0)),0)*$AT33*$AK33*$BN$23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f t="shared" si="20"/>
        <v>0</v>
      </c>
      <c r="DP33">
        <f t="shared" si="20"/>
        <v>0</v>
      </c>
      <c r="DQ33">
        <f t="shared" si="20"/>
        <v>0</v>
      </c>
      <c r="DR33">
        <f t="shared" si="20"/>
        <v>0</v>
      </c>
      <c r="DS33">
        <f t="shared" si="20"/>
        <v>0</v>
      </c>
      <c r="DT33">
        <f t="shared" si="20"/>
        <v>0</v>
      </c>
      <c r="DU33">
        <f t="shared" si="20"/>
        <v>0</v>
      </c>
      <c r="DV33">
        <f t="shared" si="20"/>
        <v>0</v>
      </c>
      <c r="DW33">
        <f t="shared" si="20"/>
        <v>0</v>
      </c>
      <c r="DX33">
        <f t="shared" si="20"/>
        <v>0</v>
      </c>
      <c r="DY33">
        <f t="shared" si="20"/>
        <v>0</v>
      </c>
      <c r="DZ33">
        <f t="shared" si="20"/>
        <v>0</v>
      </c>
      <c r="EA33">
        <f t="shared" si="20"/>
        <v>0</v>
      </c>
      <c r="EB33">
        <f t="shared" si="21"/>
        <v>0</v>
      </c>
      <c r="EC33"/>
      <c r="ED33"/>
      <c r="EE33"/>
      <c r="EF33"/>
      <c r="EG33"/>
    </row>
    <row r="34" spans="2:137" ht="15" customHeight="1">
      <c r="B34" s="53">
        <f t="shared" si="25"/>
        <v>0</v>
      </c>
      <c r="C34" s="26">
        <f t="shared" si="22"/>
        <v>5</v>
      </c>
      <c r="D34" s="46" t="str">
        <f>'Plant Inputs'!$D34</f>
        <v>Fine Aggregate - manufactured</v>
      </c>
      <c r="E34" s="99"/>
      <c r="F34" s="119" t="str">
        <f t="shared" si="6"/>
        <v>short ton</v>
      </c>
      <c r="G34" s="158">
        <f t="shared" ref="G34:G66" si="26">$AV34</f>
        <v>0</v>
      </c>
      <c r="H34" s="204" t="str">
        <f t="shared" si="7"/>
        <v>short ton</v>
      </c>
      <c r="I34" s="156">
        <f t="shared" si="8"/>
        <v>0</v>
      </c>
      <c r="J34"/>
      <c r="K34"/>
      <c r="L34"/>
      <c r="M34"/>
      <c r="N34"/>
      <c r="O34"/>
      <c r="P34"/>
      <c r="Q34"/>
      <c r="R34"/>
      <c r="S34"/>
      <c r="T34"/>
      <c r="X34" s="67">
        <f t="shared" ref="X34:X45" si="27">IF(ISBLANK(E34),0,1)</f>
        <v>0</v>
      </c>
      <c r="Y34" s="216">
        <f>IF(AND($X34=1,'Plant Inputs'!$Y34=1),1,0)</f>
        <v>0</v>
      </c>
      <c r="Z34" s="216"/>
      <c r="AA34" s="216">
        <f>IF($Y34=0,0,IF('Plant Inputs'!J34="",0,'Plant Inputs'!J34))</f>
        <v>0</v>
      </c>
      <c r="AB34" s="216">
        <f>IF($Y34=0,0,IF('Plant Inputs'!K34="",0,'Plant Inputs'!K34))</f>
        <v>0</v>
      </c>
      <c r="AC34" s="216">
        <f>IF($Y34=0,0,IF('Plant Inputs'!L34="",0,'Plant Inputs'!L34))</f>
        <v>0</v>
      </c>
      <c r="AD34" s="216">
        <f>IF($Y34=0,0,IF('Plant Inputs'!M34="",0,'Plant Inputs'!M34))</f>
        <v>0</v>
      </c>
      <c r="AE34" s="217" t="str">
        <f>'Plant Inputs'!$O34</f>
        <v>mile</v>
      </c>
      <c r="AF34" s="217">
        <f t="shared" si="9"/>
        <v>1.6093473468862911</v>
      </c>
      <c r="AG34" s="216" t="str">
        <f t="shared" si="23"/>
        <v>km/mile</v>
      </c>
      <c r="AH34" s="216">
        <f t="shared" si="10"/>
        <v>0</v>
      </c>
      <c r="AI34" s="216">
        <f t="shared" si="10"/>
        <v>0</v>
      </c>
      <c r="AJ34" s="216">
        <f t="shared" si="10"/>
        <v>0</v>
      </c>
      <c r="AK34" s="216">
        <f t="shared" si="10"/>
        <v>0</v>
      </c>
      <c r="AL34" s="216"/>
      <c r="AM34" s="1" t="str">
        <f t="shared" si="11"/>
        <v>Fine Aggregate - manufactured</v>
      </c>
      <c r="AN34" t="s">
        <v>127</v>
      </c>
      <c r="AO34">
        <f t="shared" si="12"/>
        <v>0</v>
      </c>
      <c r="AP34" s="1">
        <f t="shared" si="24"/>
        <v>0</v>
      </c>
      <c r="AQ34" s="1" t="str">
        <f t="shared" si="13"/>
        <v>short ton</v>
      </c>
      <c r="AR34" s="1">
        <f t="shared" si="14"/>
        <v>0.90718499588591606</v>
      </c>
      <c r="AS34" s="87" t="str">
        <f t="shared" si="15"/>
        <v>tonne/short ton</v>
      </c>
      <c r="AT34" s="87">
        <f t="shared" si="16"/>
        <v>0</v>
      </c>
      <c r="AU34" s="87">
        <f t="shared" si="17"/>
        <v>0</v>
      </c>
      <c r="AV34" s="87">
        <f t="shared" si="18"/>
        <v>0</v>
      </c>
      <c r="AW34" t="str">
        <f t="shared" si="19"/>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IFERROR(INDEX(LCIA_Data,MATCH($AO$15&amp;CM$27,LCIA_Rows_B&amp;LCIA_Rows_C,0),MATCH(CM$26,LCIA_Columns,0)),0)*$AT34*$AJ34*$BN$23</f>
        <v>0</v>
      </c>
      <c r="CN34" s="1">
        <f t="array" ref="CN34">IFERROR(INDEX(LCIA_Data,MATCH($AO$15&amp;CN$27,LCIA_Rows_B&amp;LCIA_Rows_C,0),MATCH(CN$26,LCIA_Columns,0)),0)*$AT34*$AJ34*$BN$23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IFERROR(INDEX(LCIA_Data,MATCH($AO$15&amp;DA$27,LCIA_Rows_B&amp;LCIA_Rows_C,0),MATCH(DA$26,LCIA_Columns,0)),0)*$AT34*$AK34*$BN$23</f>
        <v>0</v>
      </c>
      <c r="DB34" s="1">
        <f t="array" ref="DB34">IFERROR(INDEX(LCIA_Data,MATCH($AO$15&amp;DB$27,LCIA_Rows_B&amp;LCIA_Rows_C,0),MATCH(DB$26,LCIA_Columns,0)),0)*$AT34*$AK34*$BN$23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f t="shared" si="20"/>
        <v>0</v>
      </c>
      <c r="DP34">
        <f t="shared" si="20"/>
        <v>0</v>
      </c>
      <c r="DQ34">
        <f t="shared" si="20"/>
        <v>0</v>
      </c>
      <c r="DR34">
        <f t="shared" si="20"/>
        <v>0</v>
      </c>
      <c r="DS34">
        <f t="shared" si="20"/>
        <v>0</v>
      </c>
      <c r="DT34">
        <f t="shared" si="20"/>
        <v>0</v>
      </c>
      <c r="DU34">
        <f t="shared" si="20"/>
        <v>0</v>
      </c>
      <c r="DV34">
        <f t="shared" si="20"/>
        <v>0</v>
      </c>
      <c r="DW34">
        <f t="shared" si="20"/>
        <v>0</v>
      </c>
      <c r="DX34">
        <f t="shared" si="20"/>
        <v>0</v>
      </c>
      <c r="DY34">
        <f t="shared" si="20"/>
        <v>0</v>
      </c>
      <c r="DZ34">
        <f t="shared" si="20"/>
        <v>0</v>
      </c>
      <c r="EA34">
        <f t="shared" si="20"/>
        <v>0</v>
      </c>
      <c r="EB34">
        <f t="shared" si="21"/>
        <v>0</v>
      </c>
      <c r="EC34"/>
      <c r="ED34"/>
      <c r="EE34"/>
      <c r="EF34"/>
      <c r="EG34"/>
    </row>
    <row r="35" spans="2:137" ht="15" customHeight="1">
      <c r="B35" s="53">
        <f t="shared" si="25"/>
        <v>0</v>
      </c>
      <c r="C35" s="26">
        <f t="shared" si="22"/>
        <v>6</v>
      </c>
      <c r="D35" s="41" t="str">
        <f>'Plant Inputs'!$D35</f>
        <v>Coarse Aggregate - natural gravel</v>
      </c>
      <c r="E35" s="99"/>
      <c r="F35" s="119" t="str">
        <f t="shared" si="6"/>
        <v>short ton</v>
      </c>
      <c r="G35" s="158">
        <f t="shared" si="26"/>
        <v>0</v>
      </c>
      <c r="H35" s="204" t="str">
        <f t="shared" si="7"/>
        <v>short ton</v>
      </c>
      <c r="I35" s="156">
        <f t="shared" si="8"/>
        <v>0</v>
      </c>
      <c r="J35"/>
      <c r="K35"/>
      <c r="L35"/>
      <c r="M35"/>
      <c r="N35"/>
      <c r="O35"/>
      <c r="P35"/>
      <c r="Q35"/>
      <c r="R35"/>
      <c r="S35"/>
      <c r="T35"/>
      <c r="X35" s="67">
        <f t="shared" si="27"/>
        <v>0</v>
      </c>
      <c r="Y35" s="216">
        <f>IF(AND($X35=1,'Plant Inputs'!$Y35=1),1,0)</f>
        <v>0</v>
      </c>
      <c r="Z35" s="216"/>
      <c r="AA35" s="216">
        <f>IF($Y35=0,0,IF('Plant Inputs'!J35="",0,'Plant Inputs'!J35))</f>
        <v>0</v>
      </c>
      <c r="AB35" s="216">
        <f>IF($Y35=0,0,IF('Plant Inputs'!K35="",0,'Plant Inputs'!K35))</f>
        <v>0</v>
      </c>
      <c r="AC35" s="216">
        <f>IF($Y35=0,0,IF('Plant Inputs'!L35="",0,'Plant Inputs'!L35))</f>
        <v>0</v>
      </c>
      <c r="AD35" s="216">
        <f>IF($Y35=0,0,IF('Plant Inputs'!M35="",0,'Plant Inputs'!M35))</f>
        <v>0</v>
      </c>
      <c r="AE35" s="217" t="str">
        <f>'Plant Inputs'!$O35</f>
        <v>mile</v>
      </c>
      <c r="AF35" s="217">
        <f t="shared" si="9"/>
        <v>1.6093473468862911</v>
      </c>
      <c r="AG35" s="216" t="str">
        <f t="shared" si="23"/>
        <v>km/mile</v>
      </c>
      <c r="AH35" s="216">
        <f t="shared" si="10"/>
        <v>0</v>
      </c>
      <c r="AI35" s="216">
        <f t="shared" si="10"/>
        <v>0</v>
      </c>
      <c r="AJ35" s="216">
        <f t="shared" si="10"/>
        <v>0</v>
      </c>
      <c r="AK35" s="216">
        <f t="shared" si="10"/>
        <v>0</v>
      </c>
      <c r="AL35" s="216"/>
      <c r="AM35" s="1" t="str">
        <f t="shared" si="11"/>
        <v>Coarse Aggregate - natural gravel</v>
      </c>
      <c r="AN35" t="s">
        <v>127</v>
      </c>
      <c r="AO35">
        <f t="shared" si="12"/>
        <v>0</v>
      </c>
      <c r="AP35" s="1">
        <f t="shared" si="24"/>
        <v>0</v>
      </c>
      <c r="AQ35" s="1" t="str">
        <f t="shared" si="13"/>
        <v>short ton</v>
      </c>
      <c r="AR35" s="1">
        <f t="shared" si="14"/>
        <v>0.90718499588591606</v>
      </c>
      <c r="AS35" s="87" t="str">
        <f t="shared" si="15"/>
        <v>tonne/short ton</v>
      </c>
      <c r="AT35" s="87">
        <f t="shared" si="16"/>
        <v>0</v>
      </c>
      <c r="AU35" s="87">
        <f t="shared" si="17"/>
        <v>0</v>
      </c>
      <c r="AV35" s="87">
        <f t="shared" si="18"/>
        <v>0</v>
      </c>
      <c r="AW35" t="str">
        <f t="shared" si="19"/>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IFERROR(INDEX(LCIA_Data,MATCH($AO$15&amp;CM$27,LCIA_Rows_B&amp;LCIA_Rows_C,0),MATCH(CM$26,LCIA_Columns,0)),0)*$AT35*$AJ35*$BN$23</f>
        <v>0</v>
      </c>
      <c r="CN35" s="1">
        <f t="array" ref="CN35">IFERROR(INDEX(LCIA_Data,MATCH($AO$15&amp;CN$27,LCIA_Rows_B&amp;LCIA_Rows_C,0),MATCH(CN$26,LCIA_Columns,0)),0)*$AT35*$AJ35*$BN$23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IFERROR(INDEX(LCIA_Data,MATCH($AO$15&amp;DA$27,LCIA_Rows_B&amp;LCIA_Rows_C,0),MATCH(DA$26,LCIA_Columns,0)),0)*$AT35*$AK35*$BN$23</f>
        <v>0</v>
      </c>
      <c r="DB35" s="1">
        <f t="array" ref="DB35">IFERROR(INDEX(LCIA_Data,MATCH($AO$15&amp;DB$27,LCIA_Rows_B&amp;LCIA_Rows_C,0),MATCH(DB$26,LCIA_Columns,0)),0)*$AT35*$AK35*$BN$23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f t="shared" si="20"/>
        <v>0</v>
      </c>
      <c r="DP35">
        <f t="shared" si="20"/>
        <v>0</v>
      </c>
      <c r="DQ35">
        <f t="shared" si="20"/>
        <v>0</v>
      </c>
      <c r="DR35">
        <f t="shared" si="20"/>
        <v>0</v>
      </c>
      <c r="DS35">
        <f t="shared" si="20"/>
        <v>0</v>
      </c>
      <c r="DT35">
        <f t="shared" si="20"/>
        <v>0</v>
      </c>
      <c r="DU35">
        <f t="shared" si="20"/>
        <v>0</v>
      </c>
      <c r="DV35">
        <f t="shared" si="20"/>
        <v>0</v>
      </c>
      <c r="DW35">
        <f t="shared" si="20"/>
        <v>0</v>
      </c>
      <c r="DX35">
        <f t="shared" si="20"/>
        <v>0</v>
      </c>
      <c r="DY35">
        <f t="shared" si="20"/>
        <v>0</v>
      </c>
      <c r="DZ35">
        <f t="shared" si="20"/>
        <v>0</v>
      </c>
      <c r="EA35">
        <f t="shared" si="20"/>
        <v>0</v>
      </c>
      <c r="EB35">
        <f t="shared" si="21"/>
        <v>0</v>
      </c>
      <c r="EC35"/>
      <c r="ED35"/>
      <c r="EE35"/>
      <c r="EF35"/>
      <c r="EG35"/>
    </row>
    <row r="36" spans="2:137" ht="15" customHeight="1">
      <c r="B36" s="53">
        <f t="shared" si="25"/>
        <v>0</v>
      </c>
      <c r="C36" s="26">
        <f t="shared" si="22"/>
        <v>7</v>
      </c>
      <c r="D36" s="41" t="str">
        <f>'Plant Inputs'!$D36</f>
        <v>Coarse Aggregate - crushed</v>
      </c>
      <c r="E36" s="99"/>
      <c r="F36" s="119" t="str">
        <f t="shared" si="6"/>
        <v>short ton</v>
      </c>
      <c r="G36" s="158">
        <f t="shared" si="26"/>
        <v>0</v>
      </c>
      <c r="H36" s="204" t="str">
        <f t="shared" si="7"/>
        <v>short ton</v>
      </c>
      <c r="I36" s="156">
        <f t="shared" si="8"/>
        <v>0</v>
      </c>
      <c r="J36"/>
      <c r="K36"/>
      <c r="L36"/>
      <c r="M36"/>
      <c r="N36"/>
      <c r="O36"/>
      <c r="P36"/>
      <c r="Q36"/>
      <c r="R36"/>
      <c r="S36"/>
      <c r="T36"/>
      <c r="X36" s="67">
        <f t="shared" si="27"/>
        <v>0</v>
      </c>
      <c r="Y36" s="216">
        <f>IF(AND($X36=1,'Plant Inputs'!$Y36=1),1,0)</f>
        <v>0</v>
      </c>
      <c r="Z36" s="216"/>
      <c r="AA36" s="216">
        <f>IF($Y36=0,0,IF('Plant Inputs'!J36="",0,'Plant Inputs'!J36))</f>
        <v>0</v>
      </c>
      <c r="AB36" s="216">
        <f>IF($Y36=0,0,IF('Plant Inputs'!K36="",0,'Plant Inputs'!K36))</f>
        <v>0</v>
      </c>
      <c r="AC36" s="216">
        <f>IF($Y36=0,0,IF('Plant Inputs'!L36="",0,'Plant Inputs'!L36))</f>
        <v>0</v>
      </c>
      <c r="AD36" s="216">
        <f>IF($Y36=0,0,IF('Plant Inputs'!M36="",0,'Plant Inputs'!M36))</f>
        <v>0</v>
      </c>
      <c r="AE36" s="217" t="str">
        <f>'Plant Inputs'!$O36</f>
        <v>mile</v>
      </c>
      <c r="AF36" s="217">
        <f t="shared" si="9"/>
        <v>1.6093473468862911</v>
      </c>
      <c r="AG36" s="216" t="str">
        <f t="shared" si="23"/>
        <v>km/mile</v>
      </c>
      <c r="AH36" s="216">
        <f t="shared" si="10"/>
        <v>0</v>
      </c>
      <c r="AI36" s="216">
        <f t="shared" si="10"/>
        <v>0</v>
      </c>
      <c r="AJ36" s="216">
        <f t="shared" si="10"/>
        <v>0</v>
      </c>
      <c r="AK36" s="216">
        <f t="shared" si="10"/>
        <v>0</v>
      </c>
      <c r="AL36" s="216"/>
      <c r="AM36" s="1" t="str">
        <f t="shared" si="11"/>
        <v>Coarse Aggregate - crushed</v>
      </c>
      <c r="AN36" t="s">
        <v>127</v>
      </c>
      <c r="AO36">
        <f t="shared" si="12"/>
        <v>0</v>
      </c>
      <c r="AP36" s="1">
        <f t="shared" si="24"/>
        <v>0</v>
      </c>
      <c r="AQ36" s="1" t="str">
        <f t="shared" si="13"/>
        <v>short ton</v>
      </c>
      <c r="AR36" s="1">
        <f t="shared" si="14"/>
        <v>0.90718499588591606</v>
      </c>
      <c r="AS36" s="87" t="str">
        <f t="shared" si="15"/>
        <v>tonne/short ton</v>
      </c>
      <c r="AT36" s="87">
        <f t="shared" si="16"/>
        <v>0</v>
      </c>
      <c r="AU36" s="87">
        <f t="shared" si="17"/>
        <v>0</v>
      </c>
      <c r="AV36" s="87">
        <f t="shared" si="18"/>
        <v>0</v>
      </c>
      <c r="AW36" t="str">
        <f t="shared" si="19"/>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IFERROR(INDEX(LCIA_Data,MATCH($AO$15&amp;CM$27,LCIA_Rows_B&amp;LCIA_Rows_C,0),MATCH(CM$26,LCIA_Columns,0)),0)*$AT36*$AJ36*$BN$23</f>
        <v>0</v>
      </c>
      <c r="CN36" s="1">
        <f t="array" ref="CN36">IFERROR(INDEX(LCIA_Data,MATCH($AO$15&amp;CN$27,LCIA_Rows_B&amp;LCIA_Rows_C,0),MATCH(CN$26,LCIA_Columns,0)),0)*$AT36*$AJ36*$BN$23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IFERROR(INDEX(LCIA_Data,MATCH($AO$15&amp;DA$27,LCIA_Rows_B&amp;LCIA_Rows_C,0),MATCH(DA$26,LCIA_Columns,0)),0)*$AT36*$AK36*$BN$23</f>
        <v>0</v>
      </c>
      <c r="DB36" s="1">
        <f t="array" ref="DB36">IFERROR(INDEX(LCIA_Data,MATCH($AO$15&amp;DB$27,LCIA_Rows_B&amp;LCIA_Rows_C,0),MATCH(DB$26,LCIA_Columns,0)),0)*$AT36*$AK36*$BN$23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f t="shared" si="20"/>
        <v>0</v>
      </c>
      <c r="DP36">
        <f t="shared" si="20"/>
        <v>0</v>
      </c>
      <c r="DQ36">
        <f t="shared" si="20"/>
        <v>0</v>
      </c>
      <c r="DR36">
        <f t="shared" si="20"/>
        <v>0</v>
      </c>
      <c r="DS36">
        <f t="shared" si="20"/>
        <v>0</v>
      </c>
      <c r="DT36">
        <f t="shared" si="20"/>
        <v>0</v>
      </c>
      <c r="DU36">
        <f t="shared" si="20"/>
        <v>0</v>
      </c>
      <c r="DV36">
        <f t="shared" si="20"/>
        <v>0</v>
      </c>
      <c r="DW36">
        <f t="shared" si="20"/>
        <v>0</v>
      </c>
      <c r="DX36">
        <f t="shared" si="20"/>
        <v>0</v>
      </c>
      <c r="DY36">
        <f t="shared" si="20"/>
        <v>0</v>
      </c>
      <c r="DZ36">
        <f t="shared" si="20"/>
        <v>0</v>
      </c>
      <c r="EA36">
        <f t="shared" si="20"/>
        <v>0</v>
      </c>
      <c r="EB36">
        <f t="shared" si="21"/>
        <v>0</v>
      </c>
      <c r="EC36"/>
      <c r="ED36"/>
      <c r="EE36"/>
      <c r="EF36"/>
      <c r="EG36"/>
    </row>
    <row r="37" spans="2:137" ht="15" customHeight="1">
      <c r="B37" s="53">
        <f t="shared" si="25"/>
        <v>0</v>
      </c>
      <c r="C37" s="26">
        <f t="shared" si="22"/>
        <v>8</v>
      </c>
      <c r="D37" s="41" t="str">
        <f>'Plant Inputs'!$D37</f>
        <v>Manufactured Lightweight Aggregate</v>
      </c>
      <c r="E37" s="99"/>
      <c r="F37" s="119" t="str">
        <f t="shared" si="6"/>
        <v>short ton</v>
      </c>
      <c r="G37" s="158">
        <f t="shared" si="26"/>
        <v>0</v>
      </c>
      <c r="H37" s="204" t="str">
        <f t="shared" si="7"/>
        <v>short ton</v>
      </c>
      <c r="I37" s="156">
        <f t="shared" si="8"/>
        <v>0</v>
      </c>
      <c r="J37"/>
      <c r="K37"/>
      <c r="L37"/>
      <c r="M37"/>
      <c r="N37"/>
      <c r="O37"/>
      <c r="P37"/>
      <c r="Q37"/>
      <c r="R37"/>
      <c r="S37"/>
      <c r="T37"/>
      <c r="X37" s="67">
        <f t="shared" si="27"/>
        <v>0</v>
      </c>
      <c r="Y37" s="216">
        <f>IF(AND($X37=1,'Plant Inputs'!$Y37=1),1,0)</f>
        <v>0</v>
      </c>
      <c r="Z37" s="216"/>
      <c r="AA37" s="216">
        <f>IF($Y37=0,0,IF('Plant Inputs'!J37="",0,'Plant Inputs'!J37))</f>
        <v>0</v>
      </c>
      <c r="AB37" s="216">
        <f>IF($Y37=0,0,IF('Plant Inputs'!K37="",0,'Plant Inputs'!K37))</f>
        <v>0</v>
      </c>
      <c r="AC37" s="216">
        <f>IF($Y37=0,0,IF('Plant Inputs'!L37="",0,'Plant Inputs'!L37))</f>
        <v>0</v>
      </c>
      <c r="AD37" s="216">
        <f>IF($Y37=0,0,IF('Plant Inputs'!M37="",0,'Plant Inputs'!M37))</f>
        <v>0</v>
      </c>
      <c r="AE37" s="217" t="str">
        <f>'Plant Inputs'!$O37</f>
        <v>mile</v>
      </c>
      <c r="AF37" s="217">
        <f t="shared" si="9"/>
        <v>1.6093473468862911</v>
      </c>
      <c r="AG37" s="216" t="str">
        <f t="shared" si="23"/>
        <v>km/mile</v>
      </c>
      <c r="AH37" s="216">
        <f t="shared" si="10"/>
        <v>0</v>
      </c>
      <c r="AI37" s="216">
        <f t="shared" si="10"/>
        <v>0</v>
      </c>
      <c r="AJ37" s="216">
        <f t="shared" si="10"/>
        <v>0</v>
      </c>
      <c r="AK37" s="216">
        <f t="shared" si="10"/>
        <v>0</v>
      </c>
      <c r="AL37" s="216"/>
      <c r="AM37" s="1" t="str">
        <f t="shared" si="11"/>
        <v>Manufactured Lightweight Aggregate</v>
      </c>
      <c r="AN37" t="s">
        <v>127</v>
      </c>
      <c r="AO37">
        <f t="shared" si="12"/>
        <v>0</v>
      </c>
      <c r="AP37" s="1">
        <f t="shared" si="24"/>
        <v>0</v>
      </c>
      <c r="AQ37" s="1" t="str">
        <f t="shared" si="13"/>
        <v>short ton</v>
      </c>
      <c r="AR37" s="1">
        <f t="shared" si="14"/>
        <v>0.90718499588591606</v>
      </c>
      <c r="AS37" s="87" t="str">
        <f t="shared" si="15"/>
        <v>tonne/short ton</v>
      </c>
      <c r="AT37" s="87">
        <f t="shared" si="16"/>
        <v>0</v>
      </c>
      <c r="AU37" s="87">
        <f t="shared" si="17"/>
        <v>0</v>
      </c>
      <c r="AV37" s="87">
        <f t="shared" si="18"/>
        <v>0</v>
      </c>
      <c r="AW37" t="str">
        <f t="shared" si="19"/>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IFERROR(INDEX(LCIA_Data,MATCH($AO$15&amp;CM$27,LCIA_Rows_B&amp;LCIA_Rows_C,0),MATCH(CM$26,LCIA_Columns,0)),0)*$AT37*$AJ37*$BN$23</f>
        <v>0</v>
      </c>
      <c r="CN37" s="1">
        <f t="array" ref="CN37">IFERROR(INDEX(LCIA_Data,MATCH($AO$15&amp;CN$27,LCIA_Rows_B&amp;LCIA_Rows_C,0),MATCH(CN$26,LCIA_Columns,0)),0)*$AT37*$AJ37*$BN$23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IFERROR(INDEX(LCIA_Data,MATCH($AO$15&amp;DA$27,LCIA_Rows_B&amp;LCIA_Rows_C,0),MATCH(DA$26,LCIA_Columns,0)),0)*$AT37*$AK37*$BN$23</f>
        <v>0</v>
      </c>
      <c r="DB37" s="1">
        <f t="array" ref="DB37">IFERROR(INDEX(LCIA_Data,MATCH($AO$15&amp;DB$27,LCIA_Rows_B&amp;LCIA_Rows_C,0),MATCH(DB$26,LCIA_Columns,0)),0)*$AT37*$AK37*$BN$23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f t="shared" si="20"/>
        <v>0</v>
      </c>
      <c r="DP37">
        <f t="shared" si="20"/>
        <v>0</v>
      </c>
      <c r="DQ37">
        <f t="shared" si="20"/>
        <v>0</v>
      </c>
      <c r="DR37">
        <f t="shared" si="20"/>
        <v>0</v>
      </c>
      <c r="DS37">
        <f t="shared" si="20"/>
        <v>0</v>
      </c>
      <c r="DT37">
        <f t="shared" si="20"/>
        <v>0</v>
      </c>
      <c r="DU37">
        <f t="shared" si="20"/>
        <v>0</v>
      </c>
      <c r="DV37">
        <f t="shared" si="20"/>
        <v>0</v>
      </c>
      <c r="DW37">
        <f t="shared" si="20"/>
        <v>0</v>
      </c>
      <c r="DX37">
        <f t="shared" si="20"/>
        <v>0</v>
      </c>
      <c r="DY37">
        <f t="shared" si="20"/>
        <v>0</v>
      </c>
      <c r="DZ37">
        <f t="shared" si="20"/>
        <v>0</v>
      </c>
      <c r="EA37">
        <f t="shared" si="20"/>
        <v>0</v>
      </c>
      <c r="EB37">
        <f t="shared" si="21"/>
        <v>0</v>
      </c>
      <c r="EC37"/>
      <c r="ED37"/>
      <c r="EE37"/>
      <c r="EF37"/>
      <c r="EG37"/>
    </row>
    <row r="38" spans="2:137" ht="15" customHeight="1">
      <c r="B38" s="53">
        <f t="shared" si="25"/>
        <v>0</v>
      </c>
      <c r="C38" s="233">
        <f t="shared" si="22"/>
        <v>9</v>
      </c>
      <c r="D38" s="234" t="str">
        <f>'Plant Inputs'!$D38</f>
        <v>Natural Lightweight Aggregate</v>
      </c>
      <c r="E38" s="101"/>
      <c r="F38" s="235" t="str">
        <f t="shared" si="6"/>
        <v>short ton</v>
      </c>
      <c r="G38" s="236">
        <f t="shared" si="26"/>
        <v>0</v>
      </c>
      <c r="H38" s="237" t="str">
        <f t="shared" si="7"/>
        <v>short ton</v>
      </c>
      <c r="I38" s="398">
        <f t="shared" si="8"/>
        <v>0</v>
      </c>
      <c r="J38"/>
      <c r="K38"/>
      <c r="L38"/>
      <c r="M38"/>
      <c r="N38"/>
      <c r="O38"/>
      <c r="P38"/>
      <c r="Q38"/>
      <c r="R38"/>
      <c r="S38"/>
      <c r="T38"/>
      <c r="X38" s="67">
        <f t="shared" si="27"/>
        <v>0</v>
      </c>
      <c r="Y38" s="216">
        <f>IF(AND($X38=1,'Plant Inputs'!$Y38=1),1,0)</f>
        <v>0</v>
      </c>
      <c r="Z38" s="216"/>
      <c r="AA38" s="216">
        <f>IF($Y38=0,0,IF('Plant Inputs'!J38="",0,'Plant Inputs'!J38))</f>
        <v>0</v>
      </c>
      <c r="AB38" s="216">
        <f>IF($Y38=0,0,IF('Plant Inputs'!K38="",0,'Plant Inputs'!K38))</f>
        <v>0</v>
      </c>
      <c r="AC38" s="216">
        <f>IF($Y38=0,0,IF('Plant Inputs'!L38="",0,'Plant Inputs'!L38))</f>
        <v>0</v>
      </c>
      <c r="AD38" s="216">
        <f>IF($Y38=0,0,IF('Plant Inputs'!M38="",0,'Plant Inputs'!M38))</f>
        <v>0</v>
      </c>
      <c r="AE38" s="217" t="str">
        <f>'Plant Inputs'!$O38</f>
        <v>mile</v>
      </c>
      <c r="AF38" s="217">
        <f t="shared" si="9"/>
        <v>1.6093473468862911</v>
      </c>
      <c r="AG38" s="216" t="str">
        <f t="shared" si="23"/>
        <v>km/mile</v>
      </c>
      <c r="AH38" s="216">
        <f t="shared" si="10"/>
        <v>0</v>
      </c>
      <c r="AI38" s="216">
        <f t="shared" si="10"/>
        <v>0</v>
      </c>
      <c r="AJ38" s="216">
        <f t="shared" si="10"/>
        <v>0</v>
      </c>
      <c r="AK38" s="216">
        <f t="shared" si="10"/>
        <v>0</v>
      </c>
      <c r="AL38" s="216"/>
      <c r="AM38" s="1" t="str">
        <f t="shared" si="11"/>
        <v>Natural Lightweight Aggregate</v>
      </c>
      <c r="AN38" t="s">
        <v>127</v>
      </c>
      <c r="AO38">
        <f t="shared" si="12"/>
        <v>0</v>
      </c>
      <c r="AP38" s="1">
        <f t="shared" si="24"/>
        <v>0</v>
      </c>
      <c r="AQ38" s="1" t="str">
        <f t="shared" si="13"/>
        <v>short ton</v>
      </c>
      <c r="AR38" s="1">
        <f t="shared" si="14"/>
        <v>0.90718499588591606</v>
      </c>
      <c r="AS38" s="87" t="str">
        <f t="shared" si="15"/>
        <v>tonne/short ton</v>
      </c>
      <c r="AT38" s="87">
        <f t="shared" si="16"/>
        <v>0</v>
      </c>
      <c r="AU38" s="87">
        <f t="shared" si="17"/>
        <v>0</v>
      </c>
      <c r="AV38" s="87">
        <f t="shared" si="18"/>
        <v>0</v>
      </c>
      <c r="AW38" t="str">
        <f t="shared" si="19"/>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IFERROR(INDEX(LCIA_Data,MATCH($AO$15&amp;CM$27,LCIA_Rows_B&amp;LCIA_Rows_C,0),MATCH(CM$26,LCIA_Columns,0)),0)*$AT38*$AJ38*$BN$23</f>
        <v>0</v>
      </c>
      <c r="CN38" s="1">
        <f t="array" ref="CN38">IFERROR(INDEX(LCIA_Data,MATCH($AO$15&amp;CN$27,LCIA_Rows_B&amp;LCIA_Rows_C,0),MATCH(CN$26,LCIA_Columns,0)),0)*$AT38*$AJ38*$BN$23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IFERROR(INDEX(LCIA_Data,MATCH($AO$15&amp;DA$27,LCIA_Rows_B&amp;LCIA_Rows_C,0),MATCH(DA$26,LCIA_Columns,0)),0)*$AT38*$AK38*$BN$23</f>
        <v>0</v>
      </c>
      <c r="DB38" s="1">
        <f t="array" ref="DB38">IFERROR(INDEX(LCIA_Data,MATCH($AO$15&amp;DB$27,LCIA_Rows_B&amp;LCIA_Rows_C,0),MATCH(DB$26,LCIA_Columns,0)),0)*$AT38*$AK38*$BN$23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f t="shared" si="20"/>
        <v>0</v>
      </c>
      <c r="DP38">
        <f t="shared" si="20"/>
        <v>0</v>
      </c>
      <c r="DQ38">
        <f t="shared" si="20"/>
        <v>0</v>
      </c>
      <c r="DR38">
        <f t="shared" si="20"/>
        <v>0</v>
      </c>
      <c r="DS38">
        <f t="shared" si="20"/>
        <v>0</v>
      </c>
      <c r="DT38">
        <f t="shared" si="20"/>
        <v>0</v>
      </c>
      <c r="DU38">
        <f t="shared" si="20"/>
        <v>0</v>
      </c>
      <c r="DV38">
        <f t="shared" si="20"/>
        <v>0</v>
      </c>
      <c r="DW38">
        <f t="shared" si="20"/>
        <v>0</v>
      </c>
      <c r="DX38">
        <f t="shared" si="20"/>
        <v>0</v>
      </c>
      <c r="DY38">
        <f t="shared" si="20"/>
        <v>0</v>
      </c>
      <c r="DZ38">
        <f t="shared" si="20"/>
        <v>0</v>
      </c>
      <c r="EA38">
        <f t="shared" si="20"/>
        <v>0</v>
      </c>
      <c r="EB38">
        <f t="shared" si="21"/>
        <v>0</v>
      </c>
      <c r="EC38"/>
      <c r="ED38"/>
      <c r="EE38"/>
      <c r="EF38"/>
      <c r="EG38"/>
    </row>
    <row r="39" spans="2:137" ht="15" customHeight="1">
      <c r="B39" s="53">
        <f t="shared" si="25"/>
        <v>0</v>
      </c>
      <c r="C39" s="26">
        <f t="shared" si="22"/>
        <v>10</v>
      </c>
      <c r="D39" s="46" t="str">
        <f>'Plant Inputs'!$D39</f>
        <v>SCMs - Fly Ash</v>
      </c>
      <c r="E39" s="99"/>
      <c r="F39" s="119" t="str">
        <f t="shared" si="6"/>
        <v>short ton</v>
      </c>
      <c r="G39" s="158">
        <f t="shared" si="26"/>
        <v>0</v>
      </c>
      <c r="H39" s="204" t="str">
        <f t="shared" si="7"/>
        <v>short ton</v>
      </c>
      <c r="I39" s="399">
        <f t="shared" si="8"/>
        <v>0</v>
      </c>
      <c r="J39"/>
      <c r="K39"/>
      <c r="L39"/>
      <c r="M39"/>
      <c r="N39"/>
      <c r="O39"/>
      <c r="P39"/>
      <c r="Q39"/>
      <c r="R39"/>
      <c r="S39"/>
      <c r="T39"/>
      <c r="X39" s="67">
        <f t="shared" si="27"/>
        <v>0</v>
      </c>
      <c r="Y39" s="216">
        <f>IF(AND($X39=1,'Plant Inputs'!$Y39=1),1,0)</f>
        <v>0</v>
      </c>
      <c r="Z39" s="216"/>
      <c r="AA39" s="216">
        <f>IF($Y39=0,0,IF('Plant Inputs'!J39="",0,'Plant Inputs'!J39))</f>
        <v>0</v>
      </c>
      <c r="AB39" s="216">
        <f>IF($Y39=0,0,IF('Plant Inputs'!K39="",0,'Plant Inputs'!K39))</f>
        <v>0</v>
      </c>
      <c r="AC39" s="216">
        <f>IF($Y39=0,0,IF('Plant Inputs'!L39="",0,'Plant Inputs'!L39))</f>
        <v>0</v>
      </c>
      <c r="AD39" s="216">
        <f>IF($Y39=0,0,IF('Plant Inputs'!M39="",0,'Plant Inputs'!M39))</f>
        <v>0</v>
      </c>
      <c r="AE39" s="217" t="str">
        <f>'Plant Inputs'!$O39</f>
        <v>mile</v>
      </c>
      <c r="AF39" s="217">
        <f t="shared" si="9"/>
        <v>1.6093473468862911</v>
      </c>
      <c r="AG39" s="216" t="str">
        <f t="shared" si="23"/>
        <v>km/mile</v>
      </c>
      <c r="AH39" s="216">
        <f t="shared" si="10"/>
        <v>0</v>
      </c>
      <c r="AI39" s="216">
        <f t="shared" si="10"/>
        <v>0</v>
      </c>
      <c r="AJ39" s="216">
        <f t="shared" si="10"/>
        <v>0</v>
      </c>
      <c r="AK39" s="216">
        <f t="shared" si="10"/>
        <v>0</v>
      </c>
      <c r="AL39" s="216"/>
      <c r="AM39" s="1" t="str">
        <f t="shared" si="11"/>
        <v>SCMs - Fly Ash</v>
      </c>
      <c r="AN39" t="s">
        <v>127</v>
      </c>
      <c r="AO39">
        <f t="shared" si="12"/>
        <v>0</v>
      </c>
      <c r="AP39" s="1">
        <f t="shared" si="24"/>
        <v>0</v>
      </c>
      <c r="AQ39" s="1" t="str">
        <f t="shared" si="13"/>
        <v>short ton</v>
      </c>
      <c r="AR39" s="1">
        <f t="shared" si="14"/>
        <v>0.90718499588591606</v>
      </c>
      <c r="AS39" s="87" t="str">
        <f t="shared" si="15"/>
        <v>tonne/short ton</v>
      </c>
      <c r="AT39" s="87">
        <f t="shared" si="16"/>
        <v>0</v>
      </c>
      <c r="AU39" s="87">
        <f t="shared" si="17"/>
        <v>0</v>
      </c>
      <c r="AV39" s="87">
        <f t="shared" si="18"/>
        <v>0</v>
      </c>
      <c r="AW39" t="str">
        <f t="shared" si="19"/>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IFERROR(INDEX(LCIA_Data,MATCH($AO$15&amp;CM$27,LCIA_Rows_B&amp;LCIA_Rows_C,0),MATCH(CM$26,LCIA_Columns,0)),0)*$AT39*$AJ39*$BN$23</f>
        <v>0</v>
      </c>
      <c r="CN39" s="1">
        <f t="array" ref="CN39">IFERROR(INDEX(LCIA_Data,MATCH($AO$15&amp;CN$27,LCIA_Rows_B&amp;LCIA_Rows_C,0),MATCH(CN$26,LCIA_Columns,0)),0)*$AT39*$AJ39*$BN$23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IFERROR(INDEX(LCIA_Data,MATCH($AO$15&amp;DA$27,LCIA_Rows_B&amp;LCIA_Rows_C,0),MATCH(DA$26,LCIA_Columns,0)),0)*$AT39*$AK39*$BN$23</f>
        <v>0</v>
      </c>
      <c r="DB39" s="1">
        <f t="array" ref="DB39">IFERROR(INDEX(LCIA_Data,MATCH($AO$15&amp;DB$27,LCIA_Rows_B&amp;LCIA_Rows_C,0),MATCH(DB$26,LCIA_Columns,0)),0)*$AT39*$AK39*$BN$23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f t="shared" si="20"/>
        <v>0</v>
      </c>
      <c r="DP39">
        <f t="shared" si="20"/>
        <v>0</v>
      </c>
      <c r="DQ39">
        <f t="shared" si="20"/>
        <v>0</v>
      </c>
      <c r="DR39">
        <f t="shared" si="20"/>
        <v>0</v>
      </c>
      <c r="DS39">
        <f t="shared" si="20"/>
        <v>0</v>
      </c>
      <c r="DT39">
        <f t="shared" si="20"/>
        <v>0</v>
      </c>
      <c r="DU39">
        <f t="shared" si="20"/>
        <v>0</v>
      </c>
      <c r="DV39">
        <f t="shared" si="20"/>
        <v>0</v>
      </c>
      <c r="DW39">
        <f t="shared" si="20"/>
        <v>0</v>
      </c>
      <c r="DX39">
        <f t="shared" si="20"/>
        <v>0</v>
      </c>
      <c r="DY39">
        <f t="shared" si="20"/>
        <v>0</v>
      </c>
      <c r="DZ39">
        <f t="shared" si="20"/>
        <v>0</v>
      </c>
      <c r="EA39">
        <f t="shared" si="20"/>
        <v>0</v>
      </c>
      <c r="EB39">
        <f t="shared" si="21"/>
        <v>0</v>
      </c>
      <c r="EC39"/>
      <c r="ED39"/>
      <c r="EE39"/>
      <c r="EF39"/>
      <c r="EG39"/>
    </row>
    <row r="40" spans="2:137" ht="15" customHeight="1">
      <c r="B40" s="53">
        <f t="shared" si="25"/>
        <v>0</v>
      </c>
      <c r="C40" s="26">
        <f t="shared" si="22"/>
        <v>11</v>
      </c>
      <c r="D40" s="46" t="str">
        <f>'Plant Inputs'!$D40</f>
        <v>SCMs - Silica Fume</v>
      </c>
      <c r="E40" s="99"/>
      <c r="F40" s="119" t="str">
        <f t="shared" si="6"/>
        <v>short ton</v>
      </c>
      <c r="G40" s="158">
        <f t="shared" si="26"/>
        <v>0</v>
      </c>
      <c r="H40" s="204" t="str">
        <f t="shared" si="7"/>
        <v>short ton</v>
      </c>
      <c r="I40" s="156">
        <f t="shared" si="8"/>
        <v>0</v>
      </c>
      <c r="J40"/>
      <c r="K40"/>
      <c r="L40"/>
      <c r="M40"/>
      <c r="N40"/>
      <c r="O40"/>
      <c r="P40"/>
      <c r="Q40"/>
      <c r="R40"/>
      <c r="S40"/>
      <c r="T40"/>
      <c r="X40" s="67">
        <f t="shared" si="27"/>
        <v>0</v>
      </c>
      <c r="Y40" s="216">
        <f>IF(AND($X40=1,'Plant Inputs'!$Y40=1),1,0)</f>
        <v>0</v>
      </c>
      <c r="Z40" s="216"/>
      <c r="AA40" s="216">
        <f>IF($Y40=0,0,IF('Plant Inputs'!J40="",0,'Plant Inputs'!J40))</f>
        <v>0</v>
      </c>
      <c r="AB40" s="216">
        <f>IF($Y40=0,0,IF('Plant Inputs'!K40="",0,'Plant Inputs'!K40))</f>
        <v>0</v>
      </c>
      <c r="AC40" s="216">
        <f>IF($Y40=0,0,IF('Plant Inputs'!L40="",0,'Plant Inputs'!L40))</f>
        <v>0</v>
      </c>
      <c r="AD40" s="216">
        <f>IF($Y40=0,0,IF('Plant Inputs'!M40="",0,'Plant Inputs'!M40))</f>
        <v>0</v>
      </c>
      <c r="AE40" s="217" t="str">
        <f>'Plant Inputs'!$O40</f>
        <v>mile</v>
      </c>
      <c r="AF40" s="217">
        <f t="shared" si="9"/>
        <v>1.6093473468862911</v>
      </c>
      <c r="AG40" s="216" t="str">
        <f t="shared" si="23"/>
        <v>km/mile</v>
      </c>
      <c r="AH40" s="216">
        <f t="shared" si="10"/>
        <v>0</v>
      </c>
      <c r="AI40" s="216">
        <f t="shared" si="10"/>
        <v>0</v>
      </c>
      <c r="AJ40" s="216">
        <f t="shared" si="10"/>
        <v>0</v>
      </c>
      <c r="AK40" s="216">
        <f t="shared" si="10"/>
        <v>0</v>
      </c>
      <c r="AL40" s="216"/>
      <c r="AM40" s="1" t="str">
        <f t="shared" si="11"/>
        <v>SCMs - Silica Fume</v>
      </c>
      <c r="AN40" t="s">
        <v>127</v>
      </c>
      <c r="AO40">
        <f t="shared" si="12"/>
        <v>0</v>
      </c>
      <c r="AP40" s="1">
        <f t="shared" si="24"/>
        <v>0</v>
      </c>
      <c r="AQ40" s="1" t="str">
        <f t="shared" si="13"/>
        <v>short ton</v>
      </c>
      <c r="AR40" s="1">
        <f t="shared" si="14"/>
        <v>0.90718499588591606</v>
      </c>
      <c r="AS40" s="87" t="str">
        <f t="shared" si="15"/>
        <v>tonne/short ton</v>
      </c>
      <c r="AT40" s="87">
        <f t="shared" si="16"/>
        <v>0</v>
      </c>
      <c r="AU40" s="87">
        <f t="shared" si="17"/>
        <v>0</v>
      </c>
      <c r="AV40" s="87">
        <f t="shared" si="18"/>
        <v>0</v>
      </c>
      <c r="AW40" t="str">
        <f t="shared" si="19"/>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IFERROR(INDEX(LCIA_Data,MATCH($AO$15&amp;CM$27,LCIA_Rows_B&amp;LCIA_Rows_C,0),MATCH(CM$26,LCIA_Columns,0)),0)*$AT40*$AJ40*$BN$23</f>
        <v>0</v>
      </c>
      <c r="CN40" s="1">
        <f t="array" ref="CN40">IFERROR(INDEX(LCIA_Data,MATCH($AO$15&amp;CN$27,LCIA_Rows_B&amp;LCIA_Rows_C,0),MATCH(CN$26,LCIA_Columns,0)),0)*$AT40*$AJ40*$BN$23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IFERROR(INDEX(LCIA_Data,MATCH($AO$15&amp;DA$27,LCIA_Rows_B&amp;LCIA_Rows_C,0),MATCH(DA$26,LCIA_Columns,0)),0)*$AT40*$AK40*$BN$23</f>
        <v>0</v>
      </c>
      <c r="DB40" s="1">
        <f t="array" ref="DB40">IFERROR(INDEX(LCIA_Data,MATCH($AO$15&amp;DB$27,LCIA_Rows_B&amp;LCIA_Rows_C,0),MATCH(DB$26,LCIA_Columns,0)),0)*$AT40*$AK40*$BN$23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f t="shared" si="20"/>
        <v>0</v>
      </c>
      <c r="DP40">
        <f t="shared" si="20"/>
        <v>0</v>
      </c>
      <c r="DQ40">
        <f t="shared" si="20"/>
        <v>0</v>
      </c>
      <c r="DR40">
        <f t="shared" si="20"/>
        <v>0</v>
      </c>
      <c r="DS40">
        <f t="shared" si="20"/>
        <v>0</v>
      </c>
      <c r="DT40">
        <f t="shared" si="20"/>
        <v>0</v>
      </c>
      <c r="DU40">
        <f t="shared" si="20"/>
        <v>0</v>
      </c>
      <c r="DV40">
        <f t="shared" si="20"/>
        <v>0</v>
      </c>
      <c r="DW40">
        <f t="shared" si="20"/>
        <v>0</v>
      </c>
      <c r="DX40">
        <f t="shared" si="20"/>
        <v>0</v>
      </c>
      <c r="DY40">
        <f t="shared" si="20"/>
        <v>0</v>
      </c>
      <c r="DZ40">
        <f t="shared" si="20"/>
        <v>0</v>
      </c>
      <c r="EA40">
        <f t="shared" si="20"/>
        <v>0</v>
      </c>
      <c r="EB40">
        <f t="shared" si="21"/>
        <v>0</v>
      </c>
      <c r="EC40"/>
      <c r="ED40"/>
      <c r="EE40"/>
      <c r="EF40"/>
      <c r="EG40"/>
    </row>
    <row r="41" spans="2:137" ht="15" customHeight="1" thickBot="1">
      <c r="B41" s="53">
        <f t="shared" si="25"/>
        <v>0</v>
      </c>
      <c r="C41" s="32">
        <f t="shared" si="22"/>
        <v>12</v>
      </c>
      <c r="D41" s="47" t="str">
        <f>'Plant Inputs'!$D41</f>
        <v>Slag Cement</v>
      </c>
      <c r="E41" s="102"/>
      <c r="F41" s="231" t="str">
        <f t="shared" si="6"/>
        <v>short ton</v>
      </c>
      <c r="G41" s="228">
        <f t="shared" si="26"/>
        <v>0</v>
      </c>
      <c r="H41" s="227" t="str">
        <f t="shared" si="7"/>
        <v>short ton</v>
      </c>
      <c r="I41" s="397">
        <f t="shared" si="8"/>
        <v>0</v>
      </c>
      <c r="J41"/>
      <c r="K41"/>
      <c r="L41"/>
      <c r="M41"/>
      <c r="N41"/>
      <c r="O41"/>
      <c r="P41"/>
      <c r="Q41"/>
      <c r="R41"/>
      <c r="S41"/>
      <c r="T41"/>
      <c r="X41" s="67">
        <f t="shared" si="27"/>
        <v>0</v>
      </c>
      <c r="Y41" s="216">
        <f>IF(AND($X41=1,'Plant Inputs'!$Y41=1),1,0)</f>
        <v>0</v>
      </c>
      <c r="Z41" s="216"/>
      <c r="AA41" s="216">
        <f>IF($Y41=0,0,IF('Plant Inputs'!J41="",0,'Plant Inputs'!J41))</f>
        <v>0</v>
      </c>
      <c r="AB41" s="216">
        <f>IF($Y41=0,0,IF('Plant Inputs'!K41="",0,'Plant Inputs'!K41))</f>
        <v>0</v>
      </c>
      <c r="AC41" s="216">
        <f>IF($Y41=0,0,IF('Plant Inputs'!L41="",0,'Plant Inputs'!L41))</f>
        <v>0</v>
      </c>
      <c r="AD41" s="216">
        <f>IF($Y41=0,0,IF('Plant Inputs'!M41="",0,'Plant Inputs'!M41))</f>
        <v>0</v>
      </c>
      <c r="AE41" s="217" t="str">
        <f>'Plant Inputs'!$O41</f>
        <v>mile</v>
      </c>
      <c r="AF41" s="217">
        <f t="shared" si="9"/>
        <v>1.6093473468862911</v>
      </c>
      <c r="AG41" s="216" t="str">
        <f t="shared" si="23"/>
        <v>km/mile</v>
      </c>
      <c r="AH41" s="216">
        <f t="shared" si="10"/>
        <v>0</v>
      </c>
      <c r="AI41" s="216">
        <f t="shared" si="10"/>
        <v>0</v>
      </c>
      <c r="AJ41" s="216">
        <f t="shared" si="10"/>
        <v>0</v>
      </c>
      <c r="AK41" s="216">
        <f t="shared" si="10"/>
        <v>0</v>
      </c>
      <c r="AL41" s="216"/>
      <c r="AM41" s="1" t="str">
        <f t="shared" si="11"/>
        <v>Slag Cement</v>
      </c>
      <c r="AN41" t="s">
        <v>127</v>
      </c>
      <c r="AO41">
        <f t="shared" si="12"/>
        <v>0</v>
      </c>
      <c r="AP41" s="1">
        <f t="shared" si="24"/>
        <v>0</v>
      </c>
      <c r="AQ41" s="1" t="str">
        <f t="shared" si="13"/>
        <v>short ton</v>
      </c>
      <c r="AR41" s="1">
        <f t="shared" si="14"/>
        <v>0.90718499588591606</v>
      </c>
      <c r="AS41" s="87" t="str">
        <f t="shared" si="15"/>
        <v>tonne/short ton</v>
      </c>
      <c r="AT41" s="87">
        <f t="shared" si="16"/>
        <v>0</v>
      </c>
      <c r="AU41" s="87">
        <f t="shared" si="17"/>
        <v>0</v>
      </c>
      <c r="AV41" s="87">
        <f t="shared" si="18"/>
        <v>0</v>
      </c>
      <c r="AW41" t="str">
        <f t="shared" si="19"/>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IFERROR(INDEX(LCIA_Data,MATCH($AO$15&amp;CM$27,LCIA_Rows_B&amp;LCIA_Rows_C,0),MATCH(CM$26,LCIA_Columns,0)),0)*$AT41*$AJ41*$BN$23</f>
        <v>0</v>
      </c>
      <c r="CN41" s="1">
        <f t="array" ref="CN41">IFERROR(INDEX(LCIA_Data,MATCH($AO$15&amp;CN$27,LCIA_Rows_B&amp;LCIA_Rows_C,0),MATCH(CN$26,LCIA_Columns,0)),0)*$AT41*$AJ41*$BN$23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IFERROR(INDEX(LCIA_Data,MATCH($AO$15&amp;DA$27,LCIA_Rows_B&amp;LCIA_Rows_C,0),MATCH(DA$26,LCIA_Columns,0)),0)*$AT41*$AK41*$BN$23</f>
        <v>0</v>
      </c>
      <c r="DB41" s="1">
        <f t="array" ref="DB41">IFERROR(INDEX(LCIA_Data,MATCH($AO$15&amp;DB$27,LCIA_Rows_B&amp;LCIA_Rows_C,0),MATCH(DB$26,LCIA_Columns,0)),0)*$AT41*$AK41*$BN$23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f t="shared" si="20"/>
        <v>0</v>
      </c>
      <c r="DP41">
        <f t="shared" si="20"/>
        <v>0</v>
      </c>
      <c r="DQ41">
        <f t="shared" si="20"/>
        <v>0</v>
      </c>
      <c r="DR41">
        <f t="shared" si="20"/>
        <v>0</v>
      </c>
      <c r="DS41">
        <f t="shared" si="20"/>
        <v>0</v>
      </c>
      <c r="DT41">
        <f t="shared" si="20"/>
        <v>0</v>
      </c>
      <c r="DU41">
        <f t="shared" si="20"/>
        <v>0</v>
      </c>
      <c r="DV41">
        <f t="shared" si="20"/>
        <v>0</v>
      </c>
      <c r="DW41">
        <f t="shared" si="20"/>
        <v>0</v>
      </c>
      <c r="DX41">
        <f t="shared" si="20"/>
        <v>0</v>
      </c>
      <c r="DY41">
        <f t="shared" si="20"/>
        <v>0</v>
      </c>
      <c r="DZ41">
        <f t="shared" si="20"/>
        <v>0</v>
      </c>
      <c r="EA41">
        <f t="shared" si="20"/>
        <v>0</v>
      </c>
      <c r="EB41">
        <f t="shared" si="21"/>
        <v>0</v>
      </c>
      <c r="EC41"/>
      <c r="ED41"/>
      <c r="EE41"/>
      <c r="EF41"/>
      <c r="EG41"/>
    </row>
    <row r="42" spans="2:137" ht="15" customHeight="1">
      <c r="B42" s="53">
        <f t="shared" si="25"/>
        <v>0</v>
      </c>
      <c r="C42" s="221">
        <f t="shared" si="22"/>
        <v>13</v>
      </c>
      <c r="D42" s="222" t="str">
        <f>'Plant Inputs'!$D42</f>
        <v>Chemical Admixture - Air Entraining Agent</v>
      </c>
      <c r="E42" s="154"/>
      <c r="F42" s="240" t="str">
        <f t="shared" ref="F42:F48" si="28">VolumeDisplayUnit</f>
        <v>gallon</v>
      </c>
      <c r="G42" s="224">
        <f t="shared" si="26"/>
        <v>0</v>
      </c>
      <c r="H42" s="225" t="str">
        <f t="shared" si="7"/>
        <v>short ton</v>
      </c>
      <c r="I42" s="156">
        <f t="shared" si="8"/>
        <v>0</v>
      </c>
      <c r="J42"/>
      <c r="K42"/>
      <c r="L42"/>
      <c r="M42"/>
      <c r="N42"/>
      <c r="O42"/>
      <c r="P42"/>
      <c r="Q42"/>
      <c r="R42"/>
      <c r="S42"/>
      <c r="T42"/>
      <c r="X42" s="67">
        <f t="shared" si="27"/>
        <v>0</v>
      </c>
      <c r="Y42" s="216">
        <f>IF(AND($X42=1,'Plant Inputs'!$Y42=1),1,0)</f>
        <v>0</v>
      </c>
      <c r="Z42" s="216"/>
      <c r="AA42" s="216">
        <f>IF($Y42=0,0,IF('Plant Inputs'!J42="",0,'Plant Inputs'!J42))</f>
        <v>0</v>
      </c>
      <c r="AB42" s="216">
        <f>IF($Y42=0,0,IF('Plant Inputs'!K42="",0,'Plant Inputs'!K42))</f>
        <v>0</v>
      </c>
      <c r="AC42" s="216">
        <f>IF($Y42=0,0,IF('Plant Inputs'!L42="",0,'Plant Inputs'!L42))</f>
        <v>0</v>
      </c>
      <c r="AD42" s="216">
        <f>IF($Y42=0,0,IF('Plant Inputs'!M42="",0,'Plant Inputs'!M42))</f>
        <v>0</v>
      </c>
      <c r="AE42" s="217" t="str">
        <f>'Plant Inputs'!$O42</f>
        <v>mile</v>
      </c>
      <c r="AF42" s="217">
        <f t="shared" si="9"/>
        <v>1.6093473468862911</v>
      </c>
      <c r="AG42" s="216" t="str">
        <f t="shared" si="23"/>
        <v>km/mile</v>
      </c>
      <c r="AH42" s="216">
        <f t="shared" si="10"/>
        <v>0</v>
      </c>
      <c r="AI42" s="216">
        <f t="shared" si="10"/>
        <v>0</v>
      </c>
      <c r="AJ42" s="216">
        <f t="shared" si="10"/>
        <v>0</v>
      </c>
      <c r="AK42" s="216">
        <f t="shared" si="10"/>
        <v>0</v>
      </c>
      <c r="AL42" s="216"/>
      <c r="AM42" s="1" t="str">
        <f t="shared" si="11"/>
        <v>Chemical Admixture - Air Entraining Agent</v>
      </c>
      <c r="AN42" s="12" t="s">
        <v>128</v>
      </c>
      <c r="AO42">
        <f t="shared" si="12"/>
        <v>1.1982656298327359</v>
      </c>
      <c r="AP42" s="1">
        <f t="shared" si="24"/>
        <v>0</v>
      </c>
      <c r="AQ42" s="1" t="str">
        <f t="shared" si="13"/>
        <v>gallon</v>
      </c>
      <c r="AR42" s="1">
        <f t="shared" si="14"/>
        <v>4.535929094356397E-3</v>
      </c>
      <c r="AS42" s="87" t="str">
        <f t="shared" si="15"/>
        <v>tonne/gallon</v>
      </c>
      <c r="AT42" s="87">
        <f t="shared" si="16"/>
        <v>0</v>
      </c>
      <c r="AU42" s="87">
        <f t="shared" si="17"/>
        <v>0</v>
      </c>
      <c r="AV42" s="87">
        <f t="shared" si="18"/>
        <v>0</v>
      </c>
      <c r="AW42" t="str">
        <f t="shared" si="19"/>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IFERROR(INDEX(LCIA_Data,MATCH($AO$15&amp;CM$27,LCIA_Rows_B&amp;LCIA_Rows_C,0),MATCH(CM$26,LCIA_Columns,0)),0)*$AT42*$AJ42*$BN$23</f>
        <v>0</v>
      </c>
      <c r="CN42" s="1">
        <f t="array" ref="CN42">IFERROR(INDEX(LCIA_Data,MATCH($AO$15&amp;CN$27,LCIA_Rows_B&amp;LCIA_Rows_C,0),MATCH(CN$26,LCIA_Columns,0)),0)*$AT42*$AJ42*$BN$23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IFERROR(INDEX(LCIA_Data,MATCH($AO$15&amp;DA$27,LCIA_Rows_B&amp;LCIA_Rows_C,0),MATCH(DA$26,LCIA_Columns,0)),0)*$AT42*$AK42*$BN$23</f>
        <v>0</v>
      </c>
      <c r="DB42" s="1">
        <f t="array" ref="DB42">IFERROR(INDEX(LCIA_Data,MATCH($AO$15&amp;DB$27,LCIA_Rows_B&amp;LCIA_Rows_C,0),MATCH(DB$26,LCIA_Columns,0)),0)*$AT42*$AK42*$BN$23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f t="shared" si="20"/>
        <v>0</v>
      </c>
      <c r="DP42">
        <f t="shared" si="20"/>
        <v>0</v>
      </c>
      <c r="DQ42">
        <f t="shared" si="20"/>
        <v>0</v>
      </c>
      <c r="DR42">
        <f t="shared" si="20"/>
        <v>0</v>
      </c>
      <c r="DS42">
        <f t="shared" si="20"/>
        <v>0</v>
      </c>
      <c r="DT42">
        <f t="shared" si="20"/>
        <v>0</v>
      </c>
      <c r="DU42">
        <f t="shared" si="20"/>
        <v>0</v>
      </c>
      <c r="DV42">
        <f t="shared" si="20"/>
        <v>0</v>
      </c>
      <c r="DW42">
        <f t="shared" si="20"/>
        <v>0</v>
      </c>
      <c r="DX42">
        <f t="shared" si="20"/>
        <v>0</v>
      </c>
      <c r="DY42">
        <f t="shared" si="20"/>
        <v>0</v>
      </c>
      <c r="DZ42">
        <f t="shared" si="20"/>
        <v>0</v>
      </c>
      <c r="EA42">
        <f t="shared" si="20"/>
        <v>0</v>
      </c>
      <c r="EB42">
        <f t="shared" si="21"/>
        <v>0</v>
      </c>
      <c r="EC42"/>
      <c r="ED42"/>
      <c r="EE42"/>
      <c r="EF42"/>
      <c r="EG42"/>
    </row>
    <row r="43" spans="2:137" ht="15" customHeight="1">
      <c r="B43" s="53">
        <f t="shared" si="25"/>
        <v>0</v>
      </c>
      <c r="C43" s="26">
        <f t="shared" si="22"/>
        <v>14</v>
      </c>
      <c r="D43" s="46" t="str">
        <f>'Plant Inputs'!$D43</f>
        <v>Chemical Admixture - Water Reducer/Plasticizer</v>
      </c>
      <c r="E43" s="99"/>
      <c r="F43" s="106" t="str">
        <f t="shared" si="28"/>
        <v>gallon</v>
      </c>
      <c r="G43" s="158">
        <f t="shared" si="26"/>
        <v>0</v>
      </c>
      <c r="H43" s="204" t="str">
        <f t="shared" si="7"/>
        <v>short ton</v>
      </c>
      <c r="I43" s="156">
        <f t="shared" si="8"/>
        <v>0</v>
      </c>
      <c r="J43"/>
      <c r="K43"/>
      <c r="L43"/>
      <c r="M43"/>
      <c r="N43"/>
      <c r="O43"/>
      <c r="P43"/>
      <c r="Q43"/>
      <c r="R43"/>
      <c r="S43"/>
      <c r="T43"/>
      <c r="X43" s="67">
        <f t="shared" si="27"/>
        <v>0</v>
      </c>
      <c r="Y43" s="216">
        <f>IF(AND($X43=1,'Plant Inputs'!$Y43=1),1,0)</f>
        <v>0</v>
      </c>
      <c r="Z43" s="216"/>
      <c r="AA43" s="216">
        <f>IF($Y43=0,0,IF('Plant Inputs'!J43="",0,'Plant Inputs'!J43))</f>
        <v>0</v>
      </c>
      <c r="AB43" s="216">
        <f>IF($Y43=0,0,IF('Plant Inputs'!K43="",0,'Plant Inputs'!K43))</f>
        <v>0</v>
      </c>
      <c r="AC43" s="216">
        <f>IF($Y43=0,0,IF('Plant Inputs'!L43="",0,'Plant Inputs'!L43))</f>
        <v>0</v>
      </c>
      <c r="AD43" s="216">
        <f>IF($Y43=0,0,IF('Plant Inputs'!M43="",0,'Plant Inputs'!M43))</f>
        <v>0</v>
      </c>
      <c r="AE43" s="217" t="str">
        <f>'Plant Inputs'!$O43</f>
        <v>mile</v>
      </c>
      <c r="AF43" s="217">
        <f t="shared" si="9"/>
        <v>1.6093473468862911</v>
      </c>
      <c r="AG43" s="216" t="str">
        <f t="shared" si="23"/>
        <v>km/mile</v>
      </c>
      <c r="AH43" s="216">
        <f t="shared" si="10"/>
        <v>0</v>
      </c>
      <c r="AI43" s="216">
        <f t="shared" si="10"/>
        <v>0</v>
      </c>
      <c r="AJ43" s="216">
        <f t="shared" si="10"/>
        <v>0</v>
      </c>
      <c r="AK43" s="216">
        <f t="shared" si="10"/>
        <v>0</v>
      </c>
      <c r="AL43" s="216"/>
      <c r="AM43" s="1" t="str">
        <f t="shared" si="11"/>
        <v>Chemical Admixture - Water Reducer/Plasticizer</v>
      </c>
      <c r="AN43" s="12" t="s">
        <v>128</v>
      </c>
      <c r="AO43">
        <f t="shared" si="12"/>
        <v>1.1982656298327359</v>
      </c>
      <c r="AP43" s="1">
        <f t="shared" si="24"/>
        <v>0</v>
      </c>
      <c r="AQ43" s="1" t="str">
        <f t="shared" si="13"/>
        <v>gallon</v>
      </c>
      <c r="AR43" s="1">
        <f t="shared" si="14"/>
        <v>4.535929094356397E-3</v>
      </c>
      <c r="AS43" s="87" t="str">
        <f t="shared" si="15"/>
        <v>tonne/gallon</v>
      </c>
      <c r="AT43" s="87">
        <f t="shared" si="16"/>
        <v>0</v>
      </c>
      <c r="AU43" s="87">
        <f t="shared" si="17"/>
        <v>0</v>
      </c>
      <c r="AV43" s="87">
        <f t="shared" si="18"/>
        <v>0</v>
      </c>
      <c r="AW43" t="str">
        <f t="shared" si="19"/>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IFERROR(INDEX(LCIA_Data,MATCH($AO$15&amp;CM$27,LCIA_Rows_B&amp;LCIA_Rows_C,0),MATCH(CM$26,LCIA_Columns,0)),0)*$AT43*$AJ43*$BN$23</f>
        <v>0</v>
      </c>
      <c r="CN43" s="1">
        <f t="array" ref="CN43">IFERROR(INDEX(LCIA_Data,MATCH($AO$15&amp;CN$27,LCIA_Rows_B&amp;LCIA_Rows_C,0),MATCH(CN$26,LCIA_Columns,0)),0)*$AT43*$AJ43*$BN$23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IFERROR(INDEX(LCIA_Data,MATCH($AO$15&amp;DA$27,LCIA_Rows_B&amp;LCIA_Rows_C,0),MATCH(DA$26,LCIA_Columns,0)),0)*$AT43*$AK43*$BN$23</f>
        <v>0</v>
      </c>
      <c r="DB43" s="1">
        <f t="array" ref="DB43">IFERROR(INDEX(LCIA_Data,MATCH($AO$15&amp;DB$27,LCIA_Rows_B&amp;LCIA_Rows_C,0),MATCH(DB$26,LCIA_Columns,0)),0)*$AT43*$AK43*$BN$23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f t="shared" si="20"/>
        <v>0</v>
      </c>
      <c r="DP43">
        <f t="shared" si="20"/>
        <v>0</v>
      </c>
      <c r="DQ43">
        <f t="shared" si="20"/>
        <v>0</v>
      </c>
      <c r="DR43">
        <f t="shared" si="20"/>
        <v>0</v>
      </c>
      <c r="DS43">
        <f t="shared" si="20"/>
        <v>0</v>
      </c>
      <c r="DT43">
        <f t="shared" si="20"/>
        <v>0</v>
      </c>
      <c r="DU43">
        <f t="shared" si="20"/>
        <v>0</v>
      </c>
      <c r="DV43">
        <f t="shared" si="20"/>
        <v>0</v>
      </c>
      <c r="DW43">
        <f t="shared" si="20"/>
        <v>0</v>
      </c>
      <c r="DX43">
        <f t="shared" si="20"/>
        <v>0</v>
      </c>
      <c r="DY43">
        <f t="shared" si="20"/>
        <v>0</v>
      </c>
      <c r="DZ43">
        <f t="shared" si="20"/>
        <v>0</v>
      </c>
      <c r="EA43">
        <f t="shared" si="20"/>
        <v>0</v>
      </c>
      <c r="EB43">
        <f t="shared" si="21"/>
        <v>0</v>
      </c>
      <c r="EC43"/>
      <c r="ED43"/>
      <c r="EE43"/>
      <c r="EF43"/>
      <c r="EG43"/>
    </row>
    <row r="44" spans="2:137" ht="15" customHeight="1">
      <c r="B44" s="53">
        <f t="shared" si="25"/>
        <v>0</v>
      </c>
      <c r="C44" s="26">
        <f t="shared" si="22"/>
        <v>15</v>
      </c>
      <c r="D44" s="46" t="str">
        <f>'Plant Inputs'!$D44</f>
        <v>Chemical Admixture - Accelerator</v>
      </c>
      <c r="E44" s="99"/>
      <c r="F44" s="106" t="str">
        <f t="shared" si="28"/>
        <v>gallon</v>
      </c>
      <c r="G44" s="158">
        <f t="shared" si="26"/>
        <v>0</v>
      </c>
      <c r="H44" s="204" t="str">
        <f t="shared" si="7"/>
        <v>short ton</v>
      </c>
      <c r="I44" s="156">
        <f t="shared" si="8"/>
        <v>0</v>
      </c>
      <c r="J44"/>
      <c r="K44"/>
      <c r="L44"/>
      <c r="M44"/>
      <c r="N44"/>
      <c r="O44"/>
      <c r="P44"/>
      <c r="Q44"/>
      <c r="R44"/>
      <c r="S44"/>
      <c r="T44"/>
      <c r="X44" s="67">
        <f t="shared" si="27"/>
        <v>0</v>
      </c>
      <c r="Y44" s="216">
        <f>IF(AND($X44=1,'Plant Inputs'!$Y44=1),1,0)</f>
        <v>0</v>
      </c>
      <c r="Z44" s="216"/>
      <c r="AA44" s="216">
        <f>IF($Y44=0,0,IF('Plant Inputs'!J44="",0,'Plant Inputs'!J44))</f>
        <v>0</v>
      </c>
      <c r="AB44" s="216">
        <f>IF($Y44=0,0,IF('Plant Inputs'!K44="",0,'Plant Inputs'!K44))</f>
        <v>0</v>
      </c>
      <c r="AC44" s="216">
        <f>IF($Y44=0,0,IF('Plant Inputs'!L44="",0,'Plant Inputs'!L44))</f>
        <v>0</v>
      </c>
      <c r="AD44" s="216">
        <f>IF($Y44=0,0,IF('Plant Inputs'!M44="",0,'Plant Inputs'!M44))</f>
        <v>0</v>
      </c>
      <c r="AE44" s="217" t="str">
        <f>'Plant Inputs'!$O44</f>
        <v>mile</v>
      </c>
      <c r="AF44" s="217">
        <f t="shared" si="9"/>
        <v>1.6093473468862911</v>
      </c>
      <c r="AG44" s="216" t="str">
        <f t="shared" si="23"/>
        <v>km/mile</v>
      </c>
      <c r="AH44" s="216">
        <f t="shared" si="10"/>
        <v>0</v>
      </c>
      <c r="AI44" s="216">
        <f t="shared" si="10"/>
        <v>0</v>
      </c>
      <c r="AJ44" s="216">
        <f t="shared" si="10"/>
        <v>0</v>
      </c>
      <c r="AK44" s="216">
        <f t="shared" si="10"/>
        <v>0</v>
      </c>
      <c r="AL44" s="216"/>
      <c r="AM44" s="1" t="str">
        <f t="shared" si="11"/>
        <v>Chemical Admixture - Accelerator</v>
      </c>
      <c r="AN44" s="12" t="s">
        <v>128</v>
      </c>
      <c r="AO44">
        <f t="shared" si="12"/>
        <v>1.1982656298327359</v>
      </c>
      <c r="AP44" s="1">
        <f t="shared" si="24"/>
        <v>0</v>
      </c>
      <c r="AQ44" s="1" t="str">
        <f t="shared" si="13"/>
        <v>gallon</v>
      </c>
      <c r="AR44" s="1">
        <f t="shared" si="14"/>
        <v>4.535929094356397E-3</v>
      </c>
      <c r="AS44" s="87" t="str">
        <f t="shared" si="15"/>
        <v>tonne/gallon</v>
      </c>
      <c r="AT44" s="87">
        <f t="shared" si="16"/>
        <v>0</v>
      </c>
      <c r="AU44" s="87">
        <f t="shared" si="17"/>
        <v>0</v>
      </c>
      <c r="AV44" s="87">
        <f t="shared" si="18"/>
        <v>0</v>
      </c>
      <c r="AW44" t="str">
        <f t="shared" si="19"/>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IFERROR(INDEX(LCIA_Data,MATCH($AO$15&amp;CM$27,LCIA_Rows_B&amp;LCIA_Rows_C,0),MATCH(CM$26,LCIA_Columns,0)),0)*$AT44*$AJ44*$BN$23</f>
        <v>0</v>
      </c>
      <c r="CN44" s="1">
        <f t="array" ref="CN44">IFERROR(INDEX(LCIA_Data,MATCH($AO$15&amp;CN$27,LCIA_Rows_B&amp;LCIA_Rows_C,0),MATCH(CN$26,LCIA_Columns,0)),0)*$AT44*$AJ44*$BN$23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IFERROR(INDEX(LCIA_Data,MATCH($AO$15&amp;DA$27,LCIA_Rows_B&amp;LCIA_Rows_C,0),MATCH(DA$26,LCIA_Columns,0)),0)*$AT44*$AK44*$BN$23</f>
        <v>0</v>
      </c>
      <c r="DB44" s="1">
        <f t="array" ref="DB44">IFERROR(INDEX(LCIA_Data,MATCH($AO$15&amp;DB$27,LCIA_Rows_B&amp;LCIA_Rows_C,0),MATCH(DB$26,LCIA_Columns,0)),0)*$AT44*$AK44*$BN$23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f t="shared" si="20"/>
        <v>0</v>
      </c>
      <c r="DP44">
        <f t="shared" si="20"/>
        <v>0</v>
      </c>
      <c r="DQ44">
        <f t="shared" si="20"/>
        <v>0</v>
      </c>
      <c r="DR44">
        <f t="shared" si="20"/>
        <v>0</v>
      </c>
      <c r="DS44">
        <f t="shared" si="20"/>
        <v>0</v>
      </c>
      <c r="DT44">
        <f t="shared" si="20"/>
        <v>0</v>
      </c>
      <c r="DU44">
        <f t="shared" si="20"/>
        <v>0</v>
      </c>
      <c r="DV44">
        <f t="shared" si="20"/>
        <v>0</v>
      </c>
      <c r="DW44">
        <f t="shared" si="20"/>
        <v>0</v>
      </c>
      <c r="DX44">
        <f t="shared" si="20"/>
        <v>0</v>
      </c>
      <c r="DY44">
        <f t="shared" si="20"/>
        <v>0</v>
      </c>
      <c r="DZ44">
        <f t="shared" si="20"/>
        <v>0</v>
      </c>
      <c r="EA44">
        <f t="shared" si="20"/>
        <v>0</v>
      </c>
      <c r="EB44">
        <f t="shared" si="21"/>
        <v>0</v>
      </c>
      <c r="EC44"/>
      <c r="ED44"/>
      <c r="EE44"/>
      <c r="EF44"/>
      <c r="EG44"/>
    </row>
    <row r="45" spans="2:137" ht="26.25" customHeight="1">
      <c r="B45" s="53">
        <f t="shared" si="25"/>
        <v>0</v>
      </c>
      <c r="C45" s="26">
        <f t="shared" si="22"/>
        <v>16</v>
      </c>
      <c r="D45" s="46" t="str">
        <f>'Plant Inputs'!$D45</f>
        <v>Chemical Admixture - High Range Water Reducer (HRWR)/Super Plasticizer</v>
      </c>
      <c r="E45" s="99"/>
      <c r="F45" s="106" t="str">
        <f t="shared" si="28"/>
        <v>gallon</v>
      </c>
      <c r="G45" s="158">
        <f t="shared" si="26"/>
        <v>0</v>
      </c>
      <c r="H45" s="204" t="str">
        <f t="shared" si="7"/>
        <v>short ton</v>
      </c>
      <c r="I45" s="156">
        <f t="shared" si="8"/>
        <v>0</v>
      </c>
      <c r="J45"/>
      <c r="K45"/>
      <c r="L45"/>
      <c r="M45"/>
      <c r="N45"/>
      <c r="O45"/>
      <c r="P45"/>
      <c r="Q45"/>
      <c r="R45"/>
      <c r="S45"/>
      <c r="T45"/>
      <c r="X45" s="67">
        <f t="shared" si="27"/>
        <v>0</v>
      </c>
      <c r="Y45" s="216">
        <f>IF(AND($X45=1,'Plant Inputs'!$Y45=1),1,0)</f>
        <v>0</v>
      </c>
      <c r="Z45" s="216"/>
      <c r="AA45" s="216">
        <f>IF($Y45=0,0,IF('Plant Inputs'!J45="",0,'Plant Inputs'!J45))</f>
        <v>0</v>
      </c>
      <c r="AB45" s="216">
        <f>IF($Y45=0,0,IF('Plant Inputs'!K45="",0,'Plant Inputs'!K45))</f>
        <v>0</v>
      </c>
      <c r="AC45" s="216">
        <f>IF($Y45=0,0,IF('Plant Inputs'!L45="",0,'Plant Inputs'!L45))</f>
        <v>0</v>
      </c>
      <c r="AD45" s="216">
        <f>IF($Y45=0,0,IF('Plant Inputs'!M45="",0,'Plant Inputs'!M45))</f>
        <v>0</v>
      </c>
      <c r="AE45" s="217" t="str">
        <f>'Plant Inputs'!$O45</f>
        <v>mile</v>
      </c>
      <c r="AF45" s="217">
        <f t="shared" si="9"/>
        <v>1.6093473468862911</v>
      </c>
      <c r="AG45" s="216" t="str">
        <f t="shared" si="23"/>
        <v>km/mile</v>
      </c>
      <c r="AH45" s="216">
        <f t="shared" si="10"/>
        <v>0</v>
      </c>
      <c r="AI45" s="216">
        <f t="shared" si="10"/>
        <v>0</v>
      </c>
      <c r="AJ45" s="216">
        <f t="shared" si="10"/>
        <v>0</v>
      </c>
      <c r="AK45" s="216">
        <f t="shared" si="10"/>
        <v>0</v>
      </c>
      <c r="AL45" s="216"/>
      <c r="AM45" s="1" t="str">
        <f t="shared" si="11"/>
        <v>Chemical Admixture - High Range Water Reducer (HRWR)/Super Plasticizer</v>
      </c>
      <c r="AN45" s="12" t="s">
        <v>128</v>
      </c>
      <c r="AO45">
        <f t="shared" si="12"/>
        <v>1.1982656298327359</v>
      </c>
      <c r="AP45" s="1">
        <f t="shared" si="24"/>
        <v>0</v>
      </c>
      <c r="AQ45" s="1" t="str">
        <f t="shared" si="13"/>
        <v>gallon</v>
      </c>
      <c r="AR45" s="1">
        <f t="shared" si="14"/>
        <v>4.535929094356397E-3</v>
      </c>
      <c r="AS45" s="87" t="str">
        <f t="shared" si="15"/>
        <v>tonne/gallon</v>
      </c>
      <c r="AT45" s="87">
        <f t="shared" si="16"/>
        <v>0</v>
      </c>
      <c r="AU45" s="87">
        <f t="shared" si="17"/>
        <v>0</v>
      </c>
      <c r="AV45" s="87">
        <f t="shared" si="18"/>
        <v>0</v>
      </c>
      <c r="AW45" t="str">
        <f t="shared" si="19"/>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IFERROR(INDEX(LCIA_Data,MATCH($AO$15&amp;CM$27,LCIA_Rows_B&amp;LCIA_Rows_C,0),MATCH(CM$26,LCIA_Columns,0)),0)*$AT45*$AJ45*$BN$23</f>
        <v>0</v>
      </c>
      <c r="CN45" s="1">
        <f t="array" ref="CN45">IFERROR(INDEX(LCIA_Data,MATCH($AO$15&amp;CN$27,LCIA_Rows_B&amp;LCIA_Rows_C,0),MATCH(CN$26,LCIA_Columns,0)),0)*$AT45*$AJ45*$BN$23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IFERROR(INDEX(LCIA_Data,MATCH($AO$15&amp;DA$27,LCIA_Rows_B&amp;LCIA_Rows_C,0),MATCH(DA$26,LCIA_Columns,0)),0)*$AT45*$AK45*$BN$23</f>
        <v>0</v>
      </c>
      <c r="DB45" s="1">
        <f t="array" ref="DB45">IFERROR(INDEX(LCIA_Data,MATCH($AO$15&amp;DB$27,LCIA_Rows_B&amp;LCIA_Rows_C,0),MATCH(DB$26,LCIA_Columns,0)),0)*$AT45*$AK45*$BN$23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f t="shared" si="20"/>
        <v>0</v>
      </c>
      <c r="DP45">
        <f t="shared" si="20"/>
        <v>0</v>
      </c>
      <c r="DQ45">
        <f t="shared" si="20"/>
        <v>0</v>
      </c>
      <c r="DR45">
        <f t="shared" si="20"/>
        <v>0</v>
      </c>
      <c r="DS45">
        <f t="shared" si="20"/>
        <v>0</v>
      </c>
      <c r="DT45">
        <f t="shared" si="20"/>
        <v>0</v>
      </c>
      <c r="DU45">
        <f t="shared" si="20"/>
        <v>0</v>
      </c>
      <c r="DV45">
        <f t="shared" si="20"/>
        <v>0</v>
      </c>
      <c r="DW45">
        <f t="shared" si="20"/>
        <v>0</v>
      </c>
      <c r="DX45">
        <f t="shared" si="20"/>
        <v>0</v>
      </c>
      <c r="DY45">
        <f t="shared" si="20"/>
        <v>0</v>
      </c>
      <c r="DZ45">
        <f t="shared" si="20"/>
        <v>0</v>
      </c>
      <c r="EA45">
        <f t="shared" si="20"/>
        <v>0</v>
      </c>
      <c r="EB45">
        <f t="shared" si="21"/>
        <v>0</v>
      </c>
      <c r="EC45"/>
      <c r="ED45"/>
      <c r="EE45"/>
      <c r="EF45"/>
      <c r="EG45"/>
    </row>
    <row r="46" spans="2:137" ht="15" customHeight="1">
      <c r="B46" s="53">
        <f>X46</f>
        <v>0</v>
      </c>
      <c r="C46" s="26">
        <f t="shared" si="22"/>
        <v>17</v>
      </c>
      <c r="D46" s="46" t="str">
        <f>'Plant Inputs'!$D46</f>
        <v>Chemical Admixture - Corrosion Inhibiting</v>
      </c>
      <c r="E46" s="99"/>
      <c r="F46" s="106" t="str">
        <f t="shared" si="28"/>
        <v>gallon</v>
      </c>
      <c r="G46" s="158">
        <f t="shared" si="26"/>
        <v>0</v>
      </c>
      <c r="H46" s="204" t="str">
        <f t="shared" si="7"/>
        <v>short ton</v>
      </c>
      <c r="I46" s="156">
        <f t="shared" si="8"/>
        <v>0</v>
      </c>
      <c r="J46"/>
      <c r="K46"/>
      <c r="L46"/>
      <c r="M46"/>
      <c r="N46"/>
      <c r="O46"/>
      <c r="P46"/>
      <c r="Q46"/>
      <c r="R46"/>
      <c r="S46"/>
      <c r="T46"/>
      <c r="X46" s="67">
        <f>IF(ISBLANK(E46),0,1)</f>
        <v>0</v>
      </c>
      <c r="Y46" s="216">
        <f>IF(AND($X46=1,'Plant Inputs'!$Y46=1),1,0)</f>
        <v>0</v>
      </c>
      <c r="Z46" s="216"/>
      <c r="AA46" s="216">
        <f>IF($Y46=0,0,IF('Plant Inputs'!J46="",0,'Plant Inputs'!J46))</f>
        <v>0</v>
      </c>
      <c r="AB46" s="216">
        <f>IF($Y46=0,0,IF('Plant Inputs'!K46="",0,'Plant Inputs'!K46))</f>
        <v>0</v>
      </c>
      <c r="AC46" s="216">
        <f>IF($Y46=0,0,IF('Plant Inputs'!L46="",0,'Plant Inputs'!L46))</f>
        <v>0</v>
      </c>
      <c r="AD46" s="216">
        <f>IF($Y46=0,0,IF('Plant Inputs'!M46="",0,'Plant Inputs'!M46))</f>
        <v>0</v>
      </c>
      <c r="AE46" s="217" t="str">
        <f>'Plant Inputs'!$O46</f>
        <v>mile</v>
      </c>
      <c r="AF46" s="217">
        <f t="shared" si="9"/>
        <v>1.6093473468862911</v>
      </c>
      <c r="AG46" s="216" t="str">
        <f t="shared" si="23"/>
        <v>km/mile</v>
      </c>
      <c r="AH46" s="216">
        <f>AA46*$AF46</f>
        <v>0</v>
      </c>
      <c r="AI46" s="216">
        <f>AB46*$AF46</f>
        <v>0</v>
      </c>
      <c r="AJ46" s="216">
        <f>AC46*$AF46</f>
        <v>0</v>
      </c>
      <c r="AK46" s="216">
        <f>AD46*$AF46</f>
        <v>0</v>
      </c>
      <c r="AL46" s="216"/>
      <c r="AM46" s="1" t="str">
        <f>D46</f>
        <v>Chemical Admixture - Corrosion Inhibiting</v>
      </c>
      <c r="AN46" s="12" t="s">
        <v>128</v>
      </c>
      <c r="AO46">
        <f>VLOOKUP(AM46,Material_Densities,2,FALSE)</f>
        <v>1.1982656298327359</v>
      </c>
      <c r="AP46" s="1">
        <f t="shared" si="24"/>
        <v>0</v>
      </c>
      <c r="AQ46" s="1" t="str">
        <f>F46</f>
        <v>gallon</v>
      </c>
      <c r="AR46" s="1">
        <f t="shared" si="14"/>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IFERROR(INDEX(LCIA_Data,MATCH($AO$15&amp;CM$27,LCIA_Rows_B&amp;LCIA_Rows_C,0),MATCH(CM$26,LCIA_Columns,0)),0)*$AT46*$AJ46*$BN$23</f>
        <v>0</v>
      </c>
      <c r="CN46" s="1">
        <f t="array" ref="CN46">IFERROR(INDEX(LCIA_Data,MATCH($AO$15&amp;CN$27,LCIA_Rows_B&amp;LCIA_Rows_C,0),MATCH(CN$26,LCIA_Columns,0)),0)*$AT46*$AJ46*$BN$23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IFERROR(INDEX(LCIA_Data,MATCH($AO$15&amp;DA$27,LCIA_Rows_B&amp;LCIA_Rows_C,0),MATCH(DA$26,LCIA_Columns,0)),0)*$AT46*$AK46*$BN$23</f>
        <v>0</v>
      </c>
      <c r="DB46" s="1">
        <f t="array" ref="DB46">IFERROR(INDEX(LCIA_Data,MATCH($AO$15&amp;DB$27,LCIA_Rows_B&amp;LCIA_Rows_C,0),MATCH(DB$26,LCIA_Columns,0)),0)*$AT46*$AK46*$BN$23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f t="shared" si="20"/>
        <v>0</v>
      </c>
      <c r="DP46">
        <f t="shared" si="20"/>
        <v>0</v>
      </c>
      <c r="DQ46">
        <f t="shared" si="20"/>
        <v>0</v>
      </c>
      <c r="DR46">
        <f t="shared" si="20"/>
        <v>0</v>
      </c>
      <c r="DS46">
        <f t="shared" si="20"/>
        <v>0</v>
      </c>
      <c r="DT46">
        <f t="shared" si="20"/>
        <v>0</v>
      </c>
      <c r="DU46">
        <f t="shared" si="20"/>
        <v>0</v>
      </c>
      <c r="DV46">
        <f t="shared" si="20"/>
        <v>0</v>
      </c>
      <c r="DW46">
        <f t="shared" si="20"/>
        <v>0</v>
      </c>
      <c r="DX46">
        <f t="shared" si="20"/>
        <v>0</v>
      </c>
      <c r="DY46">
        <f t="shared" si="20"/>
        <v>0</v>
      </c>
      <c r="DZ46">
        <f t="shared" si="20"/>
        <v>0</v>
      </c>
      <c r="EA46">
        <f t="shared" si="20"/>
        <v>0</v>
      </c>
      <c r="EB46">
        <f t="shared" si="21"/>
        <v>0</v>
      </c>
      <c r="EC46"/>
      <c r="ED46"/>
      <c r="EE46"/>
      <c r="EF46"/>
      <c r="EG46"/>
    </row>
    <row r="47" spans="2:137" ht="15" customHeight="1">
      <c r="B47" s="53">
        <f t="shared" ref="B47:B64" si="29">X47</f>
        <v>0</v>
      </c>
      <c r="C47" s="26">
        <f t="shared" si="22"/>
        <v>18</v>
      </c>
      <c r="D47" s="46" t="str">
        <f>'Plant Inputs'!$D47</f>
        <v>Chemical Admixture - Viscosity Modifying Admixture (VMA)</v>
      </c>
      <c r="E47" s="99"/>
      <c r="F47" s="106" t="str">
        <f t="shared" si="28"/>
        <v>gallon</v>
      </c>
      <c r="G47" s="158">
        <f t="shared" si="26"/>
        <v>0</v>
      </c>
      <c r="H47" s="204" t="str">
        <f t="shared" si="7"/>
        <v>short ton</v>
      </c>
      <c r="I47" s="156">
        <f t="shared" si="8"/>
        <v>0</v>
      </c>
      <c r="J47"/>
      <c r="K47"/>
      <c r="L47"/>
      <c r="M47"/>
      <c r="N47"/>
      <c r="O47"/>
      <c r="P47"/>
      <c r="Q47"/>
      <c r="R47"/>
      <c r="S47"/>
      <c r="T47"/>
      <c r="X47" s="67">
        <f t="shared" ref="X47:X65" si="30">IF(ISBLANK(E47),0,1)</f>
        <v>0</v>
      </c>
      <c r="Y47" s="216">
        <f>IF(AND($X47=1,'Plant Inputs'!$Y47=1),1,0)</f>
        <v>0</v>
      </c>
      <c r="Z47" s="216"/>
      <c r="AA47" s="216">
        <f>IF($Y47=0,0,IF('Plant Inputs'!J47="",0,'Plant Inputs'!J47))</f>
        <v>0</v>
      </c>
      <c r="AB47" s="216">
        <f>IF($Y47=0,0,IF('Plant Inputs'!K47="",0,'Plant Inputs'!K47))</f>
        <v>0</v>
      </c>
      <c r="AC47" s="216">
        <f>IF($Y47=0,0,IF('Plant Inputs'!L47="",0,'Plant Inputs'!L47))</f>
        <v>0</v>
      </c>
      <c r="AD47" s="216">
        <f>IF($Y47=0,0,IF('Plant Inputs'!M47="",0,'Plant Inputs'!M47))</f>
        <v>0</v>
      </c>
      <c r="AE47" s="217" t="str">
        <f>'Plant Inputs'!$O47</f>
        <v>mile</v>
      </c>
      <c r="AF47" s="217">
        <f t="shared" si="9"/>
        <v>1.6093473468862911</v>
      </c>
      <c r="AG47" s="216" t="str">
        <f t="shared" si="23"/>
        <v>km/mile</v>
      </c>
      <c r="AH47" s="216">
        <f t="shared" ref="AH47:AK52" si="31">AA47*$AF47</f>
        <v>0</v>
      </c>
      <c r="AI47" s="216">
        <f t="shared" si="31"/>
        <v>0</v>
      </c>
      <c r="AJ47" s="216">
        <f t="shared" si="31"/>
        <v>0</v>
      </c>
      <c r="AK47" s="216">
        <f t="shared" si="31"/>
        <v>0</v>
      </c>
      <c r="AL47" s="216"/>
      <c r="AM47" s="1" t="str">
        <f t="shared" ref="AM47:AM64" si="32">D47</f>
        <v>Chemical Admixture - Viscosity Modifying Admixture (VMA)</v>
      </c>
      <c r="AN47" s="12" t="s">
        <v>128</v>
      </c>
      <c r="AO47">
        <f t="shared" ref="AO47:AO65" si="33">VLOOKUP(AM47,Material_Densities,2,FALSE)</f>
        <v>1.1982656298327359</v>
      </c>
      <c r="AP47" s="1">
        <f t="shared" si="24"/>
        <v>0</v>
      </c>
      <c r="AQ47" s="1" t="str">
        <f t="shared" ref="AQ47:AQ65" si="34">F47</f>
        <v>gallon</v>
      </c>
      <c r="AR47" s="1">
        <f t="shared" si="14"/>
        <v>4.535929094356397E-3</v>
      </c>
      <c r="AS47" s="87" t="str">
        <f t="shared" ref="AS47:AS65" si="35">$AT$29&amp;"/"&amp;AQ47</f>
        <v>tonne/gallon</v>
      </c>
      <c r="AT47" s="87">
        <f t="shared" ref="AT47:AT65" si="36">AP47*AR47</f>
        <v>0</v>
      </c>
      <c r="AU47" s="87">
        <f t="shared" ref="AU47:AU65" si="37">INDEX(Conversion_Table,MATCH($AT$29,Conversion_Rows,0),MATCH($AU$29,Conversion_Columns,0))*AT47</f>
        <v>0</v>
      </c>
      <c r="AV47" s="87">
        <f t="shared" si="18"/>
        <v>0</v>
      </c>
      <c r="AW47" t="str">
        <f t="shared" ref="AW47:AW65" si="38">AM47</f>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IFERROR(INDEX(LCIA_Data,MATCH($AO$15&amp;CM$27,LCIA_Rows_B&amp;LCIA_Rows_C,0),MATCH(CM$26,LCIA_Columns,0)),0)*$AT47*$AJ47*$BN$23</f>
        <v>0</v>
      </c>
      <c r="CN47" s="1">
        <f t="array" ref="CN47">IFERROR(INDEX(LCIA_Data,MATCH($AO$15&amp;CN$27,LCIA_Rows_B&amp;LCIA_Rows_C,0),MATCH(CN$26,LCIA_Columns,0)),0)*$AT47*$AJ47*$BN$23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IFERROR(INDEX(LCIA_Data,MATCH($AO$15&amp;DA$27,LCIA_Rows_B&amp;LCIA_Rows_C,0),MATCH(DA$26,LCIA_Columns,0)),0)*$AT47*$AK47*$BN$23</f>
        <v>0</v>
      </c>
      <c r="DB47" s="1">
        <f t="array" ref="DB47">IFERROR(INDEX(LCIA_Data,MATCH($AO$15&amp;DB$27,LCIA_Rows_B&amp;LCIA_Rows_C,0),MATCH(DB$26,LCIA_Columns,0)),0)*$AT47*$AK47*$BN$23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f t="shared" si="20"/>
        <v>0</v>
      </c>
      <c r="DP47">
        <f t="shared" si="20"/>
        <v>0</v>
      </c>
      <c r="DQ47">
        <f t="shared" si="20"/>
        <v>0</v>
      </c>
      <c r="DR47">
        <f t="shared" si="20"/>
        <v>0</v>
      </c>
      <c r="DS47">
        <f t="shared" si="20"/>
        <v>0</v>
      </c>
      <c r="DT47">
        <f t="shared" si="20"/>
        <v>0</v>
      </c>
      <c r="DU47">
        <f t="shared" si="20"/>
        <v>0</v>
      </c>
      <c r="DV47">
        <f t="shared" si="20"/>
        <v>0</v>
      </c>
      <c r="DW47">
        <f t="shared" si="20"/>
        <v>0</v>
      </c>
      <c r="DX47">
        <f t="shared" si="20"/>
        <v>0</v>
      </c>
      <c r="DY47">
        <f t="shared" si="20"/>
        <v>0</v>
      </c>
      <c r="DZ47">
        <f t="shared" si="20"/>
        <v>0</v>
      </c>
      <c r="EA47">
        <f t="shared" si="20"/>
        <v>0</v>
      </c>
      <c r="EB47">
        <f t="shared" si="21"/>
        <v>0</v>
      </c>
      <c r="EC47"/>
      <c r="ED47"/>
      <c r="EE47"/>
      <c r="EF47"/>
      <c r="EG47"/>
    </row>
    <row r="48" spans="2:137" ht="15" customHeight="1" thickBot="1">
      <c r="B48" s="53">
        <f t="shared" si="29"/>
        <v>0</v>
      </c>
      <c r="C48" s="32">
        <f t="shared" si="22"/>
        <v>19</v>
      </c>
      <c r="D48" s="47" t="str">
        <f>'Plant Inputs'!$D48</f>
        <v>Form Release Agent</v>
      </c>
      <c r="E48" s="102"/>
      <c r="F48" s="247" t="str">
        <f t="shared" si="28"/>
        <v>gallon</v>
      </c>
      <c r="G48" s="228">
        <f t="shared" si="26"/>
        <v>0</v>
      </c>
      <c r="H48" s="227" t="str">
        <f t="shared" si="7"/>
        <v>short ton</v>
      </c>
      <c r="I48" s="157">
        <f t="shared" si="8"/>
        <v>0</v>
      </c>
      <c r="J48"/>
      <c r="K48"/>
      <c r="L48"/>
      <c r="M48"/>
      <c r="N48"/>
      <c r="O48"/>
      <c r="P48"/>
      <c r="Q48"/>
      <c r="R48"/>
      <c r="S48"/>
      <c r="T48"/>
      <c r="X48" s="67">
        <f t="shared" si="30"/>
        <v>0</v>
      </c>
      <c r="Y48" s="216">
        <f>IF(AND($X48=1,'Plant Inputs'!$Y48=1),1,0)</f>
        <v>0</v>
      </c>
      <c r="Z48" s="216"/>
      <c r="AA48" s="216">
        <f>IF($Y48=0,0,IF('Plant Inputs'!J48="",0,'Plant Inputs'!J48))</f>
        <v>0</v>
      </c>
      <c r="AB48" s="216">
        <f>IF($Y48=0,0,IF('Plant Inputs'!K48="",0,'Plant Inputs'!K48))</f>
        <v>0</v>
      </c>
      <c r="AC48" s="216">
        <f>IF($Y48=0,0,IF('Plant Inputs'!L48="",0,'Plant Inputs'!L48))</f>
        <v>0</v>
      </c>
      <c r="AD48" s="216">
        <f>IF($Y48=0,0,IF('Plant Inputs'!M48="",0,'Plant Inputs'!M48))</f>
        <v>0</v>
      </c>
      <c r="AE48" s="217" t="str">
        <f>'Plant Inputs'!$O48</f>
        <v>mile</v>
      </c>
      <c r="AF48" s="217">
        <f t="shared" si="9"/>
        <v>1.6093473468862911</v>
      </c>
      <c r="AG48" s="216" t="str">
        <f t="shared" si="23"/>
        <v>km/mile</v>
      </c>
      <c r="AH48" s="216">
        <f t="shared" si="31"/>
        <v>0</v>
      </c>
      <c r="AI48" s="216">
        <f t="shared" si="31"/>
        <v>0</v>
      </c>
      <c r="AJ48" s="216">
        <f t="shared" si="31"/>
        <v>0</v>
      </c>
      <c r="AK48" s="216">
        <f t="shared" si="31"/>
        <v>0</v>
      </c>
      <c r="AL48" s="216"/>
      <c r="AM48" s="1" t="str">
        <f t="shared" si="32"/>
        <v>Form Release Agent</v>
      </c>
      <c r="AN48" s="12" t="s">
        <v>128</v>
      </c>
      <c r="AO48">
        <f t="shared" si="33"/>
        <v>0.86599999999999999</v>
      </c>
      <c r="AP48" s="1">
        <f t="shared" si="24"/>
        <v>0</v>
      </c>
      <c r="AQ48" s="1" t="str">
        <f t="shared" si="34"/>
        <v>gallon</v>
      </c>
      <c r="AR48" s="1">
        <f t="shared" si="14"/>
        <v>3.2781667920000006E-3</v>
      </c>
      <c r="AS48" s="87" t="str">
        <f t="shared" si="35"/>
        <v>tonne/gallon</v>
      </c>
      <c r="AT48" s="87">
        <f t="shared" si="36"/>
        <v>0</v>
      </c>
      <c r="AU48" s="87">
        <f t="shared" si="37"/>
        <v>0</v>
      </c>
      <c r="AV48" s="87">
        <f t="shared" si="18"/>
        <v>0</v>
      </c>
      <c r="AW48" t="str">
        <f t="shared" si="38"/>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IFERROR(INDEX(LCIA_Data,MATCH($AO$15&amp;CM$27,LCIA_Rows_B&amp;LCIA_Rows_C,0),MATCH(CM$26,LCIA_Columns,0)),0)*$AT48*$AJ48*$BN$23</f>
        <v>0</v>
      </c>
      <c r="CN48" s="1">
        <f t="array" ref="CN48">IFERROR(INDEX(LCIA_Data,MATCH($AO$15&amp;CN$27,LCIA_Rows_B&amp;LCIA_Rows_C,0),MATCH(CN$26,LCIA_Columns,0)),0)*$AT48*$AJ48*$BN$23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IFERROR(INDEX(LCIA_Data,MATCH($AO$15&amp;DA$27,LCIA_Rows_B&amp;LCIA_Rows_C,0),MATCH(DA$26,LCIA_Columns,0)),0)*$AT48*$AK48*$BN$23</f>
        <v>0</v>
      </c>
      <c r="DB48" s="1">
        <f t="array" ref="DB48">IFERROR(INDEX(LCIA_Data,MATCH($AO$15&amp;DB$27,LCIA_Rows_B&amp;LCIA_Rows_C,0),MATCH(DB$26,LCIA_Columns,0)),0)*$AT48*$AK48*$BN$23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f t="shared" si="20"/>
        <v>0</v>
      </c>
      <c r="DP48">
        <f t="shared" si="20"/>
        <v>0</v>
      </c>
      <c r="DQ48">
        <f t="shared" si="20"/>
        <v>0</v>
      </c>
      <c r="DR48">
        <f t="shared" si="20"/>
        <v>0</v>
      </c>
      <c r="DS48">
        <f t="shared" si="20"/>
        <v>0</v>
      </c>
      <c r="DT48">
        <f t="shared" si="20"/>
        <v>0</v>
      </c>
      <c r="DU48">
        <f t="shared" si="20"/>
        <v>0</v>
      </c>
      <c r="DV48">
        <f t="shared" si="20"/>
        <v>0</v>
      </c>
      <c r="DW48">
        <f t="shared" si="20"/>
        <v>0</v>
      </c>
      <c r="DX48">
        <f t="shared" si="20"/>
        <v>0</v>
      </c>
      <c r="DY48">
        <f t="shared" si="20"/>
        <v>0</v>
      </c>
      <c r="DZ48">
        <f t="shared" si="20"/>
        <v>0</v>
      </c>
      <c r="EA48">
        <f t="shared" si="20"/>
        <v>0</v>
      </c>
      <c r="EB48">
        <f t="shared" si="21"/>
        <v>0</v>
      </c>
      <c r="EC48"/>
      <c r="ED48"/>
      <c r="EE48"/>
      <c r="EF48"/>
      <c r="EG48"/>
    </row>
    <row r="49" spans="2:137" ht="15" customHeight="1">
      <c r="B49" s="53">
        <f t="shared" si="29"/>
        <v>0</v>
      </c>
      <c r="C49" s="221">
        <f t="shared" si="22"/>
        <v>20</v>
      </c>
      <c r="D49" s="222" t="str">
        <f>'Plant Inputs'!$D49</f>
        <v>Rebar</v>
      </c>
      <c r="E49" s="154"/>
      <c r="F49" s="223" t="str">
        <f t="shared" ref="F49:F58" si="39">MassDisplayUnit</f>
        <v>short ton</v>
      </c>
      <c r="G49" s="224">
        <f t="shared" si="26"/>
        <v>0</v>
      </c>
      <c r="H49" s="225" t="str">
        <f t="shared" si="7"/>
        <v>short ton</v>
      </c>
      <c r="I49" s="156">
        <f t="shared" si="8"/>
        <v>0</v>
      </c>
      <c r="J49"/>
      <c r="K49"/>
      <c r="L49"/>
      <c r="M49"/>
      <c r="N49"/>
      <c r="O49"/>
      <c r="P49"/>
      <c r="Q49"/>
      <c r="R49"/>
      <c r="S49"/>
      <c r="T49"/>
      <c r="X49" s="67">
        <f t="shared" si="30"/>
        <v>0</v>
      </c>
      <c r="Y49" s="216">
        <f>IF(AND($X49=1,'Plant Inputs'!$Y49=1),1,0)</f>
        <v>0</v>
      </c>
      <c r="Z49" s="216"/>
      <c r="AA49" s="216">
        <f>IF($Y49=0,0,IF('Plant Inputs'!J49="",0,'Plant Inputs'!J49))</f>
        <v>0</v>
      </c>
      <c r="AB49" s="216">
        <f>IF($Y49=0,0,IF('Plant Inputs'!K49="",0,'Plant Inputs'!K49))</f>
        <v>0</v>
      </c>
      <c r="AC49" s="216">
        <f>IF($Y49=0,0,IF('Plant Inputs'!L49="",0,'Plant Inputs'!L49))</f>
        <v>0</v>
      </c>
      <c r="AD49" s="216">
        <f>IF($Y49=0,0,IF('Plant Inputs'!M49="",0,'Plant Inputs'!M49))</f>
        <v>0</v>
      </c>
      <c r="AE49" s="217" t="str">
        <f>'Plant Inputs'!$O49</f>
        <v>mile</v>
      </c>
      <c r="AF49" s="217">
        <f t="shared" si="9"/>
        <v>1.6093473468862911</v>
      </c>
      <c r="AG49" s="216" t="str">
        <f t="shared" si="23"/>
        <v>km/mile</v>
      </c>
      <c r="AH49" s="216">
        <f t="shared" si="31"/>
        <v>0</v>
      </c>
      <c r="AI49" s="216">
        <f t="shared" si="31"/>
        <v>0</v>
      </c>
      <c r="AJ49" s="216">
        <f t="shared" si="31"/>
        <v>0</v>
      </c>
      <c r="AK49" s="216">
        <f t="shared" si="31"/>
        <v>0</v>
      </c>
      <c r="AL49" s="216"/>
      <c r="AM49" s="1" t="str">
        <f t="shared" si="32"/>
        <v>Rebar</v>
      </c>
      <c r="AN49" t="s">
        <v>127</v>
      </c>
      <c r="AO49">
        <f t="shared" si="33"/>
        <v>0</v>
      </c>
      <c r="AP49" s="1">
        <f t="shared" si="24"/>
        <v>0</v>
      </c>
      <c r="AQ49" s="1" t="str">
        <f t="shared" si="34"/>
        <v>short ton</v>
      </c>
      <c r="AR49" s="1">
        <f t="shared" si="14"/>
        <v>0.90718499588591606</v>
      </c>
      <c r="AS49" s="87" t="str">
        <f t="shared" si="35"/>
        <v>tonne/short ton</v>
      </c>
      <c r="AT49" s="87">
        <f t="shared" si="36"/>
        <v>0</v>
      </c>
      <c r="AU49" s="87">
        <f t="shared" si="37"/>
        <v>0</v>
      </c>
      <c r="AV49" s="87">
        <f t="shared" si="18"/>
        <v>0</v>
      </c>
      <c r="AW49" t="str">
        <f t="shared" si="38"/>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IFERROR(INDEX(LCIA_Data,MATCH($AO$15&amp;CM$27,LCIA_Rows_B&amp;LCIA_Rows_C,0),MATCH(CM$26,LCIA_Columns,0)),0)*$AT49*$AJ49*$BN$23</f>
        <v>0</v>
      </c>
      <c r="CN49" s="1">
        <f t="array" ref="CN49">IFERROR(INDEX(LCIA_Data,MATCH($AO$15&amp;CN$27,LCIA_Rows_B&amp;LCIA_Rows_C,0),MATCH(CN$26,LCIA_Columns,0)),0)*$AT49*$AJ49*$BN$23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IFERROR(INDEX(LCIA_Data,MATCH($AO$15&amp;DA$27,LCIA_Rows_B&amp;LCIA_Rows_C,0),MATCH(DA$26,LCIA_Columns,0)),0)*$AT49*$AK49*$BN$23</f>
        <v>0</v>
      </c>
      <c r="DB49" s="1">
        <f t="array" ref="DB49">IFERROR(INDEX(LCIA_Data,MATCH($AO$15&amp;DB$27,LCIA_Rows_B&amp;LCIA_Rows_C,0),MATCH(DB$26,LCIA_Columns,0)),0)*$AT49*$AK49*$BN$23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f t="shared" si="20"/>
        <v>0</v>
      </c>
      <c r="DP49">
        <f t="shared" si="20"/>
        <v>0</v>
      </c>
      <c r="DQ49">
        <f t="shared" si="20"/>
        <v>0</v>
      </c>
      <c r="DR49">
        <f t="shared" si="20"/>
        <v>0</v>
      </c>
      <c r="DS49">
        <f t="shared" si="20"/>
        <v>0</v>
      </c>
      <c r="DT49">
        <f t="shared" si="20"/>
        <v>0</v>
      </c>
      <c r="DU49">
        <f t="shared" si="20"/>
        <v>0</v>
      </c>
      <c r="DV49">
        <f t="shared" si="20"/>
        <v>0</v>
      </c>
      <c r="DW49">
        <f t="shared" ref="DW49:EA64" si="40">BU49+CI49+CU49+DI49</f>
        <v>0</v>
      </c>
      <c r="DX49">
        <f t="shared" si="40"/>
        <v>0</v>
      </c>
      <c r="DY49">
        <f t="shared" si="40"/>
        <v>0</v>
      </c>
      <c r="DZ49">
        <f t="shared" si="40"/>
        <v>0</v>
      </c>
      <c r="EA49">
        <f t="shared" si="40"/>
        <v>0</v>
      </c>
      <c r="EB49">
        <f t="shared" si="21"/>
        <v>0</v>
      </c>
      <c r="EC49"/>
      <c r="ED49"/>
      <c r="EE49"/>
      <c r="EF49"/>
      <c r="EG49"/>
    </row>
    <row r="50" spans="2:137" ht="15" customHeight="1">
      <c r="B50" s="53">
        <f t="shared" si="29"/>
        <v>0</v>
      </c>
      <c r="C50" s="26">
        <f t="shared" si="22"/>
        <v>21</v>
      </c>
      <c r="D50" s="46" t="str">
        <f>'Plant Inputs'!$D50</f>
        <v>Welded Wire Reinforcement (WWR)</v>
      </c>
      <c r="E50" s="99"/>
      <c r="F50" s="119" t="str">
        <f t="shared" si="39"/>
        <v>short ton</v>
      </c>
      <c r="G50" s="158">
        <f t="shared" si="26"/>
        <v>0</v>
      </c>
      <c r="H50" s="204" t="str">
        <f t="shared" si="7"/>
        <v>short ton</v>
      </c>
      <c r="I50" s="156">
        <f t="shared" si="8"/>
        <v>0</v>
      </c>
      <c r="J50"/>
      <c r="K50"/>
      <c r="L50"/>
      <c r="M50"/>
      <c r="N50"/>
      <c r="O50"/>
      <c r="P50"/>
      <c r="Q50"/>
      <c r="R50"/>
      <c r="S50"/>
      <c r="T50"/>
      <c r="X50" s="67">
        <f t="shared" si="30"/>
        <v>0</v>
      </c>
      <c r="Y50" s="216">
        <f>IF(AND($X50=1,'Plant Inputs'!$Y50=1),1,0)</f>
        <v>0</v>
      </c>
      <c r="Z50" s="216"/>
      <c r="AA50" s="216">
        <f>IF($Y50=0,0,IF('Plant Inputs'!J50="",0,'Plant Inputs'!J50))</f>
        <v>0</v>
      </c>
      <c r="AB50" s="216">
        <f>IF($Y50=0,0,IF('Plant Inputs'!K50="",0,'Plant Inputs'!K50))</f>
        <v>0</v>
      </c>
      <c r="AC50" s="216">
        <f>IF($Y50=0,0,IF('Plant Inputs'!L50="",0,'Plant Inputs'!L50))</f>
        <v>0</v>
      </c>
      <c r="AD50" s="216">
        <f>IF($Y50=0,0,IF('Plant Inputs'!M50="",0,'Plant Inputs'!M50))</f>
        <v>0</v>
      </c>
      <c r="AE50" s="217" t="str">
        <f>'Plant Inputs'!$O50</f>
        <v>mile</v>
      </c>
      <c r="AF50" s="217">
        <f t="shared" si="9"/>
        <v>1.6093473468862911</v>
      </c>
      <c r="AG50" s="216" t="str">
        <f t="shared" si="23"/>
        <v>km/mile</v>
      </c>
      <c r="AH50" s="216">
        <f t="shared" si="31"/>
        <v>0</v>
      </c>
      <c r="AI50" s="216">
        <f t="shared" si="31"/>
        <v>0</v>
      </c>
      <c r="AJ50" s="216">
        <f t="shared" si="31"/>
        <v>0</v>
      </c>
      <c r="AK50" s="216">
        <f t="shared" si="31"/>
        <v>0</v>
      </c>
      <c r="AL50" s="216"/>
      <c r="AM50" s="1" t="str">
        <f t="shared" si="32"/>
        <v>Welded Wire Reinforcement (WWR)</v>
      </c>
      <c r="AN50" t="s">
        <v>127</v>
      </c>
      <c r="AO50">
        <f t="shared" si="33"/>
        <v>0</v>
      </c>
      <c r="AP50" s="1">
        <f t="shared" si="24"/>
        <v>0</v>
      </c>
      <c r="AQ50" s="1" t="str">
        <f t="shared" si="34"/>
        <v>short ton</v>
      </c>
      <c r="AR50" s="1">
        <f t="shared" si="14"/>
        <v>0.90718499588591606</v>
      </c>
      <c r="AS50" s="87" t="str">
        <f t="shared" si="35"/>
        <v>tonne/short ton</v>
      </c>
      <c r="AT50" s="87">
        <f t="shared" si="36"/>
        <v>0</v>
      </c>
      <c r="AU50" s="87">
        <f t="shared" si="37"/>
        <v>0</v>
      </c>
      <c r="AV50" s="87">
        <f t="shared" si="18"/>
        <v>0</v>
      </c>
      <c r="AW50" t="str">
        <f t="shared" si="38"/>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IFERROR(INDEX(LCIA_Data,MATCH($AO$15&amp;CM$27,LCIA_Rows_B&amp;LCIA_Rows_C,0),MATCH(CM$26,LCIA_Columns,0)),0)*$AT50*$AJ50*$BN$23</f>
        <v>0</v>
      </c>
      <c r="CN50" s="1">
        <f t="array" ref="CN50">IFERROR(INDEX(LCIA_Data,MATCH($AO$15&amp;CN$27,LCIA_Rows_B&amp;LCIA_Rows_C,0),MATCH(CN$26,LCIA_Columns,0)),0)*$AT50*$AJ50*$BN$23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IFERROR(INDEX(LCIA_Data,MATCH($AO$15&amp;DA$27,LCIA_Rows_B&amp;LCIA_Rows_C,0),MATCH(DA$26,LCIA_Columns,0)),0)*$AT50*$AK50*$BN$23</f>
        <v>0</v>
      </c>
      <c r="DB50" s="1">
        <f t="array" ref="DB50">IFERROR(INDEX(LCIA_Data,MATCH($AO$15&amp;DB$27,LCIA_Rows_B&amp;LCIA_Rows_C,0),MATCH(DB$26,LCIA_Columns,0)),0)*$AT50*$AK50*$BN$23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f t="shared" ref="DO50:DV64" si="41">BM50+CA50+CM50+DA50</f>
        <v>0</v>
      </c>
      <c r="DP50">
        <f t="shared" si="41"/>
        <v>0</v>
      </c>
      <c r="DQ50">
        <f t="shared" si="41"/>
        <v>0</v>
      </c>
      <c r="DR50">
        <f t="shared" si="41"/>
        <v>0</v>
      </c>
      <c r="DS50">
        <f t="shared" si="41"/>
        <v>0</v>
      </c>
      <c r="DT50">
        <f t="shared" si="41"/>
        <v>0</v>
      </c>
      <c r="DU50">
        <f t="shared" si="41"/>
        <v>0</v>
      </c>
      <c r="DV50">
        <f t="shared" si="41"/>
        <v>0</v>
      </c>
      <c r="DW50">
        <f t="shared" si="40"/>
        <v>0</v>
      </c>
      <c r="DX50">
        <f t="shared" si="40"/>
        <v>0</v>
      </c>
      <c r="DY50">
        <f t="shared" si="40"/>
        <v>0</v>
      </c>
      <c r="DZ50">
        <f t="shared" si="40"/>
        <v>0</v>
      </c>
      <c r="EA50">
        <f t="shared" si="40"/>
        <v>0</v>
      </c>
      <c r="EB50">
        <f t="shared" si="21"/>
        <v>0</v>
      </c>
      <c r="EC50"/>
      <c r="ED50"/>
      <c r="EE50"/>
      <c r="EF50"/>
      <c r="EG50"/>
    </row>
    <row r="51" spans="2:137" ht="15" customHeight="1" thickBot="1">
      <c r="B51" s="53">
        <f t="shared" si="29"/>
        <v>0</v>
      </c>
      <c r="C51" s="32">
        <f t="shared" si="22"/>
        <v>22</v>
      </c>
      <c r="D51" s="47" t="str">
        <f>'Plant Inputs'!$D51</f>
        <v>Steel Anchors</v>
      </c>
      <c r="E51" s="102"/>
      <c r="F51" s="231" t="str">
        <f t="shared" si="39"/>
        <v>short ton</v>
      </c>
      <c r="G51" s="228">
        <f t="shared" si="26"/>
        <v>0</v>
      </c>
      <c r="H51" s="227" t="str">
        <f t="shared" si="7"/>
        <v>short ton</v>
      </c>
      <c r="I51" s="397">
        <f t="shared" si="8"/>
        <v>0</v>
      </c>
      <c r="J51"/>
      <c r="K51"/>
      <c r="L51"/>
      <c r="M51"/>
      <c r="N51"/>
      <c r="O51"/>
      <c r="P51"/>
      <c r="Q51"/>
      <c r="R51"/>
      <c r="S51"/>
      <c r="T51"/>
      <c r="X51" s="67">
        <f t="shared" si="30"/>
        <v>0</v>
      </c>
      <c r="Y51" s="216">
        <f>IF(AND($X51=1,'Plant Inputs'!$Y51=1),1,0)</f>
        <v>0</v>
      </c>
      <c r="Z51" s="216"/>
      <c r="AA51" s="216">
        <f>IF($Y51=0,0,IF('Plant Inputs'!J51="",0,'Plant Inputs'!J51))</f>
        <v>0</v>
      </c>
      <c r="AB51" s="216">
        <f>IF($Y51=0,0,IF('Plant Inputs'!K51="",0,'Plant Inputs'!K51))</f>
        <v>0</v>
      </c>
      <c r="AC51" s="216">
        <f>IF($Y51=0,0,IF('Plant Inputs'!L51="",0,'Plant Inputs'!L51))</f>
        <v>0</v>
      </c>
      <c r="AD51" s="216">
        <f>IF($Y51=0,0,IF('Plant Inputs'!M51="",0,'Plant Inputs'!M51))</f>
        <v>0</v>
      </c>
      <c r="AE51" s="217" t="str">
        <f>'Plant Inputs'!$O51</f>
        <v>mile</v>
      </c>
      <c r="AF51" s="217">
        <f t="shared" si="9"/>
        <v>1.6093473468862911</v>
      </c>
      <c r="AG51" s="216" t="str">
        <f t="shared" si="23"/>
        <v>km/mile</v>
      </c>
      <c r="AH51" s="216">
        <f t="shared" si="31"/>
        <v>0</v>
      </c>
      <c r="AI51" s="216">
        <f t="shared" si="31"/>
        <v>0</v>
      </c>
      <c r="AJ51" s="216">
        <f t="shared" si="31"/>
        <v>0</v>
      </c>
      <c r="AK51" s="216">
        <f t="shared" si="31"/>
        <v>0</v>
      </c>
      <c r="AL51" s="216"/>
      <c r="AM51" s="1" t="str">
        <f t="shared" si="32"/>
        <v>Steel Anchors</v>
      </c>
      <c r="AN51" t="s">
        <v>127</v>
      </c>
      <c r="AO51">
        <f t="shared" si="33"/>
        <v>0</v>
      </c>
      <c r="AP51" s="1">
        <f t="shared" si="24"/>
        <v>0</v>
      </c>
      <c r="AQ51" s="1" t="str">
        <f t="shared" si="34"/>
        <v>short ton</v>
      </c>
      <c r="AR51" s="1">
        <f t="shared" si="14"/>
        <v>0.90718499588591606</v>
      </c>
      <c r="AS51" s="87" t="str">
        <f t="shared" si="35"/>
        <v>tonne/short ton</v>
      </c>
      <c r="AT51" s="87">
        <f t="shared" si="36"/>
        <v>0</v>
      </c>
      <c r="AU51" s="87">
        <f t="shared" si="37"/>
        <v>0</v>
      </c>
      <c r="AV51" s="87">
        <f t="shared" si="18"/>
        <v>0</v>
      </c>
      <c r="AW51" t="str">
        <f t="shared" si="38"/>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IFERROR(INDEX(LCIA_Data,MATCH($AO$15&amp;CM$27,LCIA_Rows_B&amp;LCIA_Rows_C,0),MATCH(CM$26,LCIA_Columns,0)),0)*$AT51*$AJ51*$BN$23</f>
        <v>0</v>
      </c>
      <c r="CN51" s="1">
        <f t="array" ref="CN51">IFERROR(INDEX(LCIA_Data,MATCH($AO$15&amp;CN$27,LCIA_Rows_B&amp;LCIA_Rows_C,0),MATCH(CN$26,LCIA_Columns,0)),0)*$AT51*$AJ51*$BN$23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IFERROR(INDEX(LCIA_Data,MATCH($AO$15&amp;DA$27,LCIA_Rows_B&amp;LCIA_Rows_C,0),MATCH(DA$26,LCIA_Columns,0)),0)*$AT51*$AK51*$BN$23</f>
        <v>0</v>
      </c>
      <c r="DB51" s="1">
        <f t="array" ref="DB51">IFERROR(INDEX(LCIA_Data,MATCH($AO$15&amp;DB$27,LCIA_Rows_B&amp;LCIA_Rows_C,0),MATCH(DB$26,LCIA_Columns,0)),0)*$AT51*$AK51*$BN$23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f t="shared" si="41"/>
        <v>0</v>
      </c>
      <c r="DP51">
        <f t="shared" si="41"/>
        <v>0</v>
      </c>
      <c r="DQ51">
        <f t="shared" si="41"/>
        <v>0</v>
      </c>
      <c r="DR51">
        <f t="shared" si="41"/>
        <v>0</v>
      </c>
      <c r="DS51">
        <f t="shared" si="41"/>
        <v>0</v>
      </c>
      <c r="DT51">
        <f t="shared" si="41"/>
        <v>0</v>
      </c>
      <c r="DU51">
        <f t="shared" si="41"/>
        <v>0</v>
      </c>
      <c r="DV51">
        <f t="shared" si="41"/>
        <v>0</v>
      </c>
      <c r="DW51">
        <f t="shared" si="40"/>
        <v>0</v>
      </c>
      <c r="DX51">
        <f t="shared" si="40"/>
        <v>0</v>
      </c>
      <c r="DY51">
        <f t="shared" si="40"/>
        <v>0</v>
      </c>
      <c r="DZ51">
        <f t="shared" si="40"/>
        <v>0</v>
      </c>
      <c r="EA51">
        <f t="shared" si="40"/>
        <v>0</v>
      </c>
      <c r="EB51">
        <f t="shared" si="21"/>
        <v>0</v>
      </c>
      <c r="EC51"/>
      <c r="ED51"/>
      <c r="EE51"/>
      <c r="EF51"/>
      <c r="EG51"/>
    </row>
    <row r="52" spans="2:137" ht="15" customHeight="1">
      <c r="B52" s="53">
        <f t="shared" si="29"/>
        <v>0</v>
      </c>
      <c r="C52" s="221">
        <f t="shared" si="22"/>
        <v>23</v>
      </c>
      <c r="D52" s="222" t="str">
        <f>'Plant Inputs'!$D52</f>
        <v>Steel Stressing Strand</v>
      </c>
      <c r="E52" s="154"/>
      <c r="F52" s="223" t="str">
        <f t="shared" si="39"/>
        <v>short ton</v>
      </c>
      <c r="G52" s="224">
        <f t="shared" si="26"/>
        <v>0</v>
      </c>
      <c r="H52" s="225" t="str">
        <f t="shared" si="7"/>
        <v>short ton</v>
      </c>
      <c r="I52" s="156">
        <f t="shared" si="8"/>
        <v>0</v>
      </c>
      <c r="J52"/>
      <c r="K52"/>
      <c r="L52"/>
      <c r="M52"/>
      <c r="N52"/>
      <c r="O52"/>
      <c r="P52"/>
      <c r="Q52"/>
      <c r="R52"/>
      <c r="S52"/>
      <c r="T52"/>
      <c r="X52" s="67">
        <f t="shared" si="30"/>
        <v>0</v>
      </c>
      <c r="Y52" s="216">
        <f>IF(AND($X52=1,'Plant Inputs'!$Y52=1),1,0)</f>
        <v>0</v>
      </c>
      <c r="Z52" s="216"/>
      <c r="AA52" s="216">
        <f>IF($Y52=0,0,IF('Plant Inputs'!J52="",0,'Plant Inputs'!J52))</f>
        <v>0</v>
      </c>
      <c r="AB52" s="216">
        <f>IF($Y52=0,0,IF('Plant Inputs'!K52="",0,'Plant Inputs'!K52))</f>
        <v>0</v>
      </c>
      <c r="AC52" s="216">
        <f>IF($Y52=0,0,IF('Plant Inputs'!L52="",0,'Plant Inputs'!L52))</f>
        <v>0</v>
      </c>
      <c r="AD52" s="216">
        <f>IF($Y52=0,0,IF('Plant Inputs'!M52="",0,'Plant Inputs'!M52))</f>
        <v>0</v>
      </c>
      <c r="AE52" s="217" t="str">
        <f>'Plant Inputs'!$O52</f>
        <v>mile</v>
      </c>
      <c r="AF52" s="217">
        <f t="shared" si="9"/>
        <v>1.6093473468862911</v>
      </c>
      <c r="AG52" s="216" t="str">
        <f t="shared" si="23"/>
        <v>km/mile</v>
      </c>
      <c r="AH52" s="216">
        <f t="shared" si="31"/>
        <v>0</v>
      </c>
      <c r="AI52" s="216">
        <f t="shared" si="31"/>
        <v>0</v>
      </c>
      <c r="AJ52" s="216">
        <f t="shared" si="31"/>
        <v>0</v>
      </c>
      <c r="AK52" s="216">
        <f t="shared" si="31"/>
        <v>0</v>
      </c>
      <c r="AL52" s="216"/>
      <c r="AM52" s="1" t="str">
        <f t="shared" si="32"/>
        <v>Steel Stressing Strand</v>
      </c>
      <c r="AN52" t="s">
        <v>127</v>
      </c>
      <c r="AO52">
        <f t="shared" si="33"/>
        <v>0</v>
      </c>
      <c r="AP52" s="1">
        <f t="shared" si="24"/>
        <v>0</v>
      </c>
      <c r="AQ52" s="1" t="str">
        <f t="shared" si="34"/>
        <v>short ton</v>
      </c>
      <c r="AR52" s="1">
        <f t="shared" si="14"/>
        <v>0.90718499588591606</v>
      </c>
      <c r="AS52" s="87" t="str">
        <f t="shared" si="35"/>
        <v>tonne/short ton</v>
      </c>
      <c r="AT52" s="87">
        <f t="shared" si="36"/>
        <v>0</v>
      </c>
      <c r="AU52" s="87">
        <f t="shared" si="37"/>
        <v>0</v>
      </c>
      <c r="AV52" s="87">
        <f t="shared" si="18"/>
        <v>0</v>
      </c>
      <c r="AW52" t="str">
        <f t="shared" si="38"/>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IFERROR(INDEX(LCIA_Data,MATCH($AO$15&amp;CM$27,LCIA_Rows_B&amp;LCIA_Rows_C,0),MATCH(CM$26,LCIA_Columns,0)),0)*$AT52*$AJ52*$BN$23</f>
        <v>0</v>
      </c>
      <c r="CN52" s="1">
        <f t="array" ref="CN52">IFERROR(INDEX(LCIA_Data,MATCH($AO$15&amp;CN$27,LCIA_Rows_B&amp;LCIA_Rows_C,0),MATCH(CN$26,LCIA_Columns,0)),0)*$AT52*$AJ52*$BN$23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IFERROR(INDEX(LCIA_Data,MATCH($AO$15&amp;DA$27,LCIA_Rows_B&amp;LCIA_Rows_C,0),MATCH(DA$26,LCIA_Columns,0)),0)*$AT52*$AK52*$BN$23</f>
        <v>0</v>
      </c>
      <c r="DB52" s="1">
        <f t="array" ref="DB52">IFERROR(INDEX(LCIA_Data,MATCH($AO$15&amp;DB$27,LCIA_Rows_B&amp;LCIA_Rows_C,0),MATCH(DB$26,LCIA_Columns,0)),0)*$AT52*$AK52*$BN$23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f t="shared" si="41"/>
        <v>0</v>
      </c>
      <c r="DP52">
        <f t="shared" si="41"/>
        <v>0</v>
      </c>
      <c r="DQ52">
        <f t="shared" si="41"/>
        <v>0</v>
      </c>
      <c r="DR52">
        <f t="shared" si="41"/>
        <v>0</v>
      </c>
      <c r="DS52">
        <f t="shared" si="41"/>
        <v>0</v>
      </c>
      <c r="DT52">
        <f t="shared" si="41"/>
        <v>0</v>
      </c>
      <c r="DU52">
        <f t="shared" si="41"/>
        <v>0</v>
      </c>
      <c r="DV52">
        <f t="shared" si="41"/>
        <v>0</v>
      </c>
      <c r="DW52">
        <f t="shared" si="40"/>
        <v>0</v>
      </c>
      <c r="DX52">
        <f t="shared" si="40"/>
        <v>0</v>
      </c>
      <c r="DY52">
        <f t="shared" si="40"/>
        <v>0</v>
      </c>
      <c r="DZ52">
        <f t="shared" si="40"/>
        <v>0</v>
      </c>
      <c r="EA52">
        <f t="shared" si="40"/>
        <v>0</v>
      </c>
      <c r="EB52">
        <f t="shared" si="21"/>
        <v>0</v>
      </c>
      <c r="EC52"/>
      <c r="ED52"/>
      <c r="EE52"/>
      <c r="EF52"/>
      <c r="EG52"/>
    </row>
    <row r="53" spans="2:137" ht="15" customHeight="1">
      <c r="B53" s="53">
        <f t="shared" si="29"/>
        <v>0</v>
      </c>
      <c r="C53" s="233">
        <f t="shared" si="22"/>
        <v>24</v>
      </c>
      <c r="D53" s="244" t="str">
        <f>'Plant Inputs'!$D53</f>
        <v>Carbon Fibre Reinforced Polymer (CFRP) strand</v>
      </c>
      <c r="E53" s="101"/>
      <c r="F53" s="235" t="str">
        <f t="shared" si="39"/>
        <v>short ton</v>
      </c>
      <c r="G53" s="236">
        <f t="shared" si="26"/>
        <v>0</v>
      </c>
      <c r="H53" s="237" t="str">
        <f t="shared" si="7"/>
        <v>short ton</v>
      </c>
      <c r="I53" s="398">
        <f t="shared" si="8"/>
        <v>0</v>
      </c>
      <c r="J53"/>
      <c r="K53"/>
      <c r="L53"/>
      <c r="M53"/>
      <c r="N53"/>
      <c r="O53"/>
      <c r="P53"/>
      <c r="Q53"/>
      <c r="R53"/>
      <c r="S53"/>
      <c r="T53"/>
      <c r="X53" s="67">
        <f t="shared" si="30"/>
        <v>0</v>
      </c>
      <c r="Y53" s="216">
        <f>IF(AND($X53=1,'Plant Inputs'!$Y53=1),1,0)</f>
        <v>0</v>
      </c>
      <c r="Z53" s="216"/>
      <c r="AA53" s="216">
        <f>IF($Y53=0,0,IF('Plant Inputs'!J53="",0,'Plant Inputs'!J53))</f>
        <v>0</v>
      </c>
      <c r="AB53" s="216">
        <f>IF($Y53=0,0,IF('Plant Inputs'!K53="",0,'Plant Inputs'!K53))</f>
        <v>0</v>
      </c>
      <c r="AC53" s="216">
        <f>IF($Y53=0,0,IF('Plant Inputs'!L53="",0,'Plant Inputs'!L53))</f>
        <v>0</v>
      </c>
      <c r="AD53" s="216">
        <f>IF($Y53=0,0,IF('Plant Inputs'!M53="",0,'Plant Inputs'!M53))</f>
        <v>0</v>
      </c>
      <c r="AE53" s="217" t="str">
        <f>'Plant Inputs'!$O53</f>
        <v>mile</v>
      </c>
      <c r="AF53" s="217">
        <f t="shared" si="9"/>
        <v>1.6093473468862911</v>
      </c>
      <c r="AG53" s="216" t="str">
        <f t="shared" si="23"/>
        <v>km/mile</v>
      </c>
      <c r="AH53" s="216">
        <f>AA53*$AF53</f>
        <v>0</v>
      </c>
      <c r="AI53" s="216">
        <f>AB53*$AF53</f>
        <v>0</v>
      </c>
      <c r="AJ53" s="216">
        <f>AC53*$AF53</f>
        <v>0</v>
      </c>
      <c r="AK53" s="216">
        <f>AD53*$AF53</f>
        <v>0</v>
      </c>
      <c r="AL53" s="216"/>
      <c r="AM53" s="1" t="str">
        <f t="shared" si="32"/>
        <v>Carbon Fibre Reinforced Polymer (CFRP) strand</v>
      </c>
      <c r="AN53" s="12" t="s">
        <v>127</v>
      </c>
      <c r="AO53">
        <f t="shared" si="33"/>
        <v>0</v>
      </c>
      <c r="AP53" s="1">
        <f t="shared" si="24"/>
        <v>0</v>
      </c>
      <c r="AQ53" s="1" t="str">
        <f t="shared" si="34"/>
        <v>short ton</v>
      </c>
      <c r="AR53" s="1">
        <f t="shared" si="14"/>
        <v>0.90718499588591606</v>
      </c>
      <c r="AS53" s="87" t="str">
        <f t="shared" si="35"/>
        <v>tonne/short ton</v>
      </c>
      <c r="AT53" s="87">
        <f t="shared" si="36"/>
        <v>0</v>
      </c>
      <c r="AU53" s="87">
        <f t="shared" si="37"/>
        <v>0</v>
      </c>
      <c r="AV53" s="87">
        <f t="shared" si="18"/>
        <v>0</v>
      </c>
      <c r="AW53" t="str">
        <f t="shared" si="38"/>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IFERROR(INDEX(LCIA_Data,MATCH($AO$15&amp;CM$27,LCIA_Rows_B&amp;LCIA_Rows_C,0),MATCH(CM$26,LCIA_Columns,0)),0)*$AT53*$AJ53*$BN$23</f>
        <v>0</v>
      </c>
      <c r="CN53" s="1">
        <f t="array" ref="CN53">IFERROR(INDEX(LCIA_Data,MATCH($AO$15&amp;CN$27,LCIA_Rows_B&amp;LCIA_Rows_C,0),MATCH(CN$26,LCIA_Columns,0)),0)*$AT53*$AJ53*$BN$23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IFERROR(INDEX(LCIA_Data,MATCH($AO$15&amp;DA$27,LCIA_Rows_B&amp;LCIA_Rows_C,0),MATCH(DA$26,LCIA_Columns,0)),0)*$AT53*$AK53*$BN$23</f>
        <v>0</v>
      </c>
      <c r="DB53" s="1">
        <f t="array" ref="DB53">IFERROR(INDEX(LCIA_Data,MATCH($AO$15&amp;DB$27,LCIA_Rows_B&amp;LCIA_Rows_C,0),MATCH(DB$26,LCIA_Columns,0)),0)*$AT53*$AK53*$BN$23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f t="shared" si="41"/>
        <v>0</v>
      </c>
      <c r="DP53">
        <f t="shared" si="41"/>
        <v>0</v>
      </c>
      <c r="DQ53">
        <f t="shared" si="41"/>
        <v>0</v>
      </c>
      <c r="DR53">
        <f t="shared" si="41"/>
        <v>0</v>
      </c>
      <c r="DS53">
        <f t="shared" si="41"/>
        <v>0</v>
      </c>
      <c r="DT53">
        <f t="shared" si="41"/>
        <v>0</v>
      </c>
      <c r="DU53">
        <f t="shared" si="41"/>
        <v>0</v>
      </c>
      <c r="DV53">
        <f t="shared" si="41"/>
        <v>0</v>
      </c>
      <c r="DW53">
        <f t="shared" si="40"/>
        <v>0</v>
      </c>
      <c r="DX53">
        <f t="shared" si="40"/>
        <v>0</v>
      </c>
      <c r="DY53">
        <f t="shared" si="40"/>
        <v>0</v>
      </c>
      <c r="DZ53">
        <f t="shared" si="40"/>
        <v>0</v>
      </c>
      <c r="EA53">
        <f t="shared" si="40"/>
        <v>0</v>
      </c>
      <c r="EB53">
        <f t="shared" si="21"/>
        <v>0</v>
      </c>
      <c r="EC53"/>
      <c r="ED53"/>
      <c r="EE53"/>
      <c r="EF53"/>
      <c r="EG53"/>
    </row>
    <row r="54" spans="2:137" ht="15" customHeight="1">
      <c r="B54" s="53">
        <f t="shared" si="29"/>
        <v>0</v>
      </c>
      <c r="C54" s="26">
        <f t="shared" si="22"/>
        <v>25</v>
      </c>
      <c r="D54" s="46" t="str">
        <f>'Plant Inputs'!$D54</f>
        <v>Polypropylene Fibers</v>
      </c>
      <c r="E54" s="99"/>
      <c r="F54" s="119" t="str">
        <f t="shared" si="39"/>
        <v>short ton</v>
      </c>
      <c r="G54" s="158">
        <f t="shared" si="26"/>
        <v>0</v>
      </c>
      <c r="H54" s="204" t="str">
        <f t="shared" si="7"/>
        <v>short ton</v>
      </c>
      <c r="I54" s="399">
        <f t="shared" si="8"/>
        <v>0</v>
      </c>
      <c r="J54"/>
      <c r="K54"/>
      <c r="L54"/>
      <c r="M54"/>
      <c r="N54"/>
      <c r="O54"/>
      <c r="P54"/>
      <c r="Q54"/>
      <c r="R54"/>
      <c r="S54"/>
      <c r="T54"/>
      <c r="X54" s="67">
        <f t="shared" si="30"/>
        <v>0</v>
      </c>
      <c r="Y54" s="216">
        <f>IF(AND($X54=1,'Plant Inputs'!$Y54=1),1,0)</f>
        <v>0</v>
      </c>
      <c r="Z54" s="216"/>
      <c r="AA54" s="216">
        <f>IF($Y54=0,0,IF('Plant Inputs'!J54="",0,'Plant Inputs'!J54))</f>
        <v>0</v>
      </c>
      <c r="AB54" s="216">
        <f>IF($Y54=0,0,IF('Plant Inputs'!K54="",0,'Plant Inputs'!K54))</f>
        <v>0</v>
      </c>
      <c r="AC54" s="216">
        <f>IF($Y54=0,0,IF('Plant Inputs'!L54="",0,'Plant Inputs'!L54))</f>
        <v>0</v>
      </c>
      <c r="AD54" s="216">
        <f>IF($Y54=0,0,IF('Plant Inputs'!M54="",0,'Plant Inputs'!M54))</f>
        <v>0</v>
      </c>
      <c r="AE54" s="217" t="str">
        <f>'Plant Inputs'!$O54</f>
        <v>mile</v>
      </c>
      <c r="AF54" s="217">
        <f t="shared" si="9"/>
        <v>1.6093473468862911</v>
      </c>
      <c r="AG54" s="216" t="str">
        <f t="shared" si="23"/>
        <v>km/mile</v>
      </c>
      <c r="AH54" s="216">
        <f t="shared" ref="AH54:AK64" si="42">AA54*$AF54</f>
        <v>0</v>
      </c>
      <c r="AI54" s="216">
        <f t="shared" si="42"/>
        <v>0</v>
      </c>
      <c r="AJ54" s="216">
        <f t="shared" si="42"/>
        <v>0</v>
      </c>
      <c r="AK54" s="216">
        <f t="shared" si="42"/>
        <v>0</v>
      </c>
      <c r="AL54" s="216"/>
      <c r="AM54" s="1" t="str">
        <f t="shared" si="32"/>
        <v>Polypropylene Fibers</v>
      </c>
      <c r="AN54" s="12" t="s">
        <v>127</v>
      </c>
      <c r="AO54">
        <f t="shared" si="33"/>
        <v>0</v>
      </c>
      <c r="AP54" s="1">
        <f t="shared" si="24"/>
        <v>0</v>
      </c>
      <c r="AQ54" s="1" t="str">
        <f t="shared" si="34"/>
        <v>short ton</v>
      </c>
      <c r="AR54" s="1">
        <f t="shared" si="14"/>
        <v>0.90718499588591606</v>
      </c>
      <c r="AS54" s="87" t="str">
        <f t="shared" si="35"/>
        <v>tonne/short ton</v>
      </c>
      <c r="AT54" s="87">
        <f t="shared" si="36"/>
        <v>0</v>
      </c>
      <c r="AU54" s="87">
        <f t="shared" si="37"/>
        <v>0</v>
      </c>
      <c r="AV54" s="87">
        <f t="shared" si="18"/>
        <v>0</v>
      </c>
      <c r="AW54" t="str">
        <f t="shared" si="38"/>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IFERROR(INDEX(LCIA_Data,MATCH($AO$15&amp;CM$27,LCIA_Rows_B&amp;LCIA_Rows_C,0),MATCH(CM$26,LCIA_Columns,0)),0)*$AT54*$AJ54*$BN$23</f>
        <v>0</v>
      </c>
      <c r="CN54" s="1">
        <f t="array" ref="CN54">IFERROR(INDEX(LCIA_Data,MATCH($AO$15&amp;CN$27,LCIA_Rows_B&amp;LCIA_Rows_C,0),MATCH(CN$26,LCIA_Columns,0)),0)*$AT54*$AJ54*$BN$23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IFERROR(INDEX(LCIA_Data,MATCH($AO$15&amp;DA$27,LCIA_Rows_B&amp;LCIA_Rows_C,0),MATCH(DA$26,LCIA_Columns,0)),0)*$AT54*$AK54*$BN$23</f>
        <v>0</v>
      </c>
      <c r="DB54" s="1">
        <f t="array" ref="DB54">IFERROR(INDEX(LCIA_Data,MATCH($AO$15&amp;DB$27,LCIA_Rows_B&amp;LCIA_Rows_C,0),MATCH(DB$26,LCIA_Columns,0)),0)*$AT54*$AK54*$BN$23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f t="shared" si="41"/>
        <v>0</v>
      </c>
      <c r="DP54">
        <f t="shared" si="41"/>
        <v>0</v>
      </c>
      <c r="DQ54">
        <f t="shared" si="41"/>
        <v>0</v>
      </c>
      <c r="DR54">
        <f t="shared" si="41"/>
        <v>0</v>
      </c>
      <c r="DS54">
        <f t="shared" si="41"/>
        <v>0</v>
      </c>
      <c r="DT54">
        <f t="shared" si="41"/>
        <v>0</v>
      </c>
      <c r="DU54">
        <f t="shared" si="41"/>
        <v>0</v>
      </c>
      <c r="DV54">
        <f t="shared" si="41"/>
        <v>0</v>
      </c>
      <c r="DW54">
        <f t="shared" si="40"/>
        <v>0</v>
      </c>
      <c r="DX54">
        <f t="shared" si="40"/>
        <v>0</v>
      </c>
      <c r="DY54">
        <f t="shared" si="40"/>
        <v>0</v>
      </c>
      <c r="DZ54">
        <f t="shared" si="40"/>
        <v>0</v>
      </c>
      <c r="EA54">
        <f t="shared" si="40"/>
        <v>0</v>
      </c>
      <c r="EB54">
        <f t="shared" si="21"/>
        <v>0</v>
      </c>
      <c r="EC54"/>
      <c r="ED54"/>
      <c r="EE54"/>
      <c r="EF54"/>
      <c r="EG54"/>
    </row>
    <row r="55" spans="2:137" ht="15" customHeight="1">
      <c r="B55" s="53">
        <f t="shared" si="29"/>
        <v>0</v>
      </c>
      <c r="C55" s="26">
        <f t="shared" si="22"/>
        <v>26</v>
      </c>
      <c r="D55" s="46" t="str">
        <f>'Plant Inputs'!$D55</f>
        <v>Steel Fibers</v>
      </c>
      <c r="E55" s="99"/>
      <c r="F55" s="119" t="str">
        <f t="shared" si="39"/>
        <v>short ton</v>
      </c>
      <c r="G55" s="158">
        <f t="shared" si="26"/>
        <v>0</v>
      </c>
      <c r="H55" s="204" t="str">
        <f t="shared" si="7"/>
        <v>short ton</v>
      </c>
      <c r="I55" s="156">
        <f t="shared" si="8"/>
        <v>0</v>
      </c>
      <c r="J55"/>
      <c r="K55"/>
      <c r="L55"/>
      <c r="M55"/>
      <c r="N55"/>
      <c r="O55"/>
      <c r="P55"/>
      <c r="Q55"/>
      <c r="R55"/>
      <c r="S55"/>
      <c r="T55"/>
      <c r="X55" s="67">
        <f t="shared" si="30"/>
        <v>0</v>
      </c>
      <c r="Y55" s="216">
        <f>IF(AND($X55=1,'Plant Inputs'!$Y55=1),1,0)</f>
        <v>0</v>
      </c>
      <c r="Z55" s="216"/>
      <c r="AA55" s="216">
        <f>IF($Y55=0,0,IF('Plant Inputs'!J55="",0,'Plant Inputs'!J55))</f>
        <v>0</v>
      </c>
      <c r="AB55" s="216">
        <f>IF($Y55=0,0,IF('Plant Inputs'!K55="",0,'Plant Inputs'!K55))</f>
        <v>0</v>
      </c>
      <c r="AC55" s="216">
        <f>IF($Y55=0,0,IF('Plant Inputs'!L55="",0,'Plant Inputs'!L55))</f>
        <v>0</v>
      </c>
      <c r="AD55" s="216">
        <f>IF($Y55=0,0,IF('Plant Inputs'!M55="",0,'Plant Inputs'!M55))</f>
        <v>0</v>
      </c>
      <c r="AE55" s="217" t="str">
        <f>'Plant Inputs'!$O55</f>
        <v>mile</v>
      </c>
      <c r="AF55" s="217">
        <f t="shared" si="9"/>
        <v>1.6093473468862911</v>
      </c>
      <c r="AG55" s="216" t="str">
        <f t="shared" si="23"/>
        <v>km/mile</v>
      </c>
      <c r="AH55" s="216">
        <f t="shared" si="42"/>
        <v>0</v>
      </c>
      <c r="AI55" s="216">
        <f t="shared" si="42"/>
        <v>0</v>
      </c>
      <c r="AJ55" s="216">
        <f t="shared" si="42"/>
        <v>0</v>
      </c>
      <c r="AK55" s="216">
        <f t="shared" si="42"/>
        <v>0</v>
      </c>
      <c r="AL55" s="216"/>
      <c r="AM55" s="1" t="str">
        <f t="shared" si="32"/>
        <v>Steel Fibers</v>
      </c>
      <c r="AN55" s="12" t="s">
        <v>127</v>
      </c>
      <c r="AO55">
        <f t="shared" si="33"/>
        <v>0</v>
      </c>
      <c r="AP55" s="1">
        <f t="shared" si="24"/>
        <v>0</v>
      </c>
      <c r="AQ55" s="1" t="str">
        <f t="shared" si="34"/>
        <v>short ton</v>
      </c>
      <c r="AR55" s="1">
        <f t="shared" si="14"/>
        <v>0.90718499588591606</v>
      </c>
      <c r="AS55" s="87" t="str">
        <f t="shared" si="35"/>
        <v>tonne/short ton</v>
      </c>
      <c r="AT55" s="87">
        <f t="shared" si="36"/>
        <v>0</v>
      </c>
      <c r="AU55" s="87">
        <f t="shared" si="37"/>
        <v>0</v>
      </c>
      <c r="AV55" s="87">
        <f t="shared" si="18"/>
        <v>0</v>
      </c>
      <c r="AW55" t="str">
        <f t="shared" si="38"/>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IFERROR(INDEX(LCIA_Data,MATCH($AO$15&amp;CM$27,LCIA_Rows_B&amp;LCIA_Rows_C,0),MATCH(CM$26,LCIA_Columns,0)),0)*$AT55*$AJ55*$BN$23</f>
        <v>0</v>
      </c>
      <c r="CN55" s="1">
        <f t="array" ref="CN55">IFERROR(INDEX(LCIA_Data,MATCH($AO$15&amp;CN$27,LCIA_Rows_B&amp;LCIA_Rows_C,0),MATCH(CN$26,LCIA_Columns,0)),0)*$AT55*$AJ55*$BN$23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IFERROR(INDEX(LCIA_Data,MATCH($AO$15&amp;DA$27,LCIA_Rows_B&amp;LCIA_Rows_C,0),MATCH(DA$26,LCIA_Columns,0)),0)*$AT55*$AK55*$BN$23</f>
        <v>0</v>
      </c>
      <c r="DB55" s="1">
        <f t="array" ref="DB55">IFERROR(INDEX(LCIA_Data,MATCH($AO$15&amp;DB$27,LCIA_Rows_B&amp;LCIA_Rows_C,0),MATCH(DB$26,LCIA_Columns,0)),0)*$AT55*$AK55*$BN$23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f t="shared" si="41"/>
        <v>0</v>
      </c>
      <c r="DP55">
        <f t="shared" si="41"/>
        <v>0</v>
      </c>
      <c r="DQ55">
        <f t="shared" si="41"/>
        <v>0</v>
      </c>
      <c r="DR55">
        <f t="shared" si="41"/>
        <v>0</v>
      </c>
      <c r="DS55">
        <f t="shared" si="41"/>
        <v>0</v>
      </c>
      <c r="DT55">
        <f t="shared" si="41"/>
        <v>0</v>
      </c>
      <c r="DU55">
        <f t="shared" si="41"/>
        <v>0</v>
      </c>
      <c r="DV55">
        <f t="shared" si="41"/>
        <v>0</v>
      </c>
      <c r="DW55">
        <f t="shared" si="40"/>
        <v>0</v>
      </c>
      <c r="DX55">
        <f t="shared" si="40"/>
        <v>0</v>
      </c>
      <c r="DY55">
        <f t="shared" si="40"/>
        <v>0</v>
      </c>
      <c r="DZ55">
        <f t="shared" si="40"/>
        <v>0</v>
      </c>
      <c r="EA55">
        <f t="shared" si="40"/>
        <v>0</v>
      </c>
      <c r="EB55">
        <f t="shared" si="21"/>
        <v>0</v>
      </c>
      <c r="EC55"/>
      <c r="ED55"/>
      <c r="EE55"/>
      <c r="EF55"/>
      <c r="EG55"/>
    </row>
    <row r="56" spans="2:137" ht="15" customHeight="1">
      <c r="B56" s="53">
        <f t="shared" si="29"/>
        <v>0</v>
      </c>
      <c r="C56" s="26">
        <f t="shared" si="22"/>
        <v>27</v>
      </c>
      <c r="D56" s="46" t="str">
        <f>'Plant Inputs'!$D56</f>
        <v>Glass Fibre Reinforced Polymer (GFRP) reinforcing bars</v>
      </c>
      <c r="E56" s="99"/>
      <c r="F56" s="119" t="str">
        <f t="shared" si="39"/>
        <v>short ton</v>
      </c>
      <c r="G56" s="158">
        <f t="shared" si="26"/>
        <v>0</v>
      </c>
      <c r="H56" s="204" t="str">
        <f t="shared" si="7"/>
        <v>short ton</v>
      </c>
      <c r="I56" s="156">
        <f t="shared" si="8"/>
        <v>0</v>
      </c>
      <c r="J56"/>
      <c r="K56"/>
      <c r="L56"/>
      <c r="M56"/>
      <c r="N56"/>
      <c r="O56"/>
      <c r="P56"/>
      <c r="Q56"/>
      <c r="R56"/>
      <c r="S56"/>
      <c r="T56"/>
      <c r="X56" s="67">
        <f t="shared" si="30"/>
        <v>0</v>
      </c>
      <c r="Y56" s="216">
        <f>IF(AND($X56=1,'Plant Inputs'!$Y56=1),1,0)</f>
        <v>0</v>
      </c>
      <c r="Z56" s="216"/>
      <c r="AA56" s="216">
        <f>IF($Y56=0,0,IF('Plant Inputs'!J56="",0,'Plant Inputs'!J56))</f>
        <v>0</v>
      </c>
      <c r="AB56" s="216">
        <f>IF($Y56=0,0,IF('Plant Inputs'!K56="",0,'Plant Inputs'!K56))</f>
        <v>0</v>
      </c>
      <c r="AC56" s="216">
        <f>IF($Y56=0,0,IF('Plant Inputs'!L56="",0,'Plant Inputs'!L56))</f>
        <v>0</v>
      </c>
      <c r="AD56" s="216">
        <f>IF($Y56=0,0,IF('Plant Inputs'!M56="",0,'Plant Inputs'!M56))</f>
        <v>0</v>
      </c>
      <c r="AE56" s="217" t="str">
        <f>'Plant Inputs'!$O56</f>
        <v>mile</v>
      </c>
      <c r="AF56" s="217">
        <f t="shared" si="9"/>
        <v>1.6093473468862911</v>
      </c>
      <c r="AG56" s="216" t="str">
        <f t="shared" si="23"/>
        <v>km/mile</v>
      </c>
      <c r="AH56" s="216">
        <f t="shared" si="42"/>
        <v>0</v>
      </c>
      <c r="AI56" s="216">
        <f t="shared" si="42"/>
        <v>0</v>
      </c>
      <c r="AJ56" s="216">
        <f t="shared" si="42"/>
        <v>0</v>
      </c>
      <c r="AK56" s="216">
        <f t="shared" si="42"/>
        <v>0</v>
      </c>
      <c r="AL56" s="216"/>
      <c r="AM56" s="1" t="str">
        <f t="shared" si="32"/>
        <v>Glass Fibre Reinforced Polymer (GFRP) reinforcing bars</v>
      </c>
      <c r="AN56" s="12" t="s">
        <v>127</v>
      </c>
      <c r="AO56">
        <f t="shared" si="33"/>
        <v>0</v>
      </c>
      <c r="AP56" s="1">
        <f t="shared" si="24"/>
        <v>0</v>
      </c>
      <c r="AQ56" s="1" t="str">
        <f t="shared" si="34"/>
        <v>short ton</v>
      </c>
      <c r="AR56" s="1">
        <f t="shared" si="14"/>
        <v>0.90718499588591606</v>
      </c>
      <c r="AS56" s="87" t="str">
        <f t="shared" si="35"/>
        <v>tonne/short ton</v>
      </c>
      <c r="AT56" s="87">
        <f t="shared" si="36"/>
        <v>0</v>
      </c>
      <c r="AU56" s="87">
        <f t="shared" si="37"/>
        <v>0</v>
      </c>
      <c r="AV56" s="87">
        <f t="shared" si="18"/>
        <v>0</v>
      </c>
      <c r="AW56" t="str">
        <f t="shared" si="38"/>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IFERROR(INDEX(LCIA_Data,MATCH($AO$15&amp;CM$27,LCIA_Rows_B&amp;LCIA_Rows_C,0),MATCH(CM$26,LCIA_Columns,0)),0)*$AT56*$AJ56*$BN$23</f>
        <v>0</v>
      </c>
      <c r="CN56" s="1">
        <f t="array" ref="CN56">IFERROR(INDEX(LCIA_Data,MATCH($AO$15&amp;CN$27,LCIA_Rows_B&amp;LCIA_Rows_C,0),MATCH(CN$26,LCIA_Columns,0)),0)*$AT56*$AJ56*$BN$23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IFERROR(INDEX(LCIA_Data,MATCH($AO$15&amp;DA$27,LCIA_Rows_B&amp;LCIA_Rows_C,0),MATCH(DA$26,LCIA_Columns,0)),0)*$AT56*$AK56*$BN$23</f>
        <v>0</v>
      </c>
      <c r="DB56" s="1">
        <f t="array" ref="DB56">IFERROR(INDEX(LCIA_Data,MATCH($AO$15&amp;DB$27,LCIA_Rows_B&amp;LCIA_Rows_C,0),MATCH(DB$26,LCIA_Columns,0)),0)*$AT56*$AK56*$BN$23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f t="shared" si="41"/>
        <v>0</v>
      </c>
      <c r="DP56">
        <f t="shared" si="41"/>
        <v>0</v>
      </c>
      <c r="DQ56">
        <f t="shared" si="41"/>
        <v>0</v>
      </c>
      <c r="DR56">
        <f t="shared" si="41"/>
        <v>0</v>
      </c>
      <c r="DS56">
        <f t="shared" si="41"/>
        <v>0</v>
      </c>
      <c r="DT56">
        <f t="shared" si="41"/>
        <v>0</v>
      </c>
      <c r="DU56">
        <f t="shared" si="41"/>
        <v>0</v>
      </c>
      <c r="DV56">
        <f t="shared" si="41"/>
        <v>0</v>
      </c>
      <c r="DW56">
        <f t="shared" si="40"/>
        <v>0</v>
      </c>
      <c r="DX56">
        <f t="shared" si="40"/>
        <v>0</v>
      </c>
      <c r="DY56">
        <f t="shared" si="40"/>
        <v>0</v>
      </c>
      <c r="DZ56">
        <f t="shared" si="40"/>
        <v>0</v>
      </c>
      <c r="EA56">
        <f t="shared" si="40"/>
        <v>0</v>
      </c>
      <c r="EB56">
        <f t="shared" si="21"/>
        <v>0</v>
      </c>
      <c r="EC56"/>
      <c r="ED56"/>
      <c r="EE56"/>
      <c r="EF56"/>
      <c r="EG56"/>
    </row>
    <row r="57" spans="2:137" ht="15" customHeight="1">
      <c r="B57" s="53">
        <f t="shared" si="29"/>
        <v>0</v>
      </c>
      <c r="C57" s="26">
        <f t="shared" si="22"/>
        <v>28</v>
      </c>
      <c r="D57" s="46" t="str">
        <f>'Plant Inputs'!$D57</f>
        <v>Carbon Fibre Reinforced Polymer (CFRP) reinforcing bars</v>
      </c>
      <c r="E57" s="99"/>
      <c r="F57" s="119" t="str">
        <f t="shared" si="39"/>
        <v>short ton</v>
      </c>
      <c r="G57" s="158">
        <f t="shared" si="26"/>
        <v>0</v>
      </c>
      <c r="H57" s="204" t="str">
        <f t="shared" si="7"/>
        <v>short ton</v>
      </c>
      <c r="I57" s="156">
        <f t="shared" si="8"/>
        <v>0</v>
      </c>
      <c r="J57"/>
      <c r="K57"/>
      <c r="L57"/>
      <c r="M57"/>
      <c r="N57"/>
      <c r="O57"/>
      <c r="P57"/>
      <c r="Q57"/>
      <c r="R57"/>
      <c r="S57"/>
      <c r="T57"/>
      <c r="X57" s="67">
        <f t="shared" si="30"/>
        <v>0</v>
      </c>
      <c r="Y57" s="216">
        <f>IF(AND($X57=1,'Plant Inputs'!$Y57=1),1,0)</f>
        <v>0</v>
      </c>
      <c r="Z57" s="216"/>
      <c r="AA57" s="216">
        <f>IF($Y57=0,0,IF('Plant Inputs'!J57="",0,'Plant Inputs'!J57))</f>
        <v>0</v>
      </c>
      <c r="AB57" s="216">
        <f>IF($Y57=0,0,IF('Plant Inputs'!K57="",0,'Plant Inputs'!K57))</f>
        <v>0</v>
      </c>
      <c r="AC57" s="216">
        <f>IF($Y57=0,0,IF('Plant Inputs'!L57="",0,'Plant Inputs'!L57))</f>
        <v>0</v>
      </c>
      <c r="AD57" s="216">
        <f>IF($Y57=0,0,IF('Plant Inputs'!M57="",0,'Plant Inputs'!M57))</f>
        <v>0</v>
      </c>
      <c r="AE57" s="217" t="str">
        <f>'Plant Inputs'!$O57</f>
        <v>mile</v>
      </c>
      <c r="AF57" s="217">
        <f t="shared" si="9"/>
        <v>1.6093473468862911</v>
      </c>
      <c r="AG57" s="216" t="str">
        <f t="shared" si="23"/>
        <v>km/mile</v>
      </c>
      <c r="AH57" s="216">
        <f t="shared" si="42"/>
        <v>0</v>
      </c>
      <c r="AI57" s="216">
        <f t="shared" si="42"/>
        <v>0</v>
      </c>
      <c r="AJ57" s="216">
        <f t="shared" si="42"/>
        <v>0</v>
      </c>
      <c r="AK57" s="216">
        <f t="shared" si="42"/>
        <v>0</v>
      </c>
      <c r="AL57" s="216"/>
      <c r="AM57" s="1" t="str">
        <f t="shared" si="32"/>
        <v>Carbon Fibre Reinforced Polymer (CFRP) reinforcing bars</v>
      </c>
      <c r="AN57" s="12" t="s">
        <v>127</v>
      </c>
      <c r="AO57">
        <f t="shared" si="33"/>
        <v>0</v>
      </c>
      <c r="AP57" s="1">
        <f t="shared" si="24"/>
        <v>0</v>
      </c>
      <c r="AQ57" s="1" t="str">
        <f t="shared" si="34"/>
        <v>short ton</v>
      </c>
      <c r="AR57" s="1">
        <f t="shared" si="14"/>
        <v>0.90718499588591606</v>
      </c>
      <c r="AS57" s="87" t="str">
        <f t="shared" si="35"/>
        <v>tonne/short ton</v>
      </c>
      <c r="AT57" s="87">
        <f t="shared" si="36"/>
        <v>0</v>
      </c>
      <c r="AU57" s="87">
        <f t="shared" si="37"/>
        <v>0</v>
      </c>
      <c r="AV57" s="87">
        <f t="shared" si="18"/>
        <v>0</v>
      </c>
      <c r="AW57" t="str">
        <f t="shared" si="38"/>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IFERROR(INDEX(LCIA_Data,MATCH($AO$15&amp;CM$27,LCIA_Rows_B&amp;LCIA_Rows_C,0),MATCH(CM$26,LCIA_Columns,0)),0)*$AT57*$AJ57*$BN$23</f>
        <v>0</v>
      </c>
      <c r="CN57" s="1">
        <f t="array" ref="CN57">IFERROR(INDEX(LCIA_Data,MATCH($AO$15&amp;CN$27,LCIA_Rows_B&amp;LCIA_Rows_C,0),MATCH(CN$26,LCIA_Columns,0)),0)*$AT57*$AJ57*$BN$23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IFERROR(INDEX(LCIA_Data,MATCH($AO$15&amp;DA$27,LCIA_Rows_B&amp;LCIA_Rows_C,0),MATCH(DA$26,LCIA_Columns,0)),0)*$AT57*$AK57*$BN$23</f>
        <v>0</v>
      </c>
      <c r="DB57" s="1">
        <f t="array" ref="DB57">IFERROR(INDEX(LCIA_Data,MATCH($AO$15&amp;DB$27,LCIA_Rows_B&amp;LCIA_Rows_C,0),MATCH(DB$26,LCIA_Columns,0)),0)*$AT57*$AK57*$BN$23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f t="shared" si="41"/>
        <v>0</v>
      </c>
      <c r="DP57">
        <f t="shared" si="41"/>
        <v>0</v>
      </c>
      <c r="DQ57">
        <f t="shared" si="41"/>
        <v>0</v>
      </c>
      <c r="DR57">
        <f t="shared" si="41"/>
        <v>0</v>
      </c>
      <c r="DS57">
        <f t="shared" si="41"/>
        <v>0</v>
      </c>
      <c r="DT57">
        <f t="shared" si="41"/>
        <v>0</v>
      </c>
      <c r="DU57">
        <f t="shared" si="41"/>
        <v>0</v>
      </c>
      <c r="DV57">
        <f t="shared" si="41"/>
        <v>0</v>
      </c>
      <c r="DW57">
        <f t="shared" si="40"/>
        <v>0</v>
      </c>
      <c r="DX57">
        <f t="shared" si="40"/>
        <v>0</v>
      </c>
      <c r="DY57">
        <f t="shared" si="40"/>
        <v>0</v>
      </c>
      <c r="DZ57">
        <f t="shared" si="40"/>
        <v>0</v>
      </c>
      <c r="EA57">
        <f t="shared" si="40"/>
        <v>0</v>
      </c>
      <c r="EB57">
        <f t="shared" si="21"/>
        <v>0</v>
      </c>
      <c r="EC57"/>
      <c r="ED57"/>
      <c r="EE57"/>
      <c r="EF57"/>
      <c r="EG57"/>
    </row>
    <row r="58" spans="2:137" ht="15" customHeight="1">
      <c r="B58" s="53">
        <f t="shared" si="29"/>
        <v>0</v>
      </c>
      <c r="C58" s="233">
        <f t="shared" si="22"/>
        <v>29</v>
      </c>
      <c r="D58" s="244" t="str">
        <f>'Plant Inputs'!$D58</f>
        <v>Fibre Reinforced Polymer (FRP) wrap</v>
      </c>
      <c r="E58" s="101"/>
      <c r="F58" s="235" t="str">
        <f t="shared" si="39"/>
        <v>short ton</v>
      </c>
      <c r="G58" s="236">
        <f t="shared" si="26"/>
        <v>0</v>
      </c>
      <c r="H58" s="237" t="str">
        <f t="shared" si="7"/>
        <v>short ton</v>
      </c>
      <c r="I58" s="400">
        <f t="shared" si="8"/>
        <v>0</v>
      </c>
      <c r="J58"/>
      <c r="K58"/>
      <c r="L58"/>
      <c r="M58"/>
      <c r="N58"/>
      <c r="O58"/>
      <c r="P58"/>
      <c r="Q58"/>
      <c r="R58"/>
      <c r="S58"/>
      <c r="T58"/>
      <c r="X58" s="67">
        <f t="shared" si="30"/>
        <v>0</v>
      </c>
      <c r="Y58" s="216">
        <f>IF(AND($X58=1,'Plant Inputs'!$Y58=1),1,0)</f>
        <v>0</v>
      </c>
      <c r="Z58" s="216"/>
      <c r="AA58" s="216">
        <f>IF($Y58=0,0,IF('Plant Inputs'!J58="",0,'Plant Inputs'!J58))</f>
        <v>0</v>
      </c>
      <c r="AB58" s="216">
        <f>IF($Y58=0,0,IF('Plant Inputs'!K58="",0,'Plant Inputs'!K58))</f>
        <v>0</v>
      </c>
      <c r="AC58" s="216">
        <f>IF($Y58=0,0,IF('Plant Inputs'!L58="",0,'Plant Inputs'!L58))</f>
        <v>0</v>
      </c>
      <c r="AD58" s="216">
        <f>IF($Y58=0,0,IF('Plant Inputs'!M58="",0,'Plant Inputs'!M58))</f>
        <v>0</v>
      </c>
      <c r="AE58" s="217" t="str">
        <f>'Plant Inputs'!$O58</f>
        <v>mile</v>
      </c>
      <c r="AF58" s="217">
        <f t="shared" si="9"/>
        <v>1.6093473468862911</v>
      </c>
      <c r="AG58" s="216" t="str">
        <f t="shared" si="23"/>
        <v>km/mile</v>
      </c>
      <c r="AH58" s="216">
        <f t="shared" si="42"/>
        <v>0</v>
      </c>
      <c r="AI58" s="216">
        <f t="shared" si="42"/>
        <v>0</v>
      </c>
      <c r="AJ58" s="216">
        <f t="shared" si="42"/>
        <v>0</v>
      </c>
      <c r="AK58" s="216">
        <f t="shared" si="42"/>
        <v>0</v>
      </c>
      <c r="AL58" s="216"/>
      <c r="AM58" s="1" t="str">
        <f t="shared" si="32"/>
        <v>Fibre Reinforced Polymer (FRP) wrap</v>
      </c>
      <c r="AN58" s="12" t="s">
        <v>127</v>
      </c>
      <c r="AO58">
        <f t="shared" si="33"/>
        <v>0</v>
      </c>
      <c r="AP58" s="1">
        <f t="shared" si="24"/>
        <v>0</v>
      </c>
      <c r="AQ58" s="1" t="str">
        <f t="shared" si="34"/>
        <v>short ton</v>
      </c>
      <c r="AR58" s="1">
        <f t="shared" si="14"/>
        <v>0.90718499588591606</v>
      </c>
      <c r="AS58" s="87" t="str">
        <f t="shared" si="35"/>
        <v>tonne/short ton</v>
      </c>
      <c r="AT58" s="87">
        <f t="shared" si="36"/>
        <v>0</v>
      </c>
      <c r="AU58" s="87">
        <f t="shared" si="37"/>
        <v>0</v>
      </c>
      <c r="AV58" s="87">
        <f t="shared" si="18"/>
        <v>0</v>
      </c>
      <c r="AW58" t="str">
        <f t="shared" si="38"/>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IFERROR(INDEX(LCIA_Data,MATCH($AO$15&amp;CM$27,LCIA_Rows_B&amp;LCIA_Rows_C,0),MATCH(CM$26,LCIA_Columns,0)),0)*$AT58*$AJ58*$BN$23</f>
        <v>0</v>
      </c>
      <c r="CN58" s="1">
        <f t="array" ref="CN58">IFERROR(INDEX(LCIA_Data,MATCH($AO$15&amp;CN$27,LCIA_Rows_B&amp;LCIA_Rows_C,0),MATCH(CN$26,LCIA_Columns,0)),0)*$AT58*$AJ58*$BN$23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IFERROR(INDEX(LCIA_Data,MATCH($AO$15&amp;DA$27,LCIA_Rows_B&amp;LCIA_Rows_C,0),MATCH(DA$26,LCIA_Columns,0)),0)*$AT58*$AK58*$BN$23</f>
        <v>0</v>
      </c>
      <c r="DB58" s="1">
        <f t="array" ref="DB58">IFERROR(INDEX(LCIA_Data,MATCH($AO$15&amp;DB$27,LCIA_Rows_B&amp;LCIA_Rows_C,0),MATCH(DB$26,LCIA_Columns,0)),0)*$AT58*$AK58*$BN$23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f t="shared" si="41"/>
        <v>0</v>
      </c>
      <c r="DP58">
        <f t="shared" si="41"/>
        <v>0</v>
      </c>
      <c r="DQ58">
        <f t="shared" si="41"/>
        <v>0</v>
      </c>
      <c r="DR58">
        <f t="shared" si="41"/>
        <v>0</v>
      </c>
      <c r="DS58">
        <f t="shared" si="41"/>
        <v>0</v>
      </c>
      <c r="DT58">
        <f t="shared" si="41"/>
        <v>0</v>
      </c>
      <c r="DU58">
        <f t="shared" si="41"/>
        <v>0</v>
      </c>
      <c r="DV58">
        <f t="shared" si="41"/>
        <v>0</v>
      </c>
      <c r="DW58">
        <f t="shared" si="40"/>
        <v>0</v>
      </c>
      <c r="DX58">
        <f t="shared" si="40"/>
        <v>0</v>
      </c>
      <c r="DY58">
        <f t="shared" si="40"/>
        <v>0</v>
      </c>
      <c r="DZ58">
        <f t="shared" si="40"/>
        <v>0</v>
      </c>
      <c r="EA58">
        <f t="shared" si="40"/>
        <v>0</v>
      </c>
      <c r="EB58">
        <f t="shared" si="21"/>
        <v>0</v>
      </c>
      <c r="EC58"/>
      <c r="ED58"/>
      <c r="EE58"/>
      <c r="EF58"/>
      <c r="EG58"/>
    </row>
    <row r="59" spans="2:137" ht="15" customHeight="1">
      <c r="B59" s="53">
        <f t="shared" si="29"/>
        <v>0</v>
      </c>
      <c r="C59" s="26">
        <f t="shared" si="22"/>
        <v>30</v>
      </c>
      <c r="D59" s="46" t="str">
        <f>'Plant Inputs'!$D59</f>
        <v>Expanded Polystyrene</v>
      </c>
      <c r="E59" s="99"/>
      <c r="F59" s="106" t="s">
        <v>247</v>
      </c>
      <c r="G59" s="158">
        <f t="shared" si="26"/>
        <v>0</v>
      </c>
      <c r="H59" s="204" t="str">
        <f t="shared" si="7"/>
        <v>short ton</v>
      </c>
      <c r="I59" s="399">
        <f t="shared" si="8"/>
        <v>0</v>
      </c>
      <c r="J59"/>
      <c r="K59"/>
      <c r="L59"/>
      <c r="M59"/>
      <c r="N59"/>
      <c r="O59"/>
      <c r="P59"/>
      <c r="Q59"/>
      <c r="R59"/>
      <c r="S59"/>
      <c r="T59"/>
      <c r="X59" s="67">
        <f t="shared" si="30"/>
        <v>0</v>
      </c>
      <c r="Y59" s="216">
        <f>IF(AND($X59=1,'Plant Inputs'!$Y59=1),1,0)</f>
        <v>0</v>
      </c>
      <c r="Z59" s="216"/>
      <c r="AA59" s="216">
        <f>IF($Y59=0,0,IF('Plant Inputs'!J59="",0,'Plant Inputs'!J59))</f>
        <v>0</v>
      </c>
      <c r="AB59" s="216">
        <f>IF($Y59=0,0,IF('Plant Inputs'!K59="",0,'Plant Inputs'!K59))</f>
        <v>0</v>
      </c>
      <c r="AC59" s="216">
        <f>IF($Y59=0,0,IF('Plant Inputs'!L59="",0,'Plant Inputs'!L59))</f>
        <v>0</v>
      </c>
      <c r="AD59" s="216">
        <f>IF($Y59=0,0,IF('Plant Inputs'!M59="",0,'Plant Inputs'!M59))</f>
        <v>0</v>
      </c>
      <c r="AE59" s="217" t="str">
        <f>'Plant Inputs'!$O59</f>
        <v>mile</v>
      </c>
      <c r="AF59" s="217">
        <f t="shared" si="9"/>
        <v>1.6093473468862911</v>
      </c>
      <c r="AG59" s="216" t="str">
        <f t="shared" si="23"/>
        <v>km/mile</v>
      </c>
      <c r="AH59" s="216">
        <f t="shared" si="42"/>
        <v>0</v>
      </c>
      <c r="AI59" s="216">
        <f t="shared" si="42"/>
        <v>0</v>
      </c>
      <c r="AJ59" s="216">
        <f t="shared" si="42"/>
        <v>0</v>
      </c>
      <c r="AK59" s="216">
        <f t="shared" si="42"/>
        <v>0</v>
      </c>
      <c r="AL59" s="216"/>
      <c r="AM59" s="1" t="str">
        <f t="shared" si="32"/>
        <v>Expanded Polystyrene</v>
      </c>
      <c r="AN59" t="s">
        <v>128</v>
      </c>
      <c r="AO59">
        <f t="shared" si="33"/>
        <v>1.6E-2</v>
      </c>
      <c r="AP59" s="1">
        <f t="shared" si="24"/>
        <v>0</v>
      </c>
      <c r="AQ59" s="1" t="str">
        <f t="shared" si="34"/>
        <v>board feet</v>
      </c>
      <c r="AR59" s="1">
        <f t="shared" si="14"/>
        <v>3.7755795455999999E-5</v>
      </c>
      <c r="AS59" s="87" t="str">
        <f t="shared" si="35"/>
        <v>tonne/board feet</v>
      </c>
      <c r="AT59" s="87">
        <f t="shared" si="36"/>
        <v>0</v>
      </c>
      <c r="AU59" s="87">
        <f t="shared" si="37"/>
        <v>0</v>
      </c>
      <c r="AV59" s="87">
        <f t="shared" si="18"/>
        <v>0</v>
      </c>
      <c r="AW59" t="str">
        <f t="shared" si="38"/>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IFERROR(INDEX(LCIA_Data,MATCH($AO$15&amp;CM$27,LCIA_Rows_B&amp;LCIA_Rows_C,0),MATCH(CM$26,LCIA_Columns,0)),0)*$AT59*$AJ59*$BN$23</f>
        <v>0</v>
      </c>
      <c r="CN59" s="1">
        <f t="array" ref="CN59">IFERROR(INDEX(LCIA_Data,MATCH($AO$15&amp;CN$27,LCIA_Rows_B&amp;LCIA_Rows_C,0),MATCH(CN$26,LCIA_Columns,0)),0)*$AT59*$AJ59*$BN$23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IFERROR(INDEX(LCIA_Data,MATCH($AO$15&amp;DA$27,LCIA_Rows_B&amp;LCIA_Rows_C,0),MATCH(DA$26,LCIA_Columns,0)),0)*$AT59*$AK59*$BN$23</f>
        <v>0</v>
      </c>
      <c r="DB59" s="1">
        <f t="array" ref="DB59">IFERROR(INDEX(LCIA_Data,MATCH($AO$15&amp;DB$27,LCIA_Rows_B&amp;LCIA_Rows_C,0),MATCH(DB$26,LCIA_Columns,0)),0)*$AT59*$AK59*$BN$23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f t="shared" si="41"/>
        <v>0</v>
      </c>
      <c r="DP59">
        <f t="shared" si="41"/>
        <v>0</v>
      </c>
      <c r="DQ59">
        <f t="shared" si="41"/>
        <v>0</v>
      </c>
      <c r="DR59">
        <f t="shared" si="41"/>
        <v>0</v>
      </c>
      <c r="DS59">
        <f t="shared" si="41"/>
        <v>0</v>
      </c>
      <c r="DT59">
        <f t="shared" si="41"/>
        <v>0</v>
      </c>
      <c r="DU59">
        <f t="shared" si="41"/>
        <v>0</v>
      </c>
      <c r="DV59">
        <f t="shared" si="41"/>
        <v>0</v>
      </c>
      <c r="DW59">
        <f t="shared" si="40"/>
        <v>0</v>
      </c>
      <c r="DX59">
        <f t="shared" si="40"/>
        <v>0</v>
      </c>
      <c r="DY59">
        <f t="shared" si="40"/>
        <v>0</v>
      </c>
      <c r="DZ59">
        <f t="shared" si="40"/>
        <v>0</v>
      </c>
      <c r="EA59">
        <f t="shared" si="40"/>
        <v>0</v>
      </c>
      <c r="EB59">
        <f t="shared" si="21"/>
        <v>0</v>
      </c>
      <c r="EC59"/>
      <c r="ED59"/>
      <c r="EE59"/>
      <c r="EF59"/>
      <c r="EG59"/>
    </row>
    <row r="60" spans="2:137" ht="15" customHeight="1">
      <c r="B60" s="53">
        <f t="shared" si="29"/>
        <v>0</v>
      </c>
      <c r="C60" s="233">
        <f t="shared" si="22"/>
        <v>31</v>
      </c>
      <c r="D60" s="244" t="str">
        <f>'Plant Inputs'!$D60</f>
        <v>Extruded Polystyrene</v>
      </c>
      <c r="E60" s="101"/>
      <c r="F60" s="248" t="s">
        <v>247</v>
      </c>
      <c r="G60" s="236">
        <f t="shared" si="26"/>
        <v>0</v>
      </c>
      <c r="H60" s="237" t="str">
        <f t="shared" si="7"/>
        <v>short ton</v>
      </c>
      <c r="I60" s="400">
        <f t="shared" si="8"/>
        <v>0</v>
      </c>
      <c r="J60"/>
      <c r="K60"/>
      <c r="L60"/>
      <c r="M60"/>
      <c r="N60"/>
      <c r="O60"/>
      <c r="P60"/>
      <c r="Q60"/>
      <c r="R60"/>
      <c r="S60"/>
      <c r="T60"/>
      <c r="X60" s="67">
        <f t="shared" si="30"/>
        <v>0</v>
      </c>
      <c r="Y60" s="216">
        <f>IF(AND($X60=1,'Plant Inputs'!$Y60=1),1,0)</f>
        <v>0</v>
      </c>
      <c r="Z60" s="216"/>
      <c r="AA60" s="216">
        <f>IF($Y60=0,0,IF('Plant Inputs'!J60="",0,'Plant Inputs'!J60))</f>
        <v>0</v>
      </c>
      <c r="AB60" s="216">
        <f>IF($Y60=0,0,IF('Plant Inputs'!K60="",0,'Plant Inputs'!K60))</f>
        <v>0</v>
      </c>
      <c r="AC60" s="216">
        <f>IF($Y60=0,0,IF('Plant Inputs'!L60="",0,'Plant Inputs'!L60))</f>
        <v>0</v>
      </c>
      <c r="AD60" s="216">
        <f>IF($Y60=0,0,IF('Plant Inputs'!M60="",0,'Plant Inputs'!M60))</f>
        <v>0</v>
      </c>
      <c r="AE60" s="217" t="str">
        <f>'Plant Inputs'!$O60</f>
        <v>mile</v>
      </c>
      <c r="AF60" s="217">
        <f t="shared" si="9"/>
        <v>1.6093473468862911</v>
      </c>
      <c r="AG60" s="216" t="str">
        <f t="shared" si="23"/>
        <v>km/mile</v>
      </c>
      <c r="AH60" s="216">
        <f t="shared" si="42"/>
        <v>0</v>
      </c>
      <c r="AI60" s="216">
        <f t="shared" si="42"/>
        <v>0</v>
      </c>
      <c r="AJ60" s="216">
        <f t="shared" si="42"/>
        <v>0</v>
      </c>
      <c r="AK60" s="216">
        <f t="shared" si="42"/>
        <v>0</v>
      </c>
      <c r="AL60" s="216"/>
      <c r="AM60" s="1" t="str">
        <f t="shared" si="32"/>
        <v>Extruded Polystyrene</v>
      </c>
      <c r="AN60" t="s">
        <v>128</v>
      </c>
      <c r="AO60">
        <f t="shared" si="33"/>
        <v>3.2000000000000001E-2</v>
      </c>
      <c r="AP60" s="1">
        <f t="shared" si="24"/>
        <v>0</v>
      </c>
      <c r="AQ60" s="1" t="str">
        <f t="shared" si="34"/>
        <v>board feet</v>
      </c>
      <c r="AR60" s="1">
        <f t="shared" si="14"/>
        <v>7.5511590911999998E-5</v>
      </c>
      <c r="AS60" s="87" t="str">
        <f t="shared" si="35"/>
        <v>tonne/board feet</v>
      </c>
      <c r="AT60" s="87">
        <f t="shared" si="36"/>
        <v>0</v>
      </c>
      <c r="AU60" s="87">
        <f t="shared" si="37"/>
        <v>0</v>
      </c>
      <c r="AV60" s="87">
        <f t="shared" si="18"/>
        <v>0</v>
      </c>
      <c r="AW60" t="str">
        <f t="shared" si="38"/>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IFERROR(INDEX(LCIA_Data,MATCH($AO$15&amp;CM$27,LCIA_Rows_B&amp;LCIA_Rows_C,0),MATCH(CM$26,LCIA_Columns,0)),0)*$AT60*$AJ60*$BN$23</f>
        <v>0</v>
      </c>
      <c r="CN60" s="1">
        <f t="array" ref="CN60">IFERROR(INDEX(LCIA_Data,MATCH($AO$15&amp;CN$27,LCIA_Rows_B&amp;LCIA_Rows_C,0),MATCH(CN$26,LCIA_Columns,0)),0)*$AT60*$AJ60*$BN$23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IFERROR(INDEX(LCIA_Data,MATCH($AO$15&amp;DA$27,LCIA_Rows_B&amp;LCIA_Rows_C,0),MATCH(DA$26,LCIA_Columns,0)),0)*$AT60*$AK60*$BN$23</f>
        <v>0</v>
      </c>
      <c r="DB60" s="1">
        <f t="array" ref="DB60">IFERROR(INDEX(LCIA_Data,MATCH($AO$15&amp;DB$27,LCIA_Rows_B&amp;LCIA_Rows_C,0),MATCH(DB$26,LCIA_Columns,0)),0)*$AT60*$AK60*$BN$23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f t="shared" si="41"/>
        <v>0</v>
      </c>
      <c r="DP60">
        <f t="shared" si="41"/>
        <v>0</v>
      </c>
      <c r="DQ60">
        <f t="shared" si="41"/>
        <v>0</v>
      </c>
      <c r="DR60">
        <f t="shared" si="41"/>
        <v>0</v>
      </c>
      <c r="DS60">
        <f t="shared" si="41"/>
        <v>0</v>
      </c>
      <c r="DT60">
        <f t="shared" si="41"/>
        <v>0</v>
      </c>
      <c r="DU60">
        <f t="shared" si="41"/>
        <v>0</v>
      </c>
      <c r="DV60">
        <f t="shared" si="41"/>
        <v>0</v>
      </c>
      <c r="DW60">
        <f t="shared" si="40"/>
        <v>0</v>
      </c>
      <c r="DX60">
        <f t="shared" si="40"/>
        <v>0</v>
      </c>
      <c r="DY60">
        <f t="shared" si="40"/>
        <v>0</v>
      </c>
      <c r="DZ60">
        <f t="shared" si="40"/>
        <v>0</v>
      </c>
      <c r="EA60">
        <f t="shared" si="40"/>
        <v>0</v>
      </c>
      <c r="EB60">
        <f t="shared" si="21"/>
        <v>0</v>
      </c>
      <c r="EC60"/>
      <c r="ED60"/>
      <c r="EE60"/>
      <c r="EF60"/>
      <c r="EG60"/>
    </row>
    <row r="61" spans="2:137" ht="15" customHeight="1">
      <c r="B61" s="53">
        <f t="shared" si="29"/>
        <v>0</v>
      </c>
      <c r="C61" s="26">
        <f t="shared" si="22"/>
        <v>32</v>
      </c>
      <c r="D61" s="46" t="str">
        <f>'Plant Inputs'!$D61</f>
        <v>Brick</v>
      </c>
      <c r="E61" s="99"/>
      <c r="F61" s="119" t="str">
        <f>MassDisplayUnit</f>
        <v>short ton</v>
      </c>
      <c r="G61" s="158">
        <f t="shared" si="26"/>
        <v>0</v>
      </c>
      <c r="H61" s="204" t="str">
        <f t="shared" si="7"/>
        <v>short ton</v>
      </c>
      <c r="I61" s="399">
        <f t="shared" si="8"/>
        <v>0</v>
      </c>
      <c r="J61"/>
      <c r="K61"/>
      <c r="L61"/>
      <c r="M61"/>
      <c r="N61"/>
      <c r="O61"/>
      <c r="P61"/>
      <c r="Q61"/>
      <c r="R61"/>
      <c r="S61"/>
      <c r="T61"/>
      <c r="X61" s="67">
        <f t="shared" si="30"/>
        <v>0</v>
      </c>
      <c r="Y61" s="216">
        <f>IF(AND($X61=1,'Plant Inputs'!$Y61=1),1,0)</f>
        <v>0</v>
      </c>
      <c r="Z61" s="216"/>
      <c r="AA61" s="216">
        <f>IF($Y61=0,0,IF('Plant Inputs'!J61="",0,'Plant Inputs'!J61))</f>
        <v>0</v>
      </c>
      <c r="AB61" s="216">
        <f>IF($Y61=0,0,IF('Plant Inputs'!K61="",0,'Plant Inputs'!K61))</f>
        <v>0</v>
      </c>
      <c r="AC61" s="216">
        <f>IF($Y61=0,0,IF('Plant Inputs'!L61="",0,'Plant Inputs'!L61))</f>
        <v>0</v>
      </c>
      <c r="AD61" s="216">
        <f>IF($Y61=0,0,IF('Plant Inputs'!M61="",0,'Plant Inputs'!M61))</f>
        <v>0</v>
      </c>
      <c r="AE61" s="217" t="str">
        <f>'Plant Inputs'!$O61</f>
        <v>mile</v>
      </c>
      <c r="AF61" s="217">
        <f t="shared" si="9"/>
        <v>1.6093473468862911</v>
      </c>
      <c r="AG61" s="216" t="str">
        <f t="shared" si="23"/>
        <v>km/mile</v>
      </c>
      <c r="AH61" s="216">
        <f t="shared" si="42"/>
        <v>0</v>
      </c>
      <c r="AI61" s="216">
        <f t="shared" si="42"/>
        <v>0</v>
      </c>
      <c r="AJ61" s="216">
        <f t="shared" si="42"/>
        <v>0</v>
      </c>
      <c r="AK61" s="216">
        <f t="shared" si="42"/>
        <v>0</v>
      </c>
      <c r="AL61" s="216"/>
      <c r="AM61" s="1" t="str">
        <f t="shared" si="32"/>
        <v>Brick</v>
      </c>
      <c r="AN61" t="s">
        <v>127</v>
      </c>
      <c r="AO61">
        <f t="shared" si="33"/>
        <v>0</v>
      </c>
      <c r="AP61" s="1">
        <f t="shared" si="24"/>
        <v>0</v>
      </c>
      <c r="AQ61" s="1" t="str">
        <f t="shared" si="34"/>
        <v>short ton</v>
      </c>
      <c r="AR61" s="1">
        <f t="shared" si="14"/>
        <v>0.90718499588591606</v>
      </c>
      <c r="AS61" s="87" t="str">
        <f t="shared" si="35"/>
        <v>tonne/short ton</v>
      </c>
      <c r="AT61" s="87">
        <f t="shared" si="36"/>
        <v>0</v>
      </c>
      <c r="AU61" s="87">
        <f t="shared" si="37"/>
        <v>0</v>
      </c>
      <c r="AV61" s="87">
        <f t="shared" si="18"/>
        <v>0</v>
      </c>
      <c r="AW61" t="str">
        <f t="shared" si="38"/>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IFERROR(INDEX(LCIA_Data,MATCH($AO$15&amp;CM$27,LCIA_Rows_B&amp;LCIA_Rows_C,0),MATCH(CM$26,LCIA_Columns,0)),0)*$AT61*$AJ61*$BN$23</f>
        <v>0</v>
      </c>
      <c r="CN61" s="1">
        <f t="array" ref="CN61">IFERROR(INDEX(LCIA_Data,MATCH($AO$15&amp;CN$27,LCIA_Rows_B&amp;LCIA_Rows_C,0),MATCH(CN$26,LCIA_Columns,0)),0)*$AT61*$AJ61*$BN$23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IFERROR(INDEX(LCIA_Data,MATCH($AO$15&amp;DA$27,LCIA_Rows_B&amp;LCIA_Rows_C,0),MATCH(DA$26,LCIA_Columns,0)),0)*$AT61*$AK61*$BN$23</f>
        <v>0</v>
      </c>
      <c r="DB61" s="1">
        <f t="array" ref="DB61">IFERROR(INDEX(LCIA_Data,MATCH($AO$15&amp;DB$27,LCIA_Rows_B&amp;LCIA_Rows_C,0),MATCH(DB$26,LCIA_Columns,0)),0)*$AT61*$AK61*$BN$23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f t="shared" si="41"/>
        <v>0</v>
      </c>
      <c r="DP61">
        <f t="shared" si="41"/>
        <v>0</v>
      </c>
      <c r="DQ61">
        <f t="shared" si="41"/>
        <v>0</v>
      </c>
      <c r="DR61">
        <f t="shared" si="41"/>
        <v>0</v>
      </c>
      <c r="DS61">
        <f t="shared" si="41"/>
        <v>0</v>
      </c>
      <c r="DT61">
        <f t="shared" si="41"/>
        <v>0</v>
      </c>
      <c r="DU61">
        <f t="shared" si="41"/>
        <v>0</v>
      </c>
      <c r="DV61">
        <f t="shared" si="41"/>
        <v>0</v>
      </c>
      <c r="DW61">
        <f t="shared" si="40"/>
        <v>0</v>
      </c>
      <c r="DX61">
        <f t="shared" si="40"/>
        <v>0</v>
      </c>
      <c r="DY61">
        <f t="shared" si="40"/>
        <v>0</v>
      </c>
      <c r="DZ61">
        <f t="shared" si="40"/>
        <v>0</v>
      </c>
      <c r="EA61">
        <f t="shared" si="40"/>
        <v>0</v>
      </c>
      <c r="EB61">
        <f t="shared" si="21"/>
        <v>0</v>
      </c>
      <c r="EC61"/>
      <c r="ED61"/>
      <c r="EE61"/>
      <c r="EF61"/>
      <c r="EG61"/>
    </row>
    <row r="62" spans="2:137" ht="15" customHeight="1">
      <c r="B62" s="53">
        <f t="shared" si="29"/>
        <v>0</v>
      </c>
      <c r="C62" s="26">
        <f t="shared" si="22"/>
        <v>33</v>
      </c>
      <c r="D62" s="46" t="str">
        <f>'Plant Inputs'!$D62</f>
        <v>Natural Stone</v>
      </c>
      <c r="E62" s="99"/>
      <c r="F62" s="119" t="str">
        <f>MassDisplayUnit</f>
        <v>short ton</v>
      </c>
      <c r="G62" s="158">
        <f t="shared" si="26"/>
        <v>0</v>
      </c>
      <c r="H62" s="204" t="str">
        <f t="shared" si="7"/>
        <v>short ton</v>
      </c>
      <c r="I62" s="156">
        <f t="shared" si="8"/>
        <v>0</v>
      </c>
      <c r="J62"/>
      <c r="K62"/>
      <c r="L62"/>
      <c r="M62"/>
      <c r="N62"/>
      <c r="O62"/>
      <c r="P62"/>
      <c r="Q62"/>
      <c r="R62"/>
      <c r="S62"/>
      <c r="T62"/>
      <c r="X62" s="67">
        <f t="shared" si="30"/>
        <v>0</v>
      </c>
      <c r="Y62" s="216">
        <f>IF(AND($X62=1,'Plant Inputs'!$Y62=1),1,0)</f>
        <v>0</v>
      </c>
      <c r="Z62" s="216"/>
      <c r="AA62" s="216">
        <f>IF($Y62=0,0,IF('Plant Inputs'!J62="",0,'Plant Inputs'!J62))</f>
        <v>0</v>
      </c>
      <c r="AB62" s="216">
        <f>IF($Y62=0,0,IF('Plant Inputs'!K62="",0,'Plant Inputs'!K62))</f>
        <v>0</v>
      </c>
      <c r="AC62" s="216">
        <f>IF($Y62=0,0,IF('Plant Inputs'!L62="",0,'Plant Inputs'!L62))</f>
        <v>0</v>
      </c>
      <c r="AD62" s="216">
        <f>IF($Y62=0,0,IF('Plant Inputs'!M62="",0,'Plant Inputs'!M62))</f>
        <v>0</v>
      </c>
      <c r="AE62" s="217" t="str">
        <f>'Plant Inputs'!$O62</f>
        <v>mile</v>
      </c>
      <c r="AF62" s="217">
        <f t="shared" si="9"/>
        <v>1.6093473468862911</v>
      </c>
      <c r="AG62" s="216" t="str">
        <f t="shared" si="23"/>
        <v>km/mile</v>
      </c>
      <c r="AH62" s="216">
        <f t="shared" si="42"/>
        <v>0</v>
      </c>
      <c r="AI62" s="216">
        <f t="shared" si="42"/>
        <v>0</v>
      </c>
      <c r="AJ62" s="216">
        <f t="shared" si="42"/>
        <v>0</v>
      </c>
      <c r="AK62" s="216">
        <f t="shared" si="42"/>
        <v>0</v>
      </c>
      <c r="AL62" s="216"/>
      <c r="AM62" s="1" t="str">
        <f t="shared" si="32"/>
        <v>Natural Stone</v>
      </c>
      <c r="AN62" t="s">
        <v>127</v>
      </c>
      <c r="AO62">
        <f t="shared" si="33"/>
        <v>0</v>
      </c>
      <c r="AP62" s="1">
        <f t="shared" si="24"/>
        <v>0</v>
      </c>
      <c r="AQ62" s="1" t="str">
        <f t="shared" si="34"/>
        <v>short ton</v>
      </c>
      <c r="AR62" s="1">
        <f t="shared" si="14"/>
        <v>0.90718499588591606</v>
      </c>
      <c r="AS62" s="87" t="str">
        <f t="shared" si="35"/>
        <v>tonne/short ton</v>
      </c>
      <c r="AT62" s="87">
        <f t="shared" si="36"/>
        <v>0</v>
      </c>
      <c r="AU62" s="87">
        <f t="shared" si="37"/>
        <v>0</v>
      </c>
      <c r="AV62" s="87">
        <f t="shared" si="18"/>
        <v>0</v>
      </c>
      <c r="AW62" t="str">
        <f t="shared" si="38"/>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IFERROR(INDEX(LCIA_Data,MATCH($AO$15&amp;CM$27,LCIA_Rows_B&amp;LCIA_Rows_C,0),MATCH(CM$26,LCIA_Columns,0)),0)*$AT62*$AJ62*$BN$23</f>
        <v>0</v>
      </c>
      <c r="CN62" s="1">
        <f t="array" ref="CN62">IFERROR(INDEX(LCIA_Data,MATCH($AO$15&amp;CN$27,LCIA_Rows_B&amp;LCIA_Rows_C,0),MATCH(CN$26,LCIA_Columns,0)),0)*$AT62*$AJ62*$BN$23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IFERROR(INDEX(LCIA_Data,MATCH($AO$15&amp;DA$27,LCIA_Rows_B&amp;LCIA_Rows_C,0),MATCH(DA$26,LCIA_Columns,0)),0)*$AT62*$AK62*$BN$23</f>
        <v>0</v>
      </c>
      <c r="DB62" s="1">
        <f t="array" ref="DB62">IFERROR(INDEX(LCIA_Data,MATCH($AO$15&amp;DB$27,LCIA_Rows_B&amp;LCIA_Rows_C,0),MATCH(DB$26,LCIA_Columns,0)),0)*$AT62*$AK62*$BN$23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f t="shared" si="41"/>
        <v>0</v>
      </c>
      <c r="DP62">
        <f t="shared" si="41"/>
        <v>0</v>
      </c>
      <c r="DQ62">
        <f t="shared" si="41"/>
        <v>0</v>
      </c>
      <c r="DR62">
        <f t="shared" si="41"/>
        <v>0</v>
      </c>
      <c r="DS62">
        <f t="shared" si="41"/>
        <v>0</v>
      </c>
      <c r="DT62">
        <f t="shared" si="41"/>
        <v>0</v>
      </c>
      <c r="DU62">
        <f t="shared" si="41"/>
        <v>0</v>
      </c>
      <c r="DV62">
        <f t="shared" si="41"/>
        <v>0</v>
      </c>
      <c r="DW62">
        <f t="shared" si="40"/>
        <v>0</v>
      </c>
      <c r="DX62">
        <f t="shared" si="40"/>
        <v>0</v>
      </c>
      <c r="DY62">
        <f t="shared" si="40"/>
        <v>0</v>
      </c>
      <c r="DZ62">
        <f t="shared" si="40"/>
        <v>0</v>
      </c>
      <c r="EA62">
        <f t="shared" si="40"/>
        <v>0</v>
      </c>
      <c r="EB62">
        <f t="shared" si="21"/>
        <v>0</v>
      </c>
      <c r="EC62"/>
      <c r="ED62"/>
      <c r="EE62"/>
      <c r="EF62"/>
      <c r="EG62"/>
    </row>
    <row r="63" spans="2:137" ht="15" customHeight="1" thickBot="1">
      <c r="B63" s="53">
        <f t="shared" si="29"/>
        <v>0</v>
      </c>
      <c r="C63" s="32">
        <f t="shared" si="22"/>
        <v>34</v>
      </c>
      <c r="D63" s="47" t="str">
        <f>'Plant Inputs'!$D63</f>
        <v>Pigments</v>
      </c>
      <c r="E63" s="102"/>
      <c r="F63" s="231" t="str">
        <f>MassDisplayUnit</f>
        <v>short ton</v>
      </c>
      <c r="G63" s="228">
        <f t="shared" si="26"/>
        <v>0</v>
      </c>
      <c r="H63" s="227" t="str">
        <f t="shared" si="7"/>
        <v>short ton</v>
      </c>
      <c r="I63" s="157">
        <f t="shared" si="8"/>
        <v>0</v>
      </c>
      <c r="J63"/>
      <c r="K63"/>
      <c r="L63"/>
      <c r="M63"/>
      <c r="N63"/>
      <c r="O63"/>
      <c r="P63"/>
      <c r="Q63"/>
      <c r="R63"/>
      <c r="S63"/>
      <c r="T63"/>
      <c r="X63" s="67">
        <f t="shared" si="30"/>
        <v>0</v>
      </c>
      <c r="Y63" s="216">
        <f>IF(AND($X63=1,'Plant Inputs'!$Y63=1),1,0)</f>
        <v>0</v>
      </c>
      <c r="Z63" s="216"/>
      <c r="AA63" s="216">
        <f>IF($Y63=0,0,IF('Plant Inputs'!J63="",0,'Plant Inputs'!J63))</f>
        <v>0</v>
      </c>
      <c r="AB63" s="216">
        <f>IF($Y63=0,0,IF('Plant Inputs'!K63="",0,'Plant Inputs'!K63))</f>
        <v>0</v>
      </c>
      <c r="AC63" s="216">
        <f>IF($Y63=0,0,IF('Plant Inputs'!L63="",0,'Plant Inputs'!L63))</f>
        <v>0</v>
      </c>
      <c r="AD63" s="216">
        <f>IF($Y63=0,0,IF('Plant Inputs'!M63="",0,'Plant Inputs'!M63))</f>
        <v>0</v>
      </c>
      <c r="AE63" s="217" t="str">
        <f>'Plant Inputs'!$O63</f>
        <v>mile</v>
      </c>
      <c r="AF63" s="217">
        <f t="shared" si="9"/>
        <v>1.6093473468862911</v>
      </c>
      <c r="AG63" s="216" t="str">
        <f t="shared" si="23"/>
        <v>km/mile</v>
      </c>
      <c r="AH63" s="216">
        <f t="shared" si="42"/>
        <v>0</v>
      </c>
      <c r="AI63" s="216">
        <f t="shared" si="42"/>
        <v>0</v>
      </c>
      <c r="AJ63" s="216">
        <f t="shared" si="42"/>
        <v>0</v>
      </c>
      <c r="AK63" s="216">
        <f t="shared" si="42"/>
        <v>0</v>
      </c>
      <c r="AL63" s="216"/>
      <c r="AM63" s="1" t="str">
        <f t="shared" si="32"/>
        <v>Pigments</v>
      </c>
      <c r="AN63" t="s">
        <v>127</v>
      </c>
      <c r="AO63">
        <f t="shared" si="33"/>
        <v>0</v>
      </c>
      <c r="AP63" s="1">
        <f t="shared" si="24"/>
        <v>0</v>
      </c>
      <c r="AQ63" s="1" t="str">
        <f t="shared" si="34"/>
        <v>short ton</v>
      </c>
      <c r="AR63" s="1">
        <f t="shared" si="14"/>
        <v>0.90718499588591606</v>
      </c>
      <c r="AS63" s="87" t="str">
        <f t="shared" si="35"/>
        <v>tonne/short ton</v>
      </c>
      <c r="AT63" s="87">
        <f t="shared" si="36"/>
        <v>0</v>
      </c>
      <c r="AU63" s="87">
        <f t="shared" si="37"/>
        <v>0</v>
      </c>
      <c r="AV63" s="87">
        <f t="shared" si="18"/>
        <v>0</v>
      </c>
      <c r="AW63" t="str">
        <f t="shared" si="38"/>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IFERROR(INDEX(LCIA_Data,MATCH($AO$15&amp;CM$27,LCIA_Rows_B&amp;LCIA_Rows_C,0),MATCH(CM$26,LCIA_Columns,0)),0)*$AT63*$AJ63*$BN$23</f>
        <v>0</v>
      </c>
      <c r="CN63" s="1">
        <f t="array" ref="CN63">IFERROR(INDEX(LCIA_Data,MATCH($AO$15&amp;CN$27,LCIA_Rows_B&amp;LCIA_Rows_C,0),MATCH(CN$26,LCIA_Columns,0)),0)*$AT63*$AJ63*$BN$23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IFERROR(INDEX(LCIA_Data,MATCH($AO$15&amp;DA$27,LCIA_Rows_B&amp;LCIA_Rows_C,0),MATCH(DA$26,LCIA_Columns,0)),0)*$AT63*$AK63*$BN$23</f>
        <v>0</v>
      </c>
      <c r="DB63" s="1">
        <f t="array" ref="DB63">IFERROR(INDEX(LCIA_Data,MATCH($AO$15&amp;DB$27,LCIA_Rows_B&amp;LCIA_Rows_C,0),MATCH(DB$26,LCIA_Columns,0)),0)*$AT63*$AK63*$BN$23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f t="shared" si="41"/>
        <v>0</v>
      </c>
      <c r="DP63">
        <f t="shared" si="41"/>
        <v>0</v>
      </c>
      <c r="DQ63">
        <f t="shared" si="41"/>
        <v>0</v>
      </c>
      <c r="DR63">
        <f t="shared" si="41"/>
        <v>0</v>
      </c>
      <c r="DS63">
        <f t="shared" si="41"/>
        <v>0</v>
      </c>
      <c r="DT63">
        <f t="shared" si="41"/>
        <v>0</v>
      </c>
      <c r="DU63">
        <f t="shared" si="41"/>
        <v>0</v>
      </c>
      <c r="DV63">
        <f t="shared" si="41"/>
        <v>0</v>
      </c>
      <c r="DW63">
        <f t="shared" si="40"/>
        <v>0</v>
      </c>
      <c r="DX63">
        <f t="shared" si="40"/>
        <v>0</v>
      </c>
      <c r="DY63">
        <f t="shared" si="40"/>
        <v>0</v>
      </c>
      <c r="DZ63">
        <f t="shared" si="40"/>
        <v>0</v>
      </c>
      <c r="EA63">
        <f t="shared" si="40"/>
        <v>0</v>
      </c>
      <c r="EB63">
        <f t="shared" si="21"/>
        <v>0</v>
      </c>
      <c r="EC63"/>
      <c r="ED63"/>
      <c r="EE63"/>
      <c r="EF63"/>
      <c r="EG63"/>
    </row>
    <row r="64" spans="2:137" ht="15" customHeight="1" thickBot="1">
      <c r="B64" s="53">
        <f t="shared" si="29"/>
        <v>0</v>
      </c>
      <c r="C64" s="345">
        <f t="shared" si="22"/>
        <v>35</v>
      </c>
      <c r="D64" s="346" t="str">
        <f>'Plant Inputs'!$D64</f>
        <v>Net Consumables</v>
      </c>
      <c r="E64" s="347"/>
      <c r="F64" s="348" t="str">
        <f>VolumeDisplayUnit</f>
        <v>gallon</v>
      </c>
      <c r="G64" s="349">
        <f t="shared" si="26"/>
        <v>0</v>
      </c>
      <c r="H64" s="350" t="str">
        <f t="shared" si="7"/>
        <v>short ton</v>
      </c>
      <c r="I64" s="401">
        <f t="shared" si="8"/>
        <v>0</v>
      </c>
      <c r="J64"/>
      <c r="K64"/>
      <c r="L64"/>
      <c r="M64"/>
      <c r="N64"/>
      <c r="O64"/>
      <c r="P64"/>
      <c r="Q64"/>
      <c r="R64"/>
      <c r="S64"/>
      <c r="T64"/>
      <c r="X64" s="67">
        <f t="shared" si="30"/>
        <v>0</v>
      </c>
      <c r="Y64" s="216">
        <f>IF(AND($X64=1,'Plant Inputs'!$Y64=1),1,0)</f>
        <v>0</v>
      </c>
      <c r="Z64" s="216"/>
      <c r="AA64" s="216">
        <f>IF($Y64=0,0,IF('Plant Inputs'!J64="",0,'Plant Inputs'!J64))</f>
        <v>0</v>
      </c>
      <c r="AB64" s="216">
        <f>IF($Y64=0,0,IF('Plant Inputs'!K64="",0,'Plant Inputs'!K64))</f>
        <v>0</v>
      </c>
      <c r="AC64" s="216">
        <f>IF($Y64=0,0,IF('Plant Inputs'!L64="",0,'Plant Inputs'!L64))</f>
        <v>0</v>
      </c>
      <c r="AD64" s="216">
        <f>IF($Y64=0,0,IF('Plant Inputs'!M64="",0,'Plant Inputs'!M64))</f>
        <v>0</v>
      </c>
      <c r="AE64" s="217" t="str">
        <f>'Plant Inputs'!$O64</f>
        <v>mile</v>
      </c>
      <c r="AF64" s="217">
        <f t="shared" si="9"/>
        <v>1.6093473468862911</v>
      </c>
      <c r="AG64" s="216" t="str">
        <f t="shared" si="23"/>
        <v>km/mile</v>
      </c>
      <c r="AH64" s="216">
        <f t="shared" si="42"/>
        <v>0</v>
      </c>
      <c r="AI64" s="216">
        <f t="shared" si="42"/>
        <v>0</v>
      </c>
      <c r="AJ64" s="216">
        <f t="shared" si="42"/>
        <v>0</v>
      </c>
      <c r="AK64" s="216">
        <f t="shared" si="42"/>
        <v>0</v>
      </c>
      <c r="AL64" s="216"/>
      <c r="AM64" s="1" t="str">
        <f t="shared" si="32"/>
        <v>Net Consumables</v>
      </c>
      <c r="AN64" t="s">
        <v>128</v>
      </c>
      <c r="AO64">
        <f t="shared" si="33"/>
        <v>0.9</v>
      </c>
      <c r="AP64" s="1">
        <f t="shared" si="24"/>
        <v>0</v>
      </c>
      <c r="AQ64" s="1" t="str">
        <f t="shared" si="34"/>
        <v>gallon</v>
      </c>
      <c r="AR64" s="1">
        <f t="shared" si="14"/>
        <v>3.4068708000000005E-3</v>
      </c>
      <c r="AS64" s="87" t="str">
        <f t="shared" si="35"/>
        <v>tonne/gallon</v>
      </c>
      <c r="AT64" s="87">
        <f t="shared" si="36"/>
        <v>0</v>
      </c>
      <c r="AU64" s="87">
        <f t="shared" si="37"/>
        <v>0</v>
      </c>
      <c r="AV64" s="87">
        <f t="shared" si="18"/>
        <v>0</v>
      </c>
      <c r="AW64" t="str">
        <f t="shared" si="38"/>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IFERROR(INDEX(LCIA_Data,MATCH($AO$15&amp;CM$27,LCIA_Rows_B&amp;LCIA_Rows_C,0),MATCH(CM$26,LCIA_Columns,0)),0)*$AT64*$AJ64*$BN$23</f>
        <v>0</v>
      </c>
      <c r="CN64" s="1">
        <f t="array" ref="CN64">IFERROR(INDEX(LCIA_Data,MATCH($AO$15&amp;CN$27,LCIA_Rows_B&amp;LCIA_Rows_C,0),MATCH(CN$26,LCIA_Columns,0)),0)*$AT64*$AJ64*$BN$23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IFERROR(INDEX(LCIA_Data,MATCH($AO$15&amp;DA$27,LCIA_Rows_B&amp;LCIA_Rows_C,0),MATCH(DA$26,LCIA_Columns,0)),0)*$AT64*$AK64*$BN$23</f>
        <v>0</v>
      </c>
      <c r="DB64" s="1">
        <f t="array" ref="DB64">IFERROR(INDEX(LCIA_Data,MATCH($AO$15&amp;DB$27,LCIA_Rows_B&amp;LCIA_Rows_C,0),MATCH(DB$26,LCIA_Columns,0)),0)*$AT64*$AK64*$BN$23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f t="shared" si="41"/>
        <v>0</v>
      </c>
      <c r="DP64">
        <f t="shared" si="41"/>
        <v>0</v>
      </c>
      <c r="DQ64">
        <f t="shared" si="41"/>
        <v>0</v>
      </c>
      <c r="DR64">
        <f t="shared" si="41"/>
        <v>0</v>
      </c>
      <c r="DS64">
        <f t="shared" si="41"/>
        <v>0</v>
      </c>
      <c r="DT64">
        <f t="shared" si="41"/>
        <v>0</v>
      </c>
      <c r="DU64">
        <f t="shared" si="41"/>
        <v>0</v>
      </c>
      <c r="DV64">
        <f t="shared" si="41"/>
        <v>0</v>
      </c>
      <c r="DW64">
        <f t="shared" si="40"/>
        <v>0</v>
      </c>
      <c r="DX64">
        <f t="shared" si="40"/>
        <v>0</v>
      </c>
      <c r="DY64">
        <f t="shared" si="40"/>
        <v>0</v>
      </c>
      <c r="DZ64">
        <f t="shared" si="40"/>
        <v>0</v>
      </c>
      <c r="EA64">
        <f t="shared" si="40"/>
        <v>0</v>
      </c>
      <c r="EB64">
        <f t="shared" si="21"/>
        <v>0</v>
      </c>
      <c r="EC64"/>
      <c r="ED64"/>
      <c r="EE64"/>
      <c r="EF64"/>
      <c r="EG64"/>
    </row>
    <row r="65" spans="2:137" ht="15" customHeight="1" thickBot="1">
      <c r="B65" s="53">
        <f>X65</f>
        <v>0</v>
      </c>
      <c r="C65" s="221">
        <f t="shared" si="22"/>
        <v>36</v>
      </c>
      <c r="D65" s="222" t="str">
        <f>'Plant Inputs'!$D65</f>
        <v>Total Batch Water Use</v>
      </c>
      <c r="E65" s="343"/>
      <c r="F65" s="240" t="str">
        <f>WaterTotalDisplayUnit</f>
        <v>kgal</v>
      </c>
      <c r="G65" s="224">
        <f t="shared" si="26"/>
        <v>0</v>
      </c>
      <c r="H65" s="225" t="str">
        <f t="shared" si="7"/>
        <v>short ton</v>
      </c>
      <c r="I65" s="344">
        <f t="shared" si="8"/>
        <v>0</v>
      </c>
      <c r="J65"/>
      <c r="K65"/>
      <c r="L65"/>
      <c r="M65" s="50"/>
      <c r="N65" s="50"/>
      <c r="O65" s="50"/>
      <c r="P65" s="50"/>
      <c r="Q65" s="50"/>
      <c r="R65" s="50"/>
      <c r="S65" s="50"/>
      <c r="T65"/>
      <c r="X65" s="67">
        <f t="shared" si="30"/>
        <v>0</v>
      </c>
      <c r="Y65" s="216">
        <f>IF(AND($X65=1,'Plant Inputs'!$Y65=1),1,0)</f>
        <v>0</v>
      </c>
      <c r="Z65" s="216"/>
      <c r="AA65" s="216"/>
      <c r="AB65" s="216"/>
      <c r="AC65" s="216"/>
      <c r="AD65" s="216"/>
      <c r="AE65" s="217"/>
      <c r="AF65" s="217"/>
      <c r="AG65" s="216"/>
      <c r="AH65" s="216"/>
      <c r="AI65" s="216"/>
      <c r="AJ65" s="216"/>
      <c r="AK65" s="216"/>
      <c r="AL65" s="216"/>
      <c r="AM65" s="1" t="str">
        <f>D65</f>
        <v>Total Batch Water Use</v>
      </c>
      <c r="AN65" t="s">
        <v>128</v>
      </c>
      <c r="AO65">
        <f t="shared" si="33"/>
        <v>1</v>
      </c>
      <c r="AP65" s="1">
        <f t="shared" si="24"/>
        <v>0</v>
      </c>
      <c r="AQ65" s="1" t="str">
        <f t="shared" si="34"/>
        <v>kgal</v>
      </c>
      <c r="AR65" s="1">
        <f t="shared" si="14"/>
        <v>3.7854120000000004</v>
      </c>
      <c r="AS65" s="87" t="str">
        <f t="shared" si="35"/>
        <v>tonne/kgal</v>
      </c>
      <c r="AT65" s="87">
        <f t="shared" si="36"/>
        <v>0</v>
      </c>
      <c r="AU65" s="87">
        <f t="shared" si="37"/>
        <v>0</v>
      </c>
      <c r="AV65" s="87">
        <f t="shared" si="18"/>
        <v>0</v>
      </c>
      <c r="AW65" t="str">
        <f t="shared" si="38"/>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R65" s="1"/>
      <c r="BS65" s="1"/>
      <c r="BT65" s="1"/>
      <c r="BU65" s="1"/>
      <c r="BV65" s="1"/>
      <c r="BW65" s="1"/>
      <c r="BX65" s="1"/>
      <c r="BY65" s="1"/>
      <c r="BZ65" s="1"/>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row>
    <row r="66" spans="2:137" ht="15" customHeight="1">
      <c r="B66" s="53">
        <f>X66</f>
        <v>0</v>
      </c>
      <c r="C66" s="26">
        <f t="shared" si="22"/>
        <v>37</v>
      </c>
      <c r="D66" s="46" t="str">
        <f>'Plant Inputs'!$D66</f>
        <v>Total Plant Water Use</v>
      </c>
      <c r="E66" s="422">
        <f>'Plant Inputs'!$AY$12*$AR$18*INDEX(Conversion_Table,MATCH(WaterCalcUnit,Conversion_Rows,0),MATCH($F$66,Conversion_Columns,0))</f>
        <v>0</v>
      </c>
      <c r="F66" s="204" t="str">
        <f>'Plant Inputs'!F66</f>
        <v>kgal</v>
      </c>
      <c r="G66" s="158">
        <f t="shared" si="26"/>
        <v>0</v>
      </c>
      <c r="H66" s="213" t="str">
        <f t="shared" si="7"/>
        <v>short ton</v>
      </c>
      <c r="I66" s="219"/>
      <c r="J66"/>
      <c r="K66"/>
      <c r="L66"/>
      <c r="M66" s="50"/>
      <c r="N66" s="50"/>
      <c r="O66" s="50"/>
      <c r="P66" s="50"/>
      <c r="Q66" s="50"/>
      <c r="R66" s="50"/>
      <c r="S66" s="50"/>
      <c r="T66" s="51"/>
      <c r="X66" s="67">
        <f>'Plant Inputs'!X66</f>
        <v>0</v>
      </c>
      <c r="Y66" s="216">
        <f>IF(AND($X66=1,'Plant Inputs'!$Y66=1),1,0)</f>
        <v>0</v>
      </c>
      <c r="Z66" s="216"/>
      <c r="AA66" s="216"/>
      <c r="AB66" s="216"/>
      <c r="AC66" s="216"/>
      <c r="AD66" s="216"/>
      <c r="AE66" s="217"/>
      <c r="AF66" s="217"/>
      <c r="AG66" s="216"/>
      <c r="AH66" s="216"/>
      <c r="AI66" s="216"/>
      <c r="AJ66" s="216"/>
      <c r="AK66" s="216"/>
      <c r="AL66" s="216"/>
      <c r="AM66" s="1" t="str">
        <f>D66</f>
        <v>Total Plant Water Use</v>
      </c>
      <c r="AN66" t="s">
        <v>128</v>
      </c>
      <c r="AO66">
        <f>VLOOKUP(AM66,Material_Densities,2,FALSE)</f>
        <v>1</v>
      </c>
      <c r="AP66" s="1">
        <f t="shared" si="24"/>
        <v>0</v>
      </c>
      <c r="AQ66" s="1" t="str">
        <f>F66</f>
        <v>kgal</v>
      </c>
      <c r="AR66" s="1">
        <f t="shared" si="14"/>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 t="array" ref="AX66">IFERROR(INDEX(LCIA_Data,MATCH($AO$15&amp;AX$27,LCIA_Rows_B&amp;LCIA_Rows_C,0),MATCH($D66,LCIA_Columns,0)),0)*$AU66</f>
        <v>0</v>
      </c>
      <c r="AY66" s="148">
        <f t="array" ref="AY66">IFERROR(INDEX(LCIA_Data,MATCH($AO$15&amp;AY$27,LCIA_Rows_B&amp;LCIA_Rows_C,0),MATCH($D66,LCIA_Columns,0)),0)*$AU66</f>
        <v>0</v>
      </c>
      <c r="AZ66" s="148">
        <f t="array" ref="AZ66">IFERROR(INDEX(LCIA_Data,MATCH($AO$15&amp;AZ$27,LCIA_Rows_B&amp;LCIA_Rows_C,0),MATCH($D66,LCIA_Columns,0)),0)*$AU66</f>
        <v>0</v>
      </c>
      <c r="BA66" s="148">
        <f t="array" ref="BA66">IFERROR(INDEX(LCIA_Data,MATCH($AO$15&amp;BA$27,LCIA_Rows_B&amp;LCIA_Rows_C,0),MATCH($D66,LCIA_Columns,0)),0)*$AU66</f>
        <v>0</v>
      </c>
      <c r="BB66" s="148">
        <f t="array" ref="BB66">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R66" s="1"/>
      <c r="BS66" s="1"/>
      <c r="BT66" s="1"/>
      <c r="BU66" s="1"/>
      <c r="BV66" s="1"/>
      <c r="BW66" s="1"/>
      <c r="BX66" s="1"/>
      <c r="BY66" s="1"/>
      <c r="BZ66" s="1"/>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row>
    <row r="67" spans="2:137" ht="15" customHeight="1" thickBot="1">
      <c r="B67" s="53">
        <f>X67</f>
        <v>0</v>
      </c>
      <c r="C67" s="32">
        <f t="shared" si="22"/>
        <v>38</v>
      </c>
      <c r="D67" s="47" t="str">
        <f>'Plant Inputs'!$D67</f>
        <v>Percentage of Batch Water that is Recycled Water</v>
      </c>
      <c r="E67" s="423">
        <f>'Plant Inputs'!E67</f>
        <v>0</v>
      </c>
      <c r="F67" s="204" t="s">
        <v>153</v>
      </c>
      <c r="G67" s="158"/>
      <c r="H67" s="213"/>
      <c r="I67" s="218"/>
      <c r="J67"/>
      <c r="K67"/>
      <c r="L67"/>
      <c r="M67" s="50"/>
      <c r="N67" s="50"/>
      <c r="O67" s="50"/>
      <c r="P67" s="50"/>
      <c r="Q67" s="50"/>
      <c r="R67" s="50"/>
      <c r="S67" s="50"/>
      <c r="T67" s="51"/>
      <c r="X67" s="67">
        <f>'Plant Inputs'!X67</f>
        <v>0</v>
      </c>
      <c r="Y67" s="216">
        <f>IF(AND($X67=1,'Plant Inputs'!$Y67=1),1,0)</f>
        <v>0</v>
      </c>
      <c r="Z67" s="216"/>
      <c r="AA67" s="216"/>
      <c r="AB67" s="216"/>
      <c r="AC67" s="216"/>
      <c r="AD67" s="216"/>
      <c r="AE67" s="217"/>
      <c r="AF67" s="217"/>
      <c r="AG67" s="216"/>
      <c r="AH67" s="216"/>
      <c r="AI67" s="216"/>
      <c r="AJ67" s="216"/>
      <c r="AK67" s="216"/>
      <c r="AL67" s="216"/>
      <c r="AM67" s="89" t="str">
        <f>D67</f>
        <v>Percentage of Batch Water that is Recycled Water</v>
      </c>
      <c r="AN67" s="90" t="s">
        <v>128</v>
      </c>
      <c r="AO67" s="90">
        <f>VLOOKUP(AM67,Material_Densities,2,FALSE)</f>
        <v>0</v>
      </c>
      <c r="AP67" s="89">
        <f t="shared" si="24"/>
        <v>0</v>
      </c>
      <c r="AQ67" s="89" t="str">
        <f>F67</f>
        <v>%</v>
      </c>
      <c r="AR67" s="89">
        <f>IFERROR(IF($AN67="M",INDEX(Conversion_Table,MATCH($AQ67,Conversion_Rows,0),MATCH($AT$29,Conversion_Columns,0)),IF($AN67="V",INDEX(Conversion_Table,MATCH($AQ67,Conversion_Rows,0),MATCH("m3",Conversion_Columns,0))*$AO67)),0)</f>
        <v>0</v>
      </c>
      <c r="AS67" s="91" t="str">
        <f>$AT$29&amp;"/"&amp;AQ67</f>
        <v>tonne/%</v>
      </c>
      <c r="AT67" s="91">
        <f>AP67*AR67</f>
        <v>0</v>
      </c>
      <c r="AU67" s="91">
        <f>INDEX(Conversion_Table,MATCH($AT$29,Conversion_Rows,0),MATCH($AU$29,Conversion_Columns,0))*AT67</f>
        <v>0</v>
      </c>
      <c r="AV67" s="91"/>
      <c r="AW67" s="90" t="str">
        <f>AM67</f>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R67" s="1"/>
      <c r="BS67" s="1"/>
      <c r="BT67" s="1"/>
      <c r="BU67" s="1"/>
      <c r="BV67" s="1"/>
      <c r="BW67" s="1"/>
      <c r="BX67" s="1"/>
      <c r="BY67" s="1"/>
      <c r="BZ67" s="1"/>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row>
    <row r="68" spans="2:137" ht="15" customHeight="1" thickBot="1">
      <c r="F68" s="92" t="s">
        <v>209</v>
      </c>
      <c r="G68" s="159">
        <f>SUM(G30:G65)-G64-G48</f>
        <v>0</v>
      </c>
      <c r="H68" s="214" t="str">
        <f>MassDisplayUnit</f>
        <v>short ton</v>
      </c>
      <c r="J68"/>
      <c r="K68"/>
      <c r="L68"/>
      <c r="M68" s="38"/>
      <c r="N68" s="38"/>
      <c r="O68" s="38"/>
      <c r="P68" s="38"/>
      <c r="Q68" s="38"/>
      <c r="R68" s="38"/>
      <c r="S68" s="38"/>
      <c r="T68" s="71"/>
      <c r="AN68" s="1"/>
      <c r="AO68" s="1"/>
      <c r="AP68" s="1"/>
      <c r="AS68" t="s">
        <v>486</v>
      </c>
      <c r="AT68" s="87">
        <f>SUM(AT30:AT65)</f>
        <v>0</v>
      </c>
      <c r="AU68" s="87">
        <f>SUM(AU30:AU65)</f>
        <v>0</v>
      </c>
      <c r="AV68" s="87"/>
      <c r="AX68" s="146">
        <f>SUM(AX30:AX64)+AX66</f>
        <v>0</v>
      </c>
      <c r="AY68" s="146">
        <f t="shared" ref="AY68:BC68" si="43">SUM(AY30:AY64)+AY66</f>
        <v>0</v>
      </c>
      <c r="AZ68" s="146">
        <f t="shared" si="43"/>
        <v>0</v>
      </c>
      <c r="BA68" s="146">
        <f t="shared" si="43"/>
        <v>0</v>
      </c>
      <c r="BB68" s="146">
        <f t="shared" si="43"/>
        <v>0</v>
      </c>
      <c r="BC68" s="146">
        <f t="shared" si="43"/>
        <v>0</v>
      </c>
      <c r="BD68" s="146">
        <f>SUM(BD30:BD64)+BD66</f>
        <v>0</v>
      </c>
      <c r="BE68" s="146">
        <f t="shared" ref="BE68:BH68" si="44">SUM(BE30:BE64)+BE66</f>
        <v>0</v>
      </c>
      <c r="BF68" s="146">
        <f t="shared" si="44"/>
        <v>0</v>
      </c>
      <c r="BG68" s="146">
        <f t="shared" si="44"/>
        <v>0</v>
      </c>
      <c r="BH68" s="146">
        <f t="shared" si="44"/>
        <v>0</v>
      </c>
      <c r="BI68" s="146">
        <f t="shared" ref="BI68:BK68" si="45">SUM(BI30:BI64)+BI66</f>
        <v>0</v>
      </c>
      <c r="BJ68" s="146">
        <f t="shared" si="45"/>
        <v>0</v>
      </c>
      <c r="BK68" s="146">
        <f t="shared" si="45"/>
        <v>0</v>
      </c>
      <c r="BM68">
        <f>SUM(BM30:BM64)</f>
        <v>0</v>
      </c>
      <c r="BN68">
        <f t="shared" ref="BN68:BZ68" si="46">SUM(BN30:BN64)</f>
        <v>0</v>
      </c>
      <c r="BO68">
        <f t="shared" si="46"/>
        <v>0</v>
      </c>
      <c r="BP68">
        <f t="shared" si="46"/>
        <v>0</v>
      </c>
      <c r="BQ68">
        <f t="shared" si="46"/>
        <v>0</v>
      </c>
      <c r="BR68">
        <f t="shared" si="46"/>
        <v>0</v>
      </c>
      <c r="BS68">
        <f t="shared" si="46"/>
        <v>0</v>
      </c>
      <c r="BT68">
        <f t="shared" si="46"/>
        <v>0</v>
      </c>
      <c r="BU68">
        <f t="shared" si="46"/>
        <v>0</v>
      </c>
      <c r="BV68">
        <f t="shared" si="46"/>
        <v>0</v>
      </c>
      <c r="BW68">
        <f t="shared" si="46"/>
        <v>0</v>
      </c>
      <c r="BX68">
        <f t="shared" si="46"/>
        <v>0</v>
      </c>
      <c r="BY68">
        <f t="shared" si="46"/>
        <v>0</v>
      </c>
      <c r="BZ68">
        <f t="shared" si="46"/>
        <v>0</v>
      </c>
      <c r="CA68">
        <f>SUM(CA30:CA64)</f>
        <v>0</v>
      </c>
      <c r="CB68">
        <f t="shared" ref="CB68:CL68" si="47">SUM(CB30:CB64)</f>
        <v>0</v>
      </c>
      <c r="CC68">
        <f t="shared" si="47"/>
        <v>0</v>
      </c>
      <c r="CD68">
        <f t="shared" si="47"/>
        <v>0</v>
      </c>
      <c r="CE68">
        <f t="shared" si="47"/>
        <v>0</v>
      </c>
      <c r="CF68">
        <f t="shared" si="47"/>
        <v>0</v>
      </c>
      <c r="CG68">
        <f t="shared" si="47"/>
        <v>0</v>
      </c>
      <c r="CH68">
        <f t="shared" si="47"/>
        <v>0</v>
      </c>
      <c r="CI68">
        <f t="shared" si="47"/>
        <v>0</v>
      </c>
      <c r="CJ68">
        <f t="shared" si="47"/>
        <v>0</v>
      </c>
      <c r="CK68">
        <f t="shared" si="47"/>
        <v>0</v>
      </c>
      <c r="CL68">
        <f t="shared" si="47"/>
        <v>0</v>
      </c>
      <c r="CM68">
        <f>SUM(CM30:CM64)</f>
        <v>0</v>
      </c>
      <c r="CN68">
        <f t="shared" ref="CN68:CZ68" si="48">SUM(CN30:CN64)</f>
        <v>0</v>
      </c>
      <c r="CO68">
        <f t="shared" si="48"/>
        <v>0</v>
      </c>
      <c r="CP68">
        <f t="shared" si="48"/>
        <v>0</v>
      </c>
      <c r="CQ68">
        <f t="shared" si="48"/>
        <v>0</v>
      </c>
      <c r="CR68">
        <f t="shared" si="48"/>
        <v>0</v>
      </c>
      <c r="CS68">
        <f t="shared" si="48"/>
        <v>0</v>
      </c>
      <c r="CT68">
        <f t="shared" si="48"/>
        <v>0</v>
      </c>
      <c r="CU68">
        <f t="shared" si="48"/>
        <v>0</v>
      </c>
      <c r="CV68">
        <f t="shared" si="48"/>
        <v>0</v>
      </c>
      <c r="CW68">
        <f t="shared" si="48"/>
        <v>0</v>
      </c>
      <c r="CX68">
        <f t="shared" si="48"/>
        <v>0</v>
      </c>
      <c r="CY68">
        <f t="shared" si="48"/>
        <v>0</v>
      </c>
      <c r="CZ68">
        <f t="shared" si="48"/>
        <v>0</v>
      </c>
      <c r="DA68">
        <f>SUM(DA30:DA64)</f>
        <v>0</v>
      </c>
      <c r="DB68">
        <f t="shared" ref="DB68:DN68" si="49">SUM(DB30:DB64)</f>
        <v>0</v>
      </c>
      <c r="DC68">
        <f t="shared" si="49"/>
        <v>0</v>
      </c>
      <c r="DD68">
        <f t="shared" si="49"/>
        <v>0</v>
      </c>
      <c r="DE68">
        <f t="shared" si="49"/>
        <v>0</v>
      </c>
      <c r="DF68">
        <f t="shared" si="49"/>
        <v>0</v>
      </c>
      <c r="DG68">
        <f t="shared" si="49"/>
        <v>0</v>
      </c>
      <c r="DH68">
        <f t="shared" si="49"/>
        <v>0</v>
      </c>
      <c r="DI68">
        <f t="shared" si="49"/>
        <v>0</v>
      </c>
      <c r="DJ68">
        <f t="shared" si="49"/>
        <v>0</v>
      </c>
      <c r="DK68">
        <f t="shared" si="49"/>
        <v>0</v>
      </c>
      <c r="DL68">
        <f t="shared" si="49"/>
        <v>0</v>
      </c>
      <c r="DM68">
        <f t="shared" si="49"/>
        <v>0</v>
      </c>
      <c r="DN68">
        <f t="shared" si="49"/>
        <v>0</v>
      </c>
      <c r="DO68">
        <f>SUM(DO30:DO64)</f>
        <v>0</v>
      </c>
      <c r="DP68">
        <f t="shared" ref="DP68:DS68" si="50">SUM(DP30:DP64)</f>
        <v>0</v>
      </c>
      <c r="DQ68">
        <f t="shared" si="50"/>
        <v>0</v>
      </c>
      <c r="DR68">
        <f t="shared" si="50"/>
        <v>0</v>
      </c>
      <c r="DS68">
        <f t="shared" si="50"/>
        <v>0</v>
      </c>
      <c r="DT68">
        <f>SUM(DT30:DT64)</f>
        <v>0</v>
      </c>
      <c r="DU68">
        <f t="shared" ref="DU68:EA68" si="51">SUM(DU30:DU64)</f>
        <v>0</v>
      </c>
      <c r="DV68">
        <f t="shared" si="51"/>
        <v>0</v>
      </c>
      <c r="DW68">
        <f t="shared" si="51"/>
        <v>0</v>
      </c>
      <c r="DX68">
        <f t="shared" si="51"/>
        <v>0</v>
      </c>
      <c r="DY68">
        <f t="shared" si="51"/>
        <v>0</v>
      </c>
      <c r="DZ68">
        <f t="shared" si="51"/>
        <v>0</v>
      </c>
      <c r="EA68">
        <f t="shared" si="51"/>
        <v>0</v>
      </c>
      <c r="EB68">
        <f>SUM(EB30:EB64)</f>
        <v>0</v>
      </c>
      <c r="EC68"/>
      <c r="ED68"/>
      <c r="EE68"/>
      <c r="EF68"/>
      <c r="EG68"/>
    </row>
    <row r="69" spans="2:137" ht="15" customHeight="1">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c r="CB69"/>
      <c r="CC69"/>
      <c r="CD69"/>
      <c r="CE69"/>
      <c r="CF69"/>
      <c r="CG69"/>
      <c r="CH69"/>
      <c r="CI69"/>
      <c r="CJ69"/>
      <c r="CK69"/>
      <c r="CL69"/>
      <c r="CM69"/>
      <c r="CN69"/>
      <c r="CO69"/>
      <c r="CP69"/>
      <c r="CQ69"/>
      <c r="CR69"/>
      <c r="CS69" s="318">
        <f>DO68-$BM71</f>
        <v>0</v>
      </c>
      <c r="CT69" s="318">
        <f>DP68-$BM71</f>
        <v>0</v>
      </c>
      <c r="CU69" s="318">
        <f>DQ68-$BM71</f>
        <v>0</v>
      </c>
      <c r="CV69" s="318">
        <f>DR68-$BM71</f>
        <v>0</v>
      </c>
      <c r="CW69" s="318">
        <f>DS68-$BM71</f>
        <v>0</v>
      </c>
      <c r="CX69" s="318">
        <f t="shared" ref="CX69:CY69" si="52">DT68-$BM71</f>
        <v>0</v>
      </c>
      <c r="CY69" s="318">
        <f t="shared" si="52"/>
        <v>0</v>
      </c>
      <c r="CZ69" s="318">
        <f>DT68-$BM71</f>
        <v>0</v>
      </c>
      <c r="DA69" s="318"/>
      <c r="DB69" s="318"/>
      <c r="DC69" s="318"/>
      <c r="DD69" s="318"/>
      <c r="DE69" s="318"/>
      <c r="DF69" s="318">
        <f>EB68-$BZ71</f>
        <v>0</v>
      </c>
      <c r="DG69"/>
      <c r="DH69"/>
      <c r="DI69"/>
      <c r="DJ69"/>
      <c r="DK69"/>
    </row>
    <row r="70" spans="2:137" ht="15" hidden="1" customHeight="1"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7" ht="21" hidden="1" thickBot="1">
      <c r="C71" s="16" t="s">
        <v>244</v>
      </c>
      <c r="D71" s="17"/>
      <c r="E71" s="17"/>
      <c r="F71" s="17"/>
      <c r="G71" s="17"/>
      <c r="H71" s="17"/>
      <c r="I71" s="17"/>
      <c r="J71" s="18"/>
      <c r="K71"/>
      <c r="L71"/>
      <c r="AN71" s="1"/>
      <c r="AO71" s="1"/>
      <c r="AP71" s="1"/>
      <c r="BL71" s="143" t="s">
        <v>726</v>
      </c>
      <c r="BM71" s="144">
        <f t="shared" ref="BM71:BY71" si="53">BM$68+CA$68+CM$68+DA$68</f>
        <v>0</v>
      </c>
      <c r="BN71" s="144">
        <f t="shared" si="53"/>
        <v>0</v>
      </c>
      <c r="BO71" s="144">
        <f t="shared" si="53"/>
        <v>0</v>
      </c>
      <c r="BP71" s="144">
        <f t="shared" si="53"/>
        <v>0</v>
      </c>
      <c r="BQ71" s="144">
        <f t="shared" si="53"/>
        <v>0</v>
      </c>
      <c r="BR71" s="144">
        <f t="shared" si="53"/>
        <v>0</v>
      </c>
      <c r="BS71" s="144">
        <f t="shared" si="53"/>
        <v>0</v>
      </c>
      <c r="BT71" s="144">
        <f t="shared" si="53"/>
        <v>0</v>
      </c>
      <c r="BU71" s="144">
        <f t="shared" si="53"/>
        <v>0</v>
      </c>
      <c r="BV71" s="144">
        <f t="shared" si="53"/>
        <v>0</v>
      </c>
      <c r="BW71" s="144">
        <f t="shared" si="53"/>
        <v>0</v>
      </c>
      <c r="BX71" s="144">
        <f t="shared" si="53"/>
        <v>0</v>
      </c>
      <c r="BY71" s="144">
        <f t="shared" si="53"/>
        <v>0</v>
      </c>
      <c r="BZ71" s="144">
        <f>BZ$68+CL$68+CZ$68+DN$68</f>
        <v>0</v>
      </c>
      <c r="CA71"/>
      <c r="CB71"/>
      <c r="CC71"/>
      <c r="CD71"/>
      <c r="CE71"/>
      <c r="CF71"/>
      <c r="CG71"/>
      <c r="CH71"/>
    </row>
    <row r="72" spans="2:137" ht="15" hidden="1" customHeight="1" thickBot="1">
      <c r="C72" s="73" t="s">
        <v>245</v>
      </c>
      <c r="D72" s="74"/>
      <c r="E72" s="74"/>
      <c r="F72" s="74"/>
      <c r="G72" s="74"/>
      <c r="H72" s="74"/>
      <c r="I72" s="131"/>
      <c r="J72" s="165"/>
      <c r="K72"/>
      <c r="L72"/>
      <c r="AN72" s="1"/>
      <c r="AO72" s="1"/>
      <c r="AP72" s="1"/>
    </row>
    <row r="73" spans="2:137" ht="30" hidden="1" customHeight="1">
      <c r="C73" s="31"/>
      <c r="I73" s="663" t="s">
        <v>208</v>
      </c>
      <c r="J73" s="689" t="s">
        <v>262</v>
      </c>
      <c r="K73"/>
      <c r="L73"/>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7" ht="30" hidden="1" customHeight="1">
      <c r="C74" s="21"/>
      <c r="D74" s="30"/>
      <c r="E74" s="30"/>
      <c r="F74" s="30"/>
      <c r="G74" s="30"/>
      <c r="H74" s="30"/>
      <c r="I74" s="664"/>
      <c r="J74" s="690"/>
      <c r="K74"/>
      <c r="L74"/>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7" ht="33.75" hidden="1" customHeight="1">
      <c r="C75" s="355" t="s">
        <v>2</v>
      </c>
      <c r="D75" s="356" t="s">
        <v>10</v>
      </c>
      <c r="E75" s="402" t="s">
        <v>116</v>
      </c>
      <c r="F75" s="167" t="s">
        <v>6</v>
      </c>
      <c r="G75" s="168" t="str">
        <f>IF($Y$2="Custom","Custom Project Operating Energy","Operating Energy
 of Category "&amp;$Y$2)</f>
        <v>Custom Project Operating Energy</v>
      </c>
      <c r="H75" s="167" t="s">
        <v>6</v>
      </c>
      <c r="I75" s="135" t="str">
        <f>TRACITotalDisplayUnit</f>
        <v>short ton</v>
      </c>
      <c r="J75" s="166" t="str">
        <f>EnergyTotalDisplayUnit</f>
        <v>MMBtu</v>
      </c>
      <c r="K75"/>
      <c r="L75"/>
      <c r="Y75"/>
      <c r="Z75"/>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7" ht="15" hidden="1" customHeight="1">
      <c r="B76" s="53">
        <f t="shared" ref="B76:B86" si="54">X76</f>
        <v>0</v>
      </c>
      <c r="C76" s="26">
        <v>1</v>
      </c>
      <c r="D76" s="46" t="s">
        <v>78</v>
      </c>
      <c r="E76" s="420">
        <f>'Plant Inputs'!$G76</f>
        <v>0</v>
      </c>
      <c r="F76" s="204" t="str">
        <f>'Plant Inputs'!$H76</f>
        <v>kWh/short ton</v>
      </c>
      <c r="G76" s="160">
        <f t="shared" ref="G76:G86" si="55">$E76*$E$18</f>
        <v>0</v>
      </c>
      <c r="H76" s="204" t="str">
        <f t="shared" ref="H76:H86" si="56">LEFT(F76,FIND("/",F76)-1)</f>
        <v>kWh</v>
      </c>
      <c r="I76" s="160">
        <f>$BI76</f>
        <v>0</v>
      </c>
      <c r="J76" s="177">
        <f>$BN76</f>
        <v>0</v>
      </c>
      <c r="K76"/>
      <c r="L76"/>
      <c r="X76" s="65">
        <f>'Plant Inputs'!$X76</f>
        <v>0</v>
      </c>
      <c r="Y76" s="216">
        <f>IF(AND($X76=1,'Plant Inputs'!$Y76=1),1,0)</f>
        <v>0</v>
      </c>
      <c r="Z76" s="216"/>
      <c r="AA76" s="216"/>
      <c r="AB76" s="216"/>
      <c r="AC76" s="216"/>
      <c r="AD76" s="216"/>
      <c r="AE76" s="216"/>
      <c r="AF76" s="216"/>
      <c r="AG76" s="216"/>
      <c r="AH76" s="216"/>
      <c r="AI76" s="216"/>
      <c r="AJ76" s="216"/>
      <c r="AK76" s="216"/>
      <c r="AL76" s="216"/>
      <c r="AM76" s="1" t="str">
        <f t="shared" ref="AM76:AM86" si="57">D76</f>
        <v>Purchased Electricity (from Regional Electricity Grid)</v>
      </c>
      <c r="AN76" s="403">
        <f>G76</f>
        <v>0</v>
      </c>
      <c r="AO76" s="164" t="str">
        <f>H76</f>
        <v>kWh</v>
      </c>
      <c r="AP76" s="1">
        <f t="shared" ref="AP76:AP86" si="58">INDEX(Conversion_Table,MATCH($AS76,Conversion_Rows,0),MATCH($AO76,Conversion_Columns,0))</f>
        <v>1</v>
      </c>
      <c r="AQ76" s="87" t="str">
        <f t="shared" ref="AQ76:AQ86" si="59">AO76&amp;"/"&amp;$AS76</f>
        <v>kWh/kWh</v>
      </c>
      <c r="AR76">
        <f t="shared" ref="AR76:AR86" si="60">AN76/AP76</f>
        <v>0</v>
      </c>
      <c r="AS76" s="87" t="str">
        <f>'CPCI Data'!$W$12</f>
        <v>kWh</v>
      </c>
      <c r="AT76">
        <f>$AO$15</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V87" si="61">IF($AR$18=0,0,AU76*INDEX(Conversion_Table,MATCH(AU$75,Conversion_Rows,0),MATCH(BI$75,Conversion_Columns,0)))</f>
        <v>0</v>
      </c>
      <c r="BJ76" s="360">
        <f t="shared" si="61"/>
        <v>0</v>
      </c>
      <c r="BK76" s="360">
        <f t="shared" si="61"/>
        <v>0</v>
      </c>
      <c r="BL76" s="360">
        <f t="shared" si="61"/>
        <v>0</v>
      </c>
      <c r="BM76" s="360">
        <f t="shared" si="61"/>
        <v>0</v>
      </c>
      <c r="BN76" s="360">
        <f t="shared" si="61"/>
        <v>0</v>
      </c>
      <c r="BO76" s="360">
        <f t="shared" si="61"/>
        <v>0</v>
      </c>
      <c r="BP76" s="360">
        <f t="shared" si="61"/>
        <v>0</v>
      </c>
      <c r="BQ76" s="360">
        <f t="shared" si="61"/>
        <v>0</v>
      </c>
      <c r="BR76" s="360">
        <f t="shared" si="61"/>
        <v>0</v>
      </c>
      <c r="BS76" s="360">
        <f t="shared" si="61"/>
        <v>0</v>
      </c>
      <c r="BT76" s="360">
        <f t="shared" si="61"/>
        <v>0</v>
      </c>
      <c r="BU76" s="360">
        <f t="shared" si="61"/>
        <v>0</v>
      </c>
      <c r="BV76" s="360">
        <f t="shared" si="61"/>
        <v>0</v>
      </c>
      <c r="BW76" s="362">
        <f t="shared" ref="BW76:CJ87" si="62">IF($AT$18=0,0,AU76*INDEX(Conversion_Table,MATCH(AU$75,Conversion_Rows,0),MATCH(BW$75,Conversion_Columns,0))/$AT$18)</f>
        <v>0</v>
      </c>
      <c r="BX76" s="362">
        <f t="shared" si="62"/>
        <v>0</v>
      </c>
      <c r="BY76" s="362">
        <f t="shared" si="62"/>
        <v>0</v>
      </c>
      <c r="BZ76" s="362">
        <f t="shared" si="62"/>
        <v>0</v>
      </c>
      <c r="CA76" s="362">
        <f t="shared" si="62"/>
        <v>0</v>
      </c>
      <c r="CB76" s="362">
        <f t="shared" si="62"/>
        <v>0</v>
      </c>
      <c r="CC76" s="362">
        <f t="shared" si="62"/>
        <v>0</v>
      </c>
      <c r="CD76" s="362">
        <f t="shared" si="62"/>
        <v>0</v>
      </c>
      <c r="CE76" s="362">
        <f t="shared" si="62"/>
        <v>0</v>
      </c>
      <c r="CF76" s="362">
        <f t="shared" si="62"/>
        <v>0</v>
      </c>
      <c r="CG76" s="362">
        <f t="shared" si="62"/>
        <v>0</v>
      </c>
      <c r="CH76" s="362">
        <f t="shared" si="62"/>
        <v>0</v>
      </c>
      <c r="CI76" s="362">
        <f t="shared" si="62"/>
        <v>0</v>
      </c>
      <c r="CJ76" s="362">
        <f t="shared" si="62"/>
        <v>0</v>
      </c>
      <c r="CK76"/>
      <c r="CL76"/>
      <c r="CM76"/>
      <c r="CN76"/>
      <c r="CO76"/>
      <c r="CP76"/>
      <c r="CQ76"/>
      <c r="CR76"/>
      <c r="CS76"/>
      <c r="CT76"/>
      <c r="CU76"/>
      <c r="CV76"/>
      <c r="CW76"/>
      <c r="CX76"/>
      <c r="CY76"/>
      <c r="CZ76"/>
      <c r="DA76"/>
      <c r="DB76"/>
    </row>
    <row r="77" spans="2:137" ht="15" hidden="1" customHeight="1">
      <c r="B77" s="53">
        <f t="shared" si="54"/>
        <v>0</v>
      </c>
      <c r="C77" s="26">
        <v>2</v>
      </c>
      <c r="D77" s="46" t="s">
        <v>470</v>
      </c>
      <c r="E77" s="420">
        <f>'Plant Inputs'!$G77</f>
        <v>0</v>
      </c>
      <c r="F77" s="204" t="str">
        <f>'Plant Inputs'!$H77</f>
        <v>kWh/short ton</v>
      </c>
      <c r="G77" s="160">
        <f t="shared" si="55"/>
        <v>0</v>
      </c>
      <c r="H77" s="204" t="str">
        <f t="shared" si="56"/>
        <v>kWh</v>
      </c>
      <c r="I77" s="160">
        <f t="shared" ref="I77:I87" si="63">$BI77</f>
        <v>0</v>
      </c>
      <c r="J77" s="177">
        <f t="shared" ref="J77:J87" si="64">$BN77</f>
        <v>0</v>
      </c>
      <c r="K77"/>
      <c r="L77"/>
      <c r="X77" s="65">
        <f>'Plant Inputs'!$X77</f>
        <v>0</v>
      </c>
      <c r="Y77" s="216">
        <f>IF(AND($X77=1,'Plant Inputs'!$Y77=1),1,0)</f>
        <v>0</v>
      </c>
      <c r="Z77" s="216"/>
      <c r="AA77" s="216"/>
      <c r="AB77" s="216"/>
      <c r="AC77" s="216"/>
      <c r="AD77" s="216"/>
      <c r="AE77" s="216"/>
      <c r="AF77" s="216"/>
      <c r="AG77" s="216"/>
      <c r="AH77" s="216"/>
      <c r="AI77" s="216"/>
      <c r="AJ77" s="216"/>
      <c r="AK77" s="216"/>
      <c r="AL77" s="216"/>
      <c r="AM77" s="1" t="str">
        <f t="shared" si="57"/>
        <v>On-Site Generated Electricity - Solar</v>
      </c>
      <c r="AN77" s="403">
        <f t="shared" ref="AN77:AO86" si="65">G77</f>
        <v>0</v>
      </c>
      <c r="AO77" s="164" t="str">
        <f t="shared" si="65"/>
        <v>kWh</v>
      </c>
      <c r="AP77" s="1">
        <f t="shared" si="58"/>
        <v>1</v>
      </c>
      <c r="AQ77" s="87" t="str">
        <f t="shared" si="59"/>
        <v>kWh/kWh</v>
      </c>
      <c r="AR77">
        <f t="shared" si="60"/>
        <v>0</v>
      </c>
      <c r="AS77" s="87" t="str">
        <f>'CPCI Data'!$W$12</f>
        <v>kWh</v>
      </c>
      <c r="AT77">
        <f t="shared" ref="AT77:AT86" si="66">$AO$15</f>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61"/>
        <v>0</v>
      </c>
      <c r="BJ77" s="360">
        <f t="shared" si="61"/>
        <v>0</v>
      </c>
      <c r="BK77" s="360">
        <f t="shared" si="61"/>
        <v>0</v>
      </c>
      <c r="BL77" s="360">
        <f t="shared" si="61"/>
        <v>0</v>
      </c>
      <c r="BM77" s="360">
        <f t="shared" si="61"/>
        <v>0</v>
      </c>
      <c r="BN77" s="360">
        <f t="shared" si="61"/>
        <v>0</v>
      </c>
      <c r="BO77" s="360">
        <f t="shared" si="61"/>
        <v>0</v>
      </c>
      <c r="BP77" s="360">
        <f t="shared" si="61"/>
        <v>0</v>
      </c>
      <c r="BQ77" s="360">
        <f t="shared" si="61"/>
        <v>0</v>
      </c>
      <c r="BR77" s="360">
        <f t="shared" si="61"/>
        <v>0</v>
      </c>
      <c r="BS77" s="360">
        <f t="shared" si="61"/>
        <v>0</v>
      </c>
      <c r="BT77" s="360">
        <f t="shared" si="61"/>
        <v>0</v>
      </c>
      <c r="BU77" s="360">
        <f t="shared" si="61"/>
        <v>0</v>
      </c>
      <c r="BV77" s="360">
        <f t="shared" si="61"/>
        <v>0</v>
      </c>
      <c r="BW77" s="362">
        <f t="shared" si="62"/>
        <v>0</v>
      </c>
      <c r="BX77" s="362">
        <f t="shared" si="62"/>
        <v>0</v>
      </c>
      <c r="BY77" s="362">
        <f t="shared" si="62"/>
        <v>0</v>
      </c>
      <c r="BZ77" s="362">
        <f t="shared" si="62"/>
        <v>0</v>
      </c>
      <c r="CA77" s="362">
        <f t="shared" si="62"/>
        <v>0</v>
      </c>
      <c r="CB77" s="362">
        <f t="shared" si="62"/>
        <v>0</v>
      </c>
      <c r="CC77" s="362">
        <f t="shared" si="62"/>
        <v>0</v>
      </c>
      <c r="CD77" s="362">
        <f t="shared" si="62"/>
        <v>0</v>
      </c>
      <c r="CE77" s="362">
        <f t="shared" si="62"/>
        <v>0</v>
      </c>
      <c r="CF77" s="362">
        <f t="shared" si="62"/>
        <v>0</v>
      </c>
      <c r="CG77" s="362">
        <f t="shared" si="62"/>
        <v>0</v>
      </c>
      <c r="CH77" s="362">
        <f t="shared" si="62"/>
        <v>0</v>
      </c>
      <c r="CI77" s="362">
        <f t="shared" si="62"/>
        <v>0</v>
      </c>
      <c r="CJ77" s="362">
        <f t="shared" si="62"/>
        <v>0</v>
      </c>
      <c r="CK77"/>
      <c r="CO77"/>
      <c r="CP77"/>
      <c r="CQ77"/>
      <c r="CR77"/>
      <c r="CS77"/>
      <c r="CT77"/>
      <c r="CU77"/>
      <c r="CV77"/>
      <c r="CW77"/>
      <c r="CX77"/>
      <c r="CY77"/>
      <c r="CZ77"/>
      <c r="DA77"/>
      <c r="DB77"/>
    </row>
    <row r="78" spans="2:137" ht="15" hidden="1" customHeight="1">
      <c r="B78" s="53">
        <f t="shared" si="54"/>
        <v>0</v>
      </c>
      <c r="C78" s="26">
        <v>3</v>
      </c>
      <c r="D78" s="46" t="s">
        <v>471</v>
      </c>
      <c r="E78" s="420">
        <f>'Plant Inputs'!$G78</f>
        <v>0</v>
      </c>
      <c r="F78" s="204" t="str">
        <f>'Plant Inputs'!$H78</f>
        <v>kWh/short ton</v>
      </c>
      <c r="G78" s="160">
        <f t="shared" si="55"/>
        <v>0</v>
      </c>
      <c r="H78" s="204" t="str">
        <f t="shared" si="56"/>
        <v>kWh</v>
      </c>
      <c r="I78" s="160">
        <f t="shared" si="63"/>
        <v>0</v>
      </c>
      <c r="J78" s="177">
        <f t="shared" si="64"/>
        <v>0</v>
      </c>
      <c r="K78"/>
      <c r="L78"/>
      <c r="X78" s="65">
        <f>'Plant Inputs'!$X78</f>
        <v>0</v>
      </c>
      <c r="Y78" s="216">
        <f>IF(AND($X78=1,'Plant Inputs'!$Y78=1),1,0)</f>
        <v>0</v>
      </c>
      <c r="Z78" s="216"/>
      <c r="AA78" s="216"/>
      <c r="AB78" s="216"/>
      <c r="AC78" s="216"/>
      <c r="AD78" s="216"/>
      <c r="AE78" s="216"/>
      <c r="AF78" s="216"/>
      <c r="AG78" s="216"/>
      <c r="AH78" s="216"/>
      <c r="AI78" s="216"/>
      <c r="AJ78" s="216"/>
      <c r="AK78" s="216"/>
      <c r="AL78" s="216"/>
      <c r="AM78" s="1" t="str">
        <f t="shared" si="57"/>
        <v>On-Site Generated Electricity - Wind</v>
      </c>
      <c r="AN78" s="403">
        <f t="shared" si="65"/>
        <v>0</v>
      </c>
      <c r="AO78" s="164" t="str">
        <f t="shared" si="65"/>
        <v>kWh</v>
      </c>
      <c r="AP78" s="1">
        <f t="shared" si="58"/>
        <v>1</v>
      </c>
      <c r="AQ78" s="87" t="str">
        <f t="shared" si="59"/>
        <v>kWh/kWh</v>
      </c>
      <c r="AR78">
        <f t="shared" si="60"/>
        <v>0</v>
      </c>
      <c r="AS78" s="87" t="str">
        <f>'CPCI Data'!$W$12</f>
        <v>kWh</v>
      </c>
      <c r="AT78">
        <f t="shared" si="66"/>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61"/>
        <v>0</v>
      </c>
      <c r="BJ78" s="360">
        <f t="shared" si="61"/>
        <v>0</v>
      </c>
      <c r="BK78" s="360">
        <f t="shared" si="61"/>
        <v>0</v>
      </c>
      <c r="BL78" s="360">
        <f t="shared" si="61"/>
        <v>0</v>
      </c>
      <c r="BM78" s="360">
        <f t="shared" si="61"/>
        <v>0</v>
      </c>
      <c r="BN78" s="360">
        <f t="shared" si="61"/>
        <v>0</v>
      </c>
      <c r="BO78" s="360">
        <f t="shared" si="61"/>
        <v>0</v>
      </c>
      <c r="BP78" s="360">
        <f t="shared" si="61"/>
        <v>0</v>
      </c>
      <c r="BQ78" s="360">
        <f t="shared" si="61"/>
        <v>0</v>
      </c>
      <c r="BR78" s="360">
        <f t="shared" si="61"/>
        <v>0</v>
      </c>
      <c r="BS78" s="360">
        <f t="shared" si="61"/>
        <v>0</v>
      </c>
      <c r="BT78" s="360">
        <f t="shared" si="61"/>
        <v>0</v>
      </c>
      <c r="BU78" s="360">
        <f t="shared" si="61"/>
        <v>0</v>
      </c>
      <c r="BV78" s="360">
        <f t="shared" si="61"/>
        <v>0</v>
      </c>
      <c r="BW78" s="362">
        <f t="shared" si="62"/>
        <v>0</v>
      </c>
      <c r="BX78" s="362">
        <f t="shared" si="62"/>
        <v>0</v>
      </c>
      <c r="BY78" s="362">
        <f t="shared" si="62"/>
        <v>0</v>
      </c>
      <c r="BZ78" s="362">
        <f t="shared" si="62"/>
        <v>0</v>
      </c>
      <c r="CA78" s="362">
        <f t="shared" si="62"/>
        <v>0</v>
      </c>
      <c r="CB78" s="362">
        <f t="shared" si="62"/>
        <v>0</v>
      </c>
      <c r="CC78" s="362">
        <f t="shared" si="62"/>
        <v>0</v>
      </c>
      <c r="CD78" s="362">
        <f t="shared" si="62"/>
        <v>0</v>
      </c>
      <c r="CE78" s="362">
        <f t="shared" si="62"/>
        <v>0</v>
      </c>
      <c r="CF78" s="362">
        <f t="shared" si="62"/>
        <v>0</v>
      </c>
      <c r="CG78" s="362">
        <f t="shared" si="62"/>
        <v>0</v>
      </c>
      <c r="CH78" s="362">
        <f t="shared" si="62"/>
        <v>0</v>
      </c>
      <c r="CI78" s="362">
        <f t="shared" si="62"/>
        <v>0</v>
      </c>
      <c r="CJ78" s="362">
        <f t="shared" si="62"/>
        <v>0</v>
      </c>
      <c r="CK78"/>
      <c r="CO78"/>
      <c r="CP78"/>
      <c r="CQ78"/>
      <c r="CR78"/>
      <c r="CS78"/>
      <c r="CT78"/>
      <c r="CU78"/>
      <c r="CV78"/>
      <c r="CW78"/>
      <c r="CX78"/>
      <c r="CY78"/>
      <c r="CZ78"/>
      <c r="DA78"/>
      <c r="DB78"/>
    </row>
    <row r="79" spans="2:137" ht="15" hidden="1" customHeight="1">
      <c r="B79" s="53">
        <f t="shared" si="54"/>
        <v>0</v>
      </c>
      <c r="C79" s="26">
        <v>4</v>
      </c>
      <c r="D79" s="46" t="s">
        <v>472</v>
      </c>
      <c r="E79" s="420">
        <f>'Plant Inputs'!$G79</f>
        <v>0</v>
      </c>
      <c r="F79" s="204" t="str">
        <f>'Plant Inputs'!$H79</f>
        <v>kWh/short ton</v>
      </c>
      <c r="G79" s="160">
        <f t="shared" si="55"/>
        <v>0</v>
      </c>
      <c r="H79" s="204" t="str">
        <f t="shared" si="56"/>
        <v>kWh</v>
      </c>
      <c r="I79" s="160">
        <f t="shared" si="63"/>
        <v>0</v>
      </c>
      <c r="J79" s="177">
        <f t="shared" si="64"/>
        <v>0</v>
      </c>
      <c r="K79"/>
      <c r="L79"/>
      <c r="X79" s="65">
        <f>'Plant Inputs'!$X79</f>
        <v>0</v>
      </c>
      <c r="Y79" s="216">
        <f>IF(AND($X79=1,'Plant Inputs'!$Y79=1),1,0)</f>
        <v>0</v>
      </c>
      <c r="Z79" s="216"/>
      <c r="AA79" s="216"/>
      <c r="AB79" s="216"/>
      <c r="AC79" s="216"/>
      <c r="AD79" s="216"/>
      <c r="AE79" s="216"/>
      <c r="AF79" s="216"/>
      <c r="AG79" s="216"/>
      <c r="AH79" s="216"/>
      <c r="AI79" s="216"/>
      <c r="AJ79" s="216"/>
      <c r="AK79" s="216"/>
      <c r="AL79" s="216"/>
      <c r="AM79" s="1" t="str">
        <f t="shared" si="57"/>
        <v>On-Site Generated Electricity - Hydroelectric</v>
      </c>
      <c r="AN79" s="403">
        <f t="shared" si="65"/>
        <v>0</v>
      </c>
      <c r="AO79" s="164" t="str">
        <f t="shared" si="65"/>
        <v>kWh</v>
      </c>
      <c r="AP79" s="1">
        <f t="shared" si="58"/>
        <v>1</v>
      </c>
      <c r="AQ79" s="87" t="str">
        <f t="shared" si="59"/>
        <v>kWh/kWh</v>
      </c>
      <c r="AR79">
        <f t="shared" si="60"/>
        <v>0</v>
      </c>
      <c r="AS79" s="87" t="str">
        <f>'CPCI Data'!$W$12</f>
        <v>kWh</v>
      </c>
      <c r="AT79">
        <f t="shared" si="66"/>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61"/>
        <v>0</v>
      </c>
      <c r="BJ79" s="360">
        <f t="shared" si="61"/>
        <v>0</v>
      </c>
      <c r="BK79" s="360">
        <f t="shared" si="61"/>
        <v>0</v>
      </c>
      <c r="BL79" s="360">
        <f t="shared" si="61"/>
        <v>0</v>
      </c>
      <c r="BM79" s="360">
        <f t="shared" si="61"/>
        <v>0</v>
      </c>
      <c r="BN79" s="360">
        <f t="shared" si="61"/>
        <v>0</v>
      </c>
      <c r="BO79" s="360">
        <f t="shared" si="61"/>
        <v>0</v>
      </c>
      <c r="BP79" s="360">
        <f t="shared" si="61"/>
        <v>0</v>
      </c>
      <c r="BQ79" s="360">
        <f t="shared" si="61"/>
        <v>0</v>
      </c>
      <c r="BR79" s="360">
        <f t="shared" si="61"/>
        <v>0</v>
      </c>
      <c r="BS79" s="360">
        <f t="shared" si="61"/>
        <v>0</v>
      </c>
      <c r="BT79" s="360">
        <f t="shared" si="61"/>
        <v>0</v>
      </c>
      <c r="BU79" s="360">
        <f t="shared" si="61"/>
        <v>0</v>
      </c>
      <c r="BV79" s="360">
        <f t="shared" si="61"/>
        <v>0</v>
      </c>
      <c r="BW79" s="362">
        <f t="shared" si="62"/>
        <v>0</v>
      </c>
      <c r="BX79" s="362">
        <f t="shared" si="62"/>
        <v>0</v>
      </c>
      <c r="BY79" s="362">
        <f t="shared" si="62"/>
        <v>0</v>
      </c>
      <c r="BZ79" s="362">
        <f t="shared" si="62"/>
        <v>0</v>
      </c>
      <c r="CA79" s="362">
        <f t="shared" si="62"/>
        <v>0</v>
      </c>
      <c r="CB79" s="362">
        <f t="shared" si="62"/>
        <v>0</v>
      </c>
      <c r="CC79" s="362">
        <f t="shared" si="62"/>
        <v>0</v>
      </c>
      <c r="CD79" s="362">
        <f t="shared" si="62"/>
        <v>0</v>
      </c>
      <c r="CE79" s="362">
        <f t="shared" si="62"/>
        <v>0</v>
      </c>
      <c r="CF79" s="362">
        <f t="shared" si="62"/>
        <v>0</v>
      </c>
      <c r="CG79" s="362">
        <f t="shared" si="62"/>
        <v>0</v>
      </c>
      <c r="CH79" s="362">
        <f t="shared" si="62"/>
        <v>0</v>
      </c>
      <c r="CI79" s="362">
        <f t="shared" si="62"/>
        <v>0</v>
      </c>
      <c r="CJ79" s="362">
        <f t="shared" si="62"/>
        <v>0</v>
      </c>
      <c r="CK79"/>
      <c r="CO79"/>
      <c r="CP79"/>
      <c r="CQ79"/>
      <c r="CR79"/>
      <c r="CS79"/>
      <c r="CT79"/>
      <c r="CU79"/>
      <c r="CV79"/>
      <c r="CW79"/>
      <c r="CX79"/>
      <c r="CY79"/>
      <c r="CZ79"/>
      <c r="DA79"/>
      <c r="DB79"/>
    </row>
    <row r="80" spans="2:137" ht="15" hidden="1" customHeight="1">
      <c r="B80" s="53">
        <f t="shared" si="54"/>
        <v>0</v>
      </c>
      <c r="C80" s="26">
        <v>5</v>
      </c>
      <c r="D80" s="46" t="s">
        <v>473</v>
      </c>
      <c r="E80" s="420">
        <f>'Plant Inputs'!$G80</f>
        <v>0</v>
      </c>
      <c r="F80" s="204" t="str">
        <f>'Plant Inputs'!$H80</f>
        <v>kWh/short ton</v>
      </c>
      <c r="G80" s="160">
        <f t="shared" si="55"/>
        <v>0</v>
      </c>
      <c r="H80" s="204" t="str">
        <f t="shared" si="56"/>
        <v>kWh</v>
      </c>
      <c r="I80" s="160">
        <f t="shared" si="63"/>
        <v>0</v>
      </c>
      <c r="J80" s="177">
        <f t="shared" si="64"/>
        <v>0</v>
      </c>
      <c r="K80"/>
      <c r="L80"/>
      <c r="X80" s="65">
        <f>'Plant Inputs'!$X80</f>
        <v>0</v>
      </c>
      <c r="Y80" s="216">
        <f>IF(AND($X80=1,'Plant Inputs'!$Y80=1),1,0)</f>
        <v>0</v>
      </c>
      <c r="Z80" s="216"/>
      <c r="AA80" s="216"/>
      <c r="AB80" s="216"/>
      <c r="AC80" s="216"/>
      <c r="AD80" s="216"/>
      <c r="AE80" s="216"/>
      <c r="AF80" s="216"/>
      <c r="AG80" s="216"/>
      <c r="AH80" s="216"/>
      <c r="AI80" s="216"/>
      <c r="AJ80" s="216"/>
      <c r="AK80" s="216"/>
      <c r="AL80" s="216"/>
      <c r="AM80" s="1" t="str">
        <f t="shared" si="57"/>
        <v>On-Site Generated Electricity - Geothermal</v>
      </c>
      <c r="AN80" s="403">
        <f t="shared" si="65"/>
        <v>0</v>
      </c>
      <c r="AO80" s="164" t="str">
        <f t="shared" si="65"/>
        <v>kWh</v>
      </c>
      <c r="AP80" s="1">
        <f t="shared" si="58"/>
        <v>1</v>
      </c>
      <c r="AQ80" s="87" t="str">
        <f t="shared" si="59"/>
        <v>kWh/kWh</v>
      </c>
      <c r="AR80">
        <f t="shared" si="60"/>
        <v>0</v>
      </c>
      <c r="AS80" s="87" t="str">
        <f>'CPCI Data'!$W$12</f>
        <v>kWh</v>
      </c>
      <c r="AT80">
        <f t="shared" si="66"/>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61"/>
        <v>0</v>
      </c>
      <c r="BJ80" s="360">
        <f t="shared" si="61"/>
        <v>0</v>
      </c>
      <c r="BK80" s="360">
        <f t="shared" si="61"/>
        <v>0</v>
      </c>
      <c r="BL80" s="360">
        <f t="shared" si="61"/>
        <v>0</v>
      </c>
      <c r="BM80" s="360">
        <f t="shared" si="61"/>
        <v>0</v>
      </c>
      <c r="BN80" s="360">
        <f t="shared" si="61"/>
        <v>0</v>
      </c>
      <c r="BO80" s="360">
        <f t="shared" si="61"/>
        <v>0</v>
      </c>
      <c r="BP80" s="360">
        <f t="shared" si="61"/>
        <v>0</v>
      </c>
      <c r="BQ80" s="360">
        <f t="shared" si="61"/>
        <v>0</v>
      </c>
      <c r="BR80" s="360">
        <f t="shared" si="61"/>
        <v>0</v>
      </c>
      <c r="BS80" s="360">
        <f t="shared" si="61"/>
        <v>0</v>
      </c>
      <c r="BT80" s="360">
        <f t="shared" si="61"/>
        <v>0</v>
      </c>
      <c r="BU80" s="360">
        <f t="shared" si="61"/>
        <v>0</v>
      </c>
      <c r="BV80" s="360">
        <f t="shared" si="61"/>
        <v>0</v>
      </c>
      <c r="BW80" s="362">
        <f t="shared" si="62"/>
        <v>0</v>
      </c>
      <c r="BX80" s="362">
        <f t="shared" si="62"/>
        <v>0</v>
      </c>
      <c r="BY80" s="362">
        <f t="shared" si="62"/>
        <v>0</v>
      </c>
      <c r="BZ80" s="362">
        <f t="shared" si="62"/>
        <v>0</v>
      </c>
      <c r="CA80" s="362">
        <f t="shared" si="62"/>
        <v>0</v>
      </c>
      <c r="CB80" s="362">
        <f t="shared" si="62"/>
        <v>0</v>
      </c>
      <c r="CC80" s="362">
        <f t="shared" si="62"/>
        <v>0</v>
      </c>
      <c r="CD80" s="362">
        <f t="shared" si="62"/>
        <v>0</v>
      </c>
      <c r="CE80" s="362">
        <f t="shared" si="62"/>
        <v>0</v>
      </c>
      <c r="CF80" s="362">
        <f t="shared" si="62"/>
        <v>0</v>
      </c>
      <c r="CG80" s="362">
        <f t="shared" si="62"/>
        <v>0</v>
      </c>
      <c r="CH80" s="362">
        <f t="shared" si="62"/>
        <v>0</v>
      </c>
      <c r="CI80" s="362">
        <f t="shared" si="62"/>
        <v>0</v>
      </c>
      <c r="CJ80" s="362">
        <f t="shared" si="62"/>
        <v>0</v>
      </c>
      <c r="CK80"/>
      <c r="CO80"/>
      <c r="CP80"/>
      <c r="CQ80"/>
      <c r="CR80"/>
      <c r="CS80"/>
      <c r="CT80"/>
      <c r="CU80"/>
      <c r="CV80"/>
      <c r="CW80"/>
      <c r="CX80"/>
      <c r="CY80"/>
      <c r="CZ80"/>
      <c r="DA80"/>
      <c r="DB80"/>
    </row>
    <row r="81" spans="2:134" ht="15" hidden="1" customHeight="1">
      <c r="B81" s="53">
        <f t="shared" si="54"/>
        <v>0</v>
      </c>
      <c r="C81" s="26">
        <v>6</v>
      </c>
      <c r="D81" s="46" t="s">
        <v>474</v>
      </c>
      <c r="E81" s="420">
        <f>'Plant Inputs'!$G81</f>
        <v>0</v>
      </c>
      <c r="F81" s="204" t="str">
        <f>'Plant Inputs'!$H81</f>
        <v>kWh/short ton</v>
      </c>
      <c r="G81" s="160">
        <f t="shared" si="55"/>
        <v>0</v>
      </c>
      <c r="H81" s="204" t="str">
        <f t="shared" si="56"/>
        <v>kWh</v>
      </c>
      <c r="I81" s="160">
        <f t="shared" si="63"/>
        <v>0</v>
      </c>
      <c r="J81" s="177">
        <f t="shared" si="64"/>
        <v>0</v>
      </c>
      <c r="K81"/>
      <c r="L81"/>
      <c r="M81" s="12"/>
      <c r="N81" s="12"/>
      <c r="O81" s="12"/>
      <c r="P81" s="12"/>
      <c r="Q81" s="12"/>
      <c r="R81" s="12"/>
      <c r="S81" s="12"/>
      <c r="X81" s="65">
        <f>'Plant Inputs'!$X81</f>
        <v>0</v>
      </c>
      <c r="Y81" s="216">
        <f>IF(AND($X81=1,'Plant Inputs'!$Y81=1),1,0)</f>
        <v>0</v>
      </c>
      <c r="Z81" s="216"/>
      <c r="AA81" s="216"/>
      <c r="AB81" s="216"/>
      <c r="AC81" s="216"/>
      <c r="AD81" s="216"/>
      <c r="AE81" s="216"/>
      <c r="AF81" s="216"/>
      <c r="AG81" s="216"/>
      <c r="AH81" s="216"/>
      <c r="AI81" s="216"/>
      <c r="AJ81" s="216"/>
      <c r="AK81" s="216"/>
      <c r="AL81" s="216"/>
      <c r="AM81" s="1" t="str">
        <f t="shared" si="57"/>
        <v>On-Site Generated Electricity - Biomass</v>
      </c>
      <c r="AN81" s="403">
        <f t="shared" si="65"/>
        <v>0</v>
      </c>
      <c r="AO81" s="164" t="str">
        <f t="shared" si="65"/>
        <v>kWh</v>
      </c>
      <c r="AP81" s="1">
        <f t="shared" si="58"/>
        <v>1</v>
      </c>
      <c r="AQ81" s="87" t="str">
        <f t="shared" si="59"/>
        <v>kWh/kWh</v>
      </c>
      <c r="AR81">
        <f t="shared" si="60"/>
        <v>0</v>
      </c>
      <c r="AS81" s="87" t="str">
        <f>'CPCI Data'!$W$12</f>
        <v>kWh</v>
      </c>
      <c r="AT81">
        <f t="shared" si="66"/>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61"/>
        <v>0</v>
      </c>
      <c r="BJ81" s="360">
        <f t="shared" si="61"/>
        <v>0</v>
      </c>
      <c r="BK81" s="360">
        <f t="shared" si="61"/>
        <v>0</v>
      </c>
      <c r="BL81" s="360">
        <f t="shared" si="61"/>
        <v>0</v>
      </c>
      <c r="BM81" s="360">
        <f t="shared" si="61"/>
        <v>0</v>
      </c>
      <c r="BN81" s="360">
        <f t="shared" si="61"/>
        <v>0</v>
      </c>
      <c r="BO81" s="360">
        <f t="shared" si="61"/>
        <v>0</v>
      </c>
      <c r="BP81" s="360">
        <f t="shared" si="61"/>
        <v>0</v>
      </c>
      <c r="BQ81" s="360">
        <f t="shared" si="61"/>
        <v>0</v>
      </c>
      <c r="BR81" s="360">
        <f t="shared" si="61"/>
        <v>0</v>
      </c>
      <c r="BS81" s="360">
        <f t="shared" si="61"/>
        <v>0</v>
      </c>
      <c r="BT81" s="360">
        <f t="shared" si="61"/>
        <v>0</v>
      </c>
      <c r="BU81" s="360">
        <f t="shared" si="61"/>
        <v>0</v>
      </c>
      <c r="BV81" s="360">
        <f t="shared" si="61"/>
        <v>0</v>
      </c>
      <c r="BW81" s="362">
        <f t="shared" si="62"/>
        <v>0</v>
      </c>
      <c r="BX81" s="362">
        <f t="shared" si="62"/>
        <v>0</v>
      </c>
      <c r="BY81" s="362">
        <f t="shared" si="62"/>
        <v>0</v>
      </c>
      <c r="BZ81" s="362">
        <f t="shared" si="62"/>
        <v>0</v>
      </c>
      <c r="CA81" s="362">
        <f t="shared" si="62"/>
        <v>0</v>
      </c>
      <c r="CB81" s="362">
        <f t="shared" si="62"/>
        <v>0</v>
      </c>
      <c r="CC81" s="362">
        <f t="shared" si="62"/>
        <v>0</v>
      </c>
      <c r="CD81" s="362">
        <f t="shared" si="62"/>
        <v>0</v>
      </c>
      <c r="CE81" s="362">
        <f t="shared" si="62"/>
        <v>0</v>
      </c>
      <c r="CF81" s="362">
        <f t="shared" si="62"/>
        <v>0</v>
      </c>
      <c r="CG81" s="362">
        <f t="shared" si="62"/>
        <v>0</v>
      </c>
      <c r="CH81" s="362">
        <f t="shared" si="62"/>
        <v>0</v>
      </c>
      <c r="CI81" s="362">
        <f t="shared" si="62"/>
        <v>0</v>
      </c>
      <c r="CJ81" s="362">
        <f t="shared" si="62"/>
        <v>0</v>
      </c>
      <c r="CK81"/>
      <c r="CO81"/>
      <c r="CP81"/>
      <c r="CQ81"/>
      <c r="CR81"/>
      <c r="CS81"/>
      <c r="CT81"/>
      <c r="CU81"/>
      <c r="CV81"/>
      <c r="CW81"/>
      <c r="CX81"/>
      <c r="CY81"/>
      <c r="CZ81"/>
      <c r="DA81"/>
      <c r="DB81"/>
    </row>
    <row r="82" spans="2:134" ht="15" hidden="1" customHeight="1">
      <c r="B82" s="53">
        <f t="shared" si="54"/>
        <v>0</v>
      </c>
      <c r="C82" s="26">
        <v>7</v>
      </c>
      <c r="D82" s="46" t="s">
        <v>23</v>
      </c>
      <c r="E82" s="420">
        <f>'Plant Inputs'!$G82</f>
        <v>0</v>
      </c>
      <c r="F82" s="204" t="str">
        <f>'Plant Inputs'!$H82</f>
        <v>gallon/short ton</v>
      </c>
      <c r="G82" s="160">
        <f t="shared" si="55"/>
        <v>0</v>
      </c>
      <c r="H82" s="204" t="str">
        <f t="shared" si="56"/>
        <v>gallon</v>
      </c>
      <c r="I82" s="160">
        <f t="shared" si="63"/>
        <v>0</v>
      </c>
      <c r="J82" s="177">
        <f t="shared" si="64"/>
        <v>0</v>
      </c>
      <c r="K82"/>
      <c r="L82"/>
      <c r="X82" s="65">
        <f>'Plant Inputs'!$X82</f>
        <v>0</v>
      </c>
      <c r="Y82" s="216">
        <f>IF(AND($X82=1,'Plant Inputs'!$Y82=1),1,0)</f>
        <v>0</v>
      </c>
      <c r="Z82" s="216"/>
      <c r="AA82" s="216"/>
      <c r="AB82" s="216"/>
      <c r="AC82" s="216"/>
      <c r="AD82" s="216"/>
      <c r="AE82" s="216"/>
      <c r="AF82" s="216"/>
      <c r="AG82" s="216"/>
      <c r="AH82" s="216"/>
      <c r="AI82" s="216"/>
      <c r="AJ82" s="216"/>
      <c r="AK82" s="216"/>
      <c r="AL82" s="216"/>
      <c r="AM82" s="1" t="str">
        <f t="shared" si="57"/>
        <v>Gasoline</v>
      </c>
      <c r="AN82" s="403">
        <f t="shared" si="65"/>
        <v>0</v>
      </c>
      <c r="AO82" s="164" t="str">
        <f t="shared" si="65"/>
        <v>gallon</v>
      </c>
      <c r="AP82" s="1">
        <f t="shared" si="58"/>
        <v>0.26417203728418465</v>
      </c>
      <c r="AQ82" s="87" t="str">
        <f t="shared" si="59"/>
        <v>gallon/litre</v>
      </c>
      <c r="AR82">
        <f t="shared" si="60"/>
        <v>0</v>
      </c>
      <c r="AS82" s="87" t="str">
        <f>'CPCI Data'!$W$27</f>
        <v>litre</v>
      </c>
      <c r="AT82">
        <f t="shared" si="66"/>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61"/>
        <v>0</v>
      </c>
      <c r="BJ82" s="360">
        <f t="shared" si="61"/>
        <v>0</v>
      </c>
      <c r="BK82" s="360">
        <f t="shared" si="61"/>
        <v>0</v>
      </c>
      <c r="BL82" s="360">
        <f t="shared" si="61"/>
        <v>0</v>
      </c>
      <c r="BM82" s="360">
        <f t="shared" si="61"/>
        <v>0</v>
      </c>
      <c r="BN82" s="360">
        <f t="shared" si="61"/>
        <v>0</v>
      </c>
      <c r="BO82" s="360">
        <f t="shared" si="61"/>
        <v>0</v>
      </c>
      <c r="BP82" s="360">
        <f t="shared" si="61"/>
        <v>0</v>
      </c>
      <c r="BQ82" s="360">
        <f t="shared" si="61"/>
        <v>0</v>
      </c>
      <c r="BR82" s="360">
        <f t="shared" si="61"/>
        <v>0</v>
      </c>
      <c r="BS82" s="360">
        <f t="shared" si="61"/>
        <v>0</v>
      </c>
      <c r="BT82" s="360">
        <f t="shared" si="61"/>
        <v>0</v>
      </c>
      <c r="BU82" s="360">
        <f t="shared" si="61"/>
        <v>0</v>
      </c>
      <c r="BV82" s="360">
        <f t="shared" si="61"/>
        <v>0</v>
      </c>
      <c r="BW82" s="362">
        <f t="shared" si="62"/>
        <v>0</v>
      </c>
      <c r="BX82" s="362">
        <f t="shared" si="62"/>
        <v>0</v>
      </c>
      <c r="BY82" s="362">
        <f t="shared" si="62"/>
        <v>0</v>
      </c>
      <c r="BZ82" s="362">
        <f t="shared" si="62"/>
        <v>0</v>
      </c>
      <c r="CA82" s="362">
        <f t="shared" si="62"/>
        <v>0</v>
      </c>
      <c r="CB82" s="362">
        <f t="shared" si="62"/>
        <v>0</v>
      </c>
      <c r="CC82" s="362">
        <f t="shared" si="62"/>
        <v>0</v>
      </c>
      <c r="CD82" s="362">
        <f t="shared" si="62"/>
        <v>0</v>
      </c>
      <c r="CE82" s="362">
        <f t="shared" si="62"/>
        <v>0</v>
      </c>
      <c r="CF82" s="362">
        <f t="shared" si="62"/>
        <v>0</v>
      </c>
      <c r="CG82" s="362">
        <f t="shared" si="62"/>
        <v>0</v>
      </c>
      <c r="CH82" s="362">
        <f t="shared" si="62"/>
        <v>0</v>
      </c>
      <c r="CI82" s="362">
        <f t="shared" si="62"/>
        <v>0</v>
      </c>
      <c r="CJ82" s="362">
        <f t="shared" si="62"/>
        <v>0</v>
      </c>
      <c r="CK82"/>
      <c r="CL82"/>
      <c r="CM82"/>
      <c r="CN82"/>
      <c r="CO82"/>
      <c r="CP82"/>
      <c r="CQ82"/>
      <c r="CR82"/>
      <c r="CS82"/>
      <c r="CT82"/>
      <c r="CU82"/>
      <c r="CV82"/>
      <c r="CW82"/>
      <c r="CX82"/>
      <c r="CY82"/>
      <c r="CZ82"/>
      <c r="DA82"/>
      <c r="DB82"/>
    </row>
    <row r="83" spans="2:134" ht="15" hidden="1" customHeight="1">
      <c r="B83" s="53">
        <f t="shared" si="54"/>
        <v>0</v>
      </c>
      <c r="C83" s="26">
        <v>8</v>
      </c>
      <c r="D83" s="46" t="s">
        <v>8</v>
      </c>
      <c r="E83" s="420">
        <f>'Plant Inputs'!$G83</f>
        <v>0</v>
      </c>
      <c r="F83" s="204" t="str">
        <f>'Plant Inputs'!$H83</f>
        <v>ft3/short ton</v>
      </c>
      <c r="G83" s="160">
        <f t="shared" si="55"/>
        <v>0</v>
      </c>
      <c r="H83" s="204" t="str">
        <f t="shared" si="56"/>
        <v>ft3</v>
      </c>
      <c r="I83" s="160">
        <f t="shared" si="63"/>
        <v>0</v>
      </c>
      <c r="J83" s="177">
        <f t="shared" si="64"/>
        <v>0</v>
      </c>
      <c r="K83"/>
      <c r="L83"/>
      <c r="X83" s="65">
        <f>'Plant Inputs'!$X83</f>
        <v>0</v>
      </c>
      <c r="Y83" s="216">
        <f>IF(AND($X83=1,'Plant Inputs'!$Y83=1),1,0)</f>
        <v>0</v>
      </c>
      <c r="Z83" s="216"/>
      <c r="AA83" s="216"/>
      <c r="AB83" s="216"/>
      <c r="AC83" s="216"/>
      <c r="AD83" s="216"/>
      <c r="AE83" s="216"/>
      <c r="AF83" s="216"/>
      <c r="AG83" s="216"/>
      <c r="AH83" s="216"/>
      <c r="AI83" s="216"/>
      <c r="AJ83" s="216"/>
      <c r="AK83" s="216"/>
      <c r="AL83" s="216"/>
      <c r="AM83" s="1" t="str">
        <f t="shared" si="57"/>
        <v>Natural Gas</v>
      </c>
      <c r="AN83" s="403">
        <f t="shared" si="65"/>
        <v>0</v>
      </c>
      <c r="AO83" s="164" t="str">
        <f t="shared" si="65"/>
        <v>ft3</v>
      </c>
      <c r="AP83" s="1">
        <f t="shared" si="58"/>
        <v>35.31467</v>
      </c>
      <c r="AQ83" s="87" t="str">
        <f t="shared" si="59"/>
        <v>ft3/m3</v>
      </c>
      <c r="AR83">
        <f t="shared" si="60"/>
        <v>0</v>
      </c>
      <c r="AS83" s="87" t="str">
        <f>'CPCI Data'!$W$20</f>
        <v>m3</v>
      </c>
      <c r="AT83">
        <f t="shared" si="66"/>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61"/>
        <v>0</v>
      </c>
      <c r="BJ83" s="360">
        <f t="shared" si="61"/>
        <v>0</v>
      </c>
      <c r="BK83" s="360">
        <f t="shared" si="61"/>
        <v>0</v>
      </c>
      <c r="BL83" s="360">
        <f t="shared" si="61"/>
        <v>0</v>
      </c>
      <c r="BM83" s="360">
        <f t="shared" si="61"/>
        <v>0</v>
      </c>
      <c r="BN83" s="360">
        <f t="shared" si="61"/>
        <v>0</v>
      </c>
      <c r="BO83" s="360">
        <f t="shared" si="61"/>
        <v>0</v>
      </c>
      <c r="BP83" s="360">
        <f t="shared" si="61"/>
        <v>0</v>
      </c>
      <c r="BQ83" s="360">
        <f t="shared" si="61"/>
        <v>0</v>
      </c>
      <c r="BR83" s="360">
        <f t="shared" si="61"/>
        <v>0</v>
      </c>
      <c r="BS83" s="360">
        <f t="shared" si="61"/>
        <v>0</v>
      </c>
      <c r="BT83" s="360">
        <f t="shared" si="61"/>
        <v>0</v>
      </c>
      <c r="BU83" s="360">
        <f t="shared" si="61"/>
        <v>0</v>
      </c>
      <c r="BV83" s="360">
        <f t="shared" si="61"/>
        <v>0</v>
      </c>
      <c r="BW83" s="362">
        <f t="shared" si="62"/>
        <v>0</v>
      </c>
      <c r="BX83" s="362">
        <f t="shared" si="62"/>
        <v>0</v>
      </c>
      <c r="BY83" s="362">
        <f t="shared" si="62"/>
        <v>0</v>
      </c>
      <c r="BZ83" s="362">
        <f t="shared" si="62"/>
        <v>0</v>
      </c>
      <c r="CA83" s="362">
        <f t="shared" si="62"/>
        <v>0</v>
      </c>
      <c r="CB83" s="362">
        <f t="shared" si="62"/>
        <v>0</v>
      </c>
      <c r="CC83" s="362">
        <f t="shared" si="62"/>
        <v>0</v>
      </c>
      <c r="CD83" s="362">
        <f t="shared" si="62"/>
        <v>0</v>
      </c>
      <c r="CE83" s="362">
        <f t="shared" si="62"/>
        <v>0</v>
      </c>
      <c r="CF83" s="362">
        <f t="shared" si="62"/>
        <v>0</v>
      </c>
      <c r="CG83" s="362">
        <f t="shared" si="62"/>
        <v>0</v>
      </c>
      <c r="CH83" s="362">
        <f t="shared" si="62"/>
        <v>0</v>
      </c>
      <c r="CI83" s="362">
        <f t="shared" si="62"/>
        <v>0</v>
      </c>
      <c r="CJ83" s="362">
        <f t="shared" si="62"/>
        <v>0</v>
      </c>
      <c r="CK83"/>
      <c r="CL83"/>
      <c r="CM83"/>
      <c r="CN83"/>
      <c r="CO83"/>
      <c r="CP83"/>
      <c r="CQ83"/>
      <c r="CR83"/>
      <c r="CS83"/>
      <c r="CT83"/>
      <c r="CU83"/>
      <c r="CV83"/>
      <c r="CW83"/>
      <c r="CX83"/>
      <c r="CY83"/>
      <c r="CZ83"/>
      <c r="DA83"/>
      <c r="DB83"/>
    </row>
    <row r="84" spans="2:134" ht="15" hidden="1" customHeight="1">
      <c r="B84" s="53">
        <f t="shared" si="54"/>
        <v>0</v>
      </c>
      <c r="C84" s="26">
        <v>9</v>
      </c>
      <c r="D84" s="41" t="s">
        <v>9</v>
      </c>
      <c r="E84" s="420">
        <f>'Plant Inputs'!$G84</f>
        <v>0</v>
      </c>
      <c r="F84" s="204" t="str">
        <f>'Plant Inputs'!$H84</f>
        <v>gallon/short ton</v>
      </c>
      <c r="G84" s="160">
        <f t="shared" si="55"/>
        <v>0</v>
      </c>
      <c r="H84" s="204" t="str">
        <f t="shared" si="56"/>
        <v>gallon</v>
      </c>
      <c r="I84" s="160">
        <f t="shared" si="63"/>
        <v>0</v>
      </c>
      <c r="J84" s="177">
        <f t="shared" si="64"/>
        <v>0</v>
      </c>
      <c r="K84"/>
      <c r="L84"/>
      <c r="X84" s="65">
        <f>'Plant Inputs'!$X84</f>
        <v>0</v>
      </c>
      <c r="Y84" s="216">
        <f>IF(AND($X84=1,'Plant Inputs'!$Y84=1),1,0)</f>
        <v>0</v>
      </c>
      <c r="Z84" s="216"/>
      <c r="AA84" s="216"/>
      <c r="AB84" s="216"/>
      <c r="AC84" s="216"/>
      <c r="AD84" s="216"/>
      <c r="AE84" s="216"/>
      <c r="AF84" s="216"/>
      <c r="AG84" s="216"/>
      <c r="AH84" s="216"/>
      <c r="AI84" s="216"/>
      <c r="AJ84" s="216"/>
      <c r="AK84" s="216"/>
      <c r="AL84" s="216"/>
      <c r="AM84" s="1" t="str">
        <f t="shared" si="57"/>
        <v>Diesel</v>
      </c>
      <c r="AN84" s="403">
        <f t="shared" si="65"/>
        <v>0</v>
      </c>
      <c r="AO84" s="164" t="str">
        <f t="shared" si="65"/>
        <v>gallon</v>
      </c>
      <c r="AP84" s="1">
        <f t="shared" si="58"/>
        <v>0.26417203728418465</v>
      </c>
      <c r="AQ84" s="87" t="str">
        <f t="shared" si="59"/>
        <v>gallon/litre</v>
      </c>
      <c r="AR84">
        <f t="shared" si="60"/>
        <v>0</v>
      </c>
      <c r="AS84" s="87" t="str">
        <f>'CPCI Data'!$W$27</f>
        <v>litre</v>
      </c>
      <c r="AT84">
        <f t="shared" si="66"/>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61"/>
        <v>0</v>
      </c>
      <c r="BJ84" s="360">
        <f t="shared" si="61"/>
        <v>0</v>
      </c>
      <c r="BK84" s="360">
        <f t="shared" si="61"/>
        <v>0</v>
      </c>
      <c r="BL84" s="360">
        <f t="shared" si="61"/>
        <v>0</v>
      </c>
      <c r="BM84" s="360">
        <f t="shared" si="61"/>
        <v>0</v>
      </c>
      <c r="BN84" s="360">
        <f t="shared" si="61"/>
        <v>0</v>
      </c>
      <c r="BO84" s="360">
        <f t="shared" si="61"/>
        <v>0</v>
      </c>
      <c r="BP84" s="360">
        <f t="shared" si="61"/>
        <v>0</v>
      </c>
      <c r="BQ84" s="360">
        <f t="shared" si="61"/>
        <v>0</v>
      </c>
      <c r="BR84" s="360">
        <f t="shared" si="61"/>
        <v>0</v>
      </c>
      <c r="BS84" s="360">
        <f t="shared" si="61"/>
        <v>0</v>
      </c>
      <c r="BT84" s="360">
        <f t="shared" si="61"/>
        <v>0</v>
      </c>
      <c r="BU84" s="360">
        <f t="shared" si="61"/>
        <v>0</v>
      </c>
      <c r="BV84" s="360">
        <f t="shared" si="61"/>
        <v>0</v>
      </c>
      <c r="BW84" s="362">
        <f t="shared" si="62"/>
        <v>0</v>
      </c>
      <c r="BX84" s="362">
        <f t="shared" si="62"/>
        <v>0</v>
      </c>
      <c r="BY84" s="362">
        <f t="shared" si="62"/>
        <v>0</v>
      </c>
      <c r="BZ84" s="362">
        <f t="shared" si="62"/>
        <v>0</v>
      </c>
      <c r="CA84" s="362">
        <f t="shared" si="62"/>
        <v>0</v>
      </c>
      <c r="CB84" s="362">
        <f t="shared" si="62"/>
        <v>0</v>
      </c>
      <c r="CC84" s="362">
        <f t="shared" si="62"/>
        <v>0</v>
      </c>
      <c r="CD84" s="362">
        <f t="shared" si="62"/>
        <v>0</v>
      </c>
      <c r="CE84" s="362">
        <f t="shared" si="62"/>
        <v>0</v>
      </c>
      <c r="CF84" s="362">
        <f t="shared" si="62"/>
        <v>0</v>
      </c>
      <c r="CG84" s="362">
        <f t="shared" si="62"/>
        <v>0</v>
      </c>
      <c r="CH84" s="362">
        <f t="shared" si="62"/>
        <v>0</v>
      </c>
      <c r="CI84" s="362">
        <f t="shared" si="62"/>
        <v>0</v>
      </c>
      <c r="CJ84" s="362">
        <f t="shared" si="62"/>
        <v>0</v>
      </c>
      <c r="CK84"/>
      <c r="CL84"/>
      <c r="CM84"/>
      <c r="CN84"/>
      <c r="CO84"/>
      <c r="CP84"/>
      <c r="CQ84"/>
      <c r="CR84"/>
      <c r="CS84"/>
      <c r="CT84"/>
      <c r="CU84"/>
      <c r="CV84"/>
      <c r="CW84"/>
      <c r="CX84"/>
      <c r="CY84"/>
      <c r="CZ84"/>
      <c r="DA84"/>
      <c r="DB84"/>
    </row>
    <row r="85" spans="2:134" ht="15" hidden="1" customHeight="1">
      <c r="B85" s="53">
        <f t="shared" si="54"/>
        <v>0</v>
      </c>
      <c r="C85" s="26">
        <v>10</v>
      </c>
      <c r="D85" s="41" t="s">
        <v>118</v>
      </c>
      <c r="E85" s="420">
        <f>'Plant Inputs'!$G85</f>
        <v>0</v>
      </c>
      <c r="F85" s="204" t="str">
        <f>'Plant Inputs'!$H85</f>
        <v>gallon/short ton</v>
      </c>
      <c r="G85" s="160">
        <f t="shared" si="55"/>
        <v>0</v>
      </c>
      <c r="H85" s="204" t="str">
        <f t="shared" si="56"/>
        <v>gallon</v>
      </c>
      <c r="I85" s="160">
        <f t="shared" si="63"/>
        <v>0</v>
      </c>
      <c r="J85" s="177">
        <f t="shared" si="64"/>
        <v>0</v>
      </c>
      <c r="K85"/>
      <c r="L85"/>
      <c r="M85" s="12"/>
      <c r="N85" s="12"/>
      <c r="O85" s="12"/>
      <c r="P85" s="12"/>
      <c r="Q85" s="12"/>
      <c r="R85" s="12"/>
      <c r="S85" s="12"/>
      <c r="X85" s="65">
        <f>'Plant Inputs'!$X85</f>
        <v>0</v>
      </c>
      <c r="Y85" s="216">
        <f>IF(AND($X85=1,'Plant Inputs'!$Y85=1),1,0)</f>
        <v>0</v>
      </c>
      <c r="Z85" s="216"/>
      <c r="AA85" s="216"/>
      <c r="AB85" s="216"/>
      <c r="AC85" s="216"/>
      <c r="AD85" s="216"/>
      <c r="AE85" s="216"/>
      <c r="AF85" s="216"/>
      <c r="AG85" s="216"/>
      <c r="AH85" s="216"/>
      <c r="AI85" s="216"/>
      <c r="AJ85" s="216"/>
      <c r="AK85" s="216"/>
      <c r="AL85" s="216"/>
      <c r="AM85" s="1" t="str">
        <f t="shared" si="57"/>
        <v>Heavy Fuel Oil</v>
      </c>
      <c r="AN85" s="403">
        <f t="shared" si="65"/>
        <v>0</v>
      </c>
      <c r="AO85" s="164" t="str">
        <f t="shared" si="65"/>
        <v>gallon</v>
      </c>
      <c r="AP85" s="1">
        <f t="shared" si="58"/>
        <v>0.26417203728418465</v>
      </c>
      <c r="AQ85" s="87" t="str">
        <f t="shared" si="59"/>
        <v>gallon/litre</v>
      </c>
      <c r="AR85">
        <f t="shared" si="60"/>
        <v>0</v>
      </c>
      <c r="AS85" s="87" t="str">
        <f>'CPCI Data'!$W$27</f>
        <v>litre</v>
      </c>
      <c r="AT85">
        <f t="shared" si="66"/>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61"/>
        <v>0</v>
      </c>
      <c r="BJ85" s="360">
        <f t="shared" si="61"/>
        <v>0</v>
      </c>
      <c r="BK85" s="360">
        <f t="shared" si="61"/>
        <v>0</v>
      </c>
      <c r="BL85" s="360">
        <f t="shared" si="61"/>
        <v>0</v>
      </c>
      <c r="BM85" s="360">
        <f t="shared" si="61"/>
        <v>0</v>
      </c>
      <c r="BN85" s="360">
        <f t="shared" si="61"/>
        <v>0</v>
      </c>
      <c r="BO85" s="360">
        <f t="shared" si="61"/>
        <v>0</v>
      </c>
      <c r="BP85" s="360">
        <f t="shared" si="61"/>
        <v>0</v>
      </c>
      <c r="BQ85" s="360">
        <f t="shared" si="61"/>
        <v>0</v>
      </c>
      <c r="BR85" s="360">
        <f t="shared" si="61"/>
        <v>0</v>
      </c>
      <c r="BS85" s="360">
        <f t="shared" si="61"/>
        <v>0</v>
      </c>
      <c r="BT85" s="360">
        <f t="shared" si="61"/>
        <v>0</v>
      </c>
      <c r="BU85" s="360">
        <f t="shared" si="61"/>
        <v>0</v>
      </c>
      <c r="BV85" s="360">
        <f t="shared" si="61"/>
        <v>0</v>
      </c>
      <c r="BW85" s="362">
        <f t="shared" si="62"/>
        <v>0</v>
      </c>
      <c r="BX85" s="362">
        <f t="shared" si="62"/>
        <v>0</v>
      </c>
      <c r="BY85" s="362">
        <f t="shared" si="62"/>
        <v>0</v>
      </c>
      <c r="BZ85" s="362">
        <f t="shared" si="62"/>
        <v>0</v>
      </c>
      <c r="CA85" s="362">
        <f t="shared" si="62"/>
        <v>0</v>
      </c>
      <c r="CB85" s="362">
        <f t="shared" si="62"/>
        <v>0</v>
      </c>
      <c r="CC85" s="362">
        <f t="shared" si="62"/>
        <v>0</v>
      </c>
      <c r="CD85" s="362">
        <f t="shared" si="62"/>
        <v>0</v>
      </c>
      <c r="CE85" s="362">
        <f t="shared" si="62"/>
        <v>0</v>
      </c>
      <c r="CF85" s="362">
        <f t="shared" si="62"/>
        <v>0</v>
      </c>
      <c r="CG85" s="362">
        <f t="shared" si="62"/>
        <v>0</v>
      </c>
      <c r="CH85" s="362">
        <f t="shared" si="62"/>
        <v>0</v>
      </c>
      <c r="CI85" s="362">
        <f t="shared" si="62"/>
        <v>0</v>
      </c>
      <c r="CJ85" s="362">
        <f t="shared" si="62"/>
        <v>0</v>
      </c>
      <c r="CK85"/>
      <c r="CO85"/>
      <c r="CP85"/>
      <c r="CQ85"/>
      <c r="CR85"/>
      <c r="CS85"/>
      <c r="CT85"/>
      <c r="CU85"/>
      <c r="CV85"/>
      <c r="CW85"/>
      <c r="CX85"/>
      <c r="CY85"/>
      <c r="CZ85"/>
      <c r="DA85"/>
      <c r="DB85"/>
    </row>
    <row r="86" spans="2:134" ht="15" hidden="1" customHeight="1" thickBot="1">
      <c r="B86" s="53">
        <f t="shared" si="54"/>
        <v>0</v>
      </c>
      <c r="C86" s="32">
        <v>11</v>
      </c>
      <c r="D86" s="47" t="s">
        <v>263</v>
      </c>
      <c r="E86" s="421">
        <f>'Plant Inputs'!$G86</f>
        <v>0</v>
      </c>
      <c r="F86" s="227" t="str">
        <f>'Plant Inputs'!$H86</f>
        <v>gallon/short ton</v>
      </c>
      <c r="G86" s="163">
        <f t="shared" si="55"/>
        <v>0</v>
      </c>
      <c r="H86" s="204" t="str">
        <f t="shared" si="56"/>
        <v>gallon</v>
      </c>
      <c r="I86" s="160">
        <f t="shared" si="63"/>
        <v>0</v>
      </c>
      <c r="J86" s="177">
        <f t="shared" si="64"/>
        <v>0</v>
      </c>
      <c r="K86"/>
      <c r="L86"/>
      <c r="X86" s="65">
        <f>'Plant Inputs'!$X86</f>
        <v>0</v>
      </c>
      <c r="Y86" s="216">
        <f>IF(AND($X86=1,'Plant Inputs'!$Y86=1),1,0)</f>
        <v>0</v>
      </c>
      <c r="Z86" s="216"/>
      <c r="AA86" s="216"/>
      <c r="AB86" s="216"/>
      <c r="AC86" s="216"/>
      <c r="AD86" s="216"/>
      <c r="AE86" s="216"/>
      <c r="AF86" s="216"/>
      <c r="AG86" s="216"/>
      <c r="AH86" s="216"/>
      <c r="AI86" s="216"/>
      <c r="AJ86" s="216"/>
      <c r="AK86" s="216"/>
      <c r="AL86" s="216"/>
      <c r="AM86" s="1" t="str">
        <f t="shared" si="57"/>
        <v>LPG (Liquified Propane Gas)</v>
      </c>
      <c r="AN86" s="403">
        <f t="shared" si="65"/>
        <v>0</v>
      </c>
      <c r="AO86" s="164" t="str">
        <f t="shared" si="65"/>
        <v>gallon</v>
      </c>
      <c r="AP86" s="1">
        <f t="shared" si="58"/>
        <v>0.26417203728418465</v>
      </c>
      <c r="AQ86" s="87" t="str">
        <f t="shared" si="59"/>
        <v>gallon/litre</v>
      </c>
      <c r="AR86">
        <f t="shared" si="60"/>
        <v>0</v>
      </c>
      <c r="AS86" s="87" t="str">
        <f>'CPCI Data'!$W$27</f>
        <v>litre</v>
      </c>
      <c r="AT86">
        <f t="shared" si="66"/>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61"/>
        <v>0</v>
      </c>
      <c r="BJ86" s="360">
        <f t="shared" si="61"/>
        <v>0</v>
      </c>
      <c r="BK86" s="360">
        <f t="shared" si="61"/>
        <v>0</v>
      </c>
      <c r="BL86" s="360">
        <f t="shared" si="61"/>
        <v>0</v>
      </c>
      <c r="BM86" s="360">
        <f t="shared" si="61"/>
        <v>0</v>
      </c>
      <c r="BN86" s="360">
        <f t="shared" si="61"/>
        <v>0</v>
      </c>
      <c r="BO86" s="360">
        <f t="shared" si="61"/>
        <v>0</v>
      </c>
      <c r="BP86" s="360">
        <f t="shared" si="61"/>
        <v>0</v>
      </c>
      <c r="BQ86" s="360">
        <f t="shared" si="61"/>
        <v>0</v>
      </c>
      <c r="BR86" s="360">
        <f t="shared" si="61"/>
        <v>0</v>
      </c>
      <c r="BS86" s="360">
        <f t="shared" si="61"/>
        <v>0</v>
      </c>
      <c r="BT86" s="360">
        <f t="shared" si="61"/>
        <v>0</v>
      </c>
      <c r="BU86" s="360">
        <f t="shared" si="61"/>
        <v>0</v>
      </c>
      <c r="BV86" s="360">
        <f t="shared" si="61"/>
        <v>0</v>
      </c>
      <c r="BW86" s="362">
        <f t="shared" si="62"/>
        <v>0</v>
      </c>
      <c r="BX86" s="362">
        <f t="shared" si="62"/>
        <v>0</v>
      </c>
      <c r="BY86" s="362">
        <f t="shared" si="62"/>
        <v>0</v>
      </c>
      <c r="BZ86" s="362">
        <f t="shared" si="62"/>
        <v>0</v>
      </c>
      <c r="CA86" s="362">
        <f t="shared" si="62"/>
        <v>0</v>
      </c>
      <c r="CB86" s="362">
        <f t="shared" si="62"/>
        <v>0</v>
      </c>
      <c r="CC86" s="362">
        <f t="shared" si="62"/>
        <v>0</v>
      </c>
      <c r="CD86" s="362">
        <f t="shared" si="62"/>
        <v>0</v>
      </c>
      <c r="CE86" s="362">
        <f t="shared" si="62"/>
        <v>0</v>
      </c>
      <c r="CF86" s="362">
        <f t="shared" si="62"/>
        <v>0</v>
      </c>
      <c r="CG86" s="362">
        <f t="shared" si="62"/>
        <v>0</v>
      </c>
      <c r="CH86" s="362">
        <f t="shared" si="62"/>
        <v>0</v>
      </c>
      <c r="CI86" s="362">
        <f t="shared" si="62"/>
        <v>0</v>
      </c>
      <c r="CJ86" s="362">
        <f t="shared" si="62"/>
        <v>0</v>
      </c>
      <c r="CK86"/>
      <c r="CL86"/>
      <c r="CM86"/>
      <c r="CN86"/>
      <c r="CO86"/>
      <c r="CP86"/>
      <c r="CQ86"/>
      <c r="CR86"/>
      <c r="CS86"/>
      <c r="CT86"/>
      <c r="CU86"/>
      <c r="CV86"/>
      <c r="CW86"/>
      <c r="CX86"/>
      <c r="CY86"/>
      <c r="CZ86"/>
      <c r="DA86"/>
      <c r="DB86"/>
    </row>
    <row r="87" spans="2:134" ht="15" hidden="1" customHeight="1" thickBot="1">
      <c r="H87" s="45" t="s">
        <v>19</v>
      </c>
      <c r="I87" s="163">
        <f t="shared" si="63"/>
        <v>0</v>
      </c>
      <c r="J87" s="178">
        <f t="shared" si="64"/>
        <v>0</v>
      </c>
      <c r="K87"/>
      <c r="L87"/>
      <c r="AR87" t="s">
        <v>133</v>
      </c>
      <c r="AU87" s="358">
        <f>SUM(AU76:AU86)</f>
        <v>0</v>
      </c>
      <c r="AV87" s="358">
        <f t="shared" ref="AV87:AZ87" si="67">SUM(AV76:AV86)</f>
        <v>0</v>
      </c>
      <c r="AW87" s="358">
        <f t="shared" si="67"/>
        <v>0</v>
      </c>
      <c r="AX87" s="358">
        <f t="shared" si="67"/>
        <v>0</v>
      </c>
      <c r="AY87" s="358">
        <f t="shared" si="67"/>
        <v>0</v>
      </c>
      <c r="AZ87" s="358">
        <f t="shared" si="67"/>
        <v>0</v>
      </c>
      <c r="BA87" s="358">
        <f>SUM(BA76:BA86)</f>
        <v>0</v>
      </c>
      <c r="BB87" s="358">
        <f t="shared" ref="BB87:BH87" si="68">SUM(BB76:BB86)</f>
        <v>0</v>
      </c>
      <c r="BC87" s="358">
        <f t="shared" si="68"/>
        <v>0</v>
      </c>
      <c r="BD87" s="358">
        <f t="shared" si="68"/>
        <v>0</v>
      </c>
      <c r="BE87" s="358">
        <f t="shared" si="68"/>
        <v>0</v>
      </c>
      <c r="BF87" s="358">
        <f t="shared" si="68"/>
        <v>0</v>
      </c>
      <c r="BG87" s="358">
        <f t="shared" si="68"/>
        <v>0</v>
      </c>
      <c r="BH87" s="358">
        <f t="shared" si="68"/>
        <v>0</v>
      </c>
      <c r="BI87" s="360">
        <f t="shared" si="61"/>
        <v>0</v>
      </c>
      <c r="BJ87" s="360">
        <f t="shared" si="61"/>
        <v>0</v>
      </c>
      <c r="BK87" s="360">
        <f t="shared" si="61"/>
        <v>0</v>
      </c>
      <c r="BL87" s="360">
        <f t="shared" si="61"/>
        <v>0</v>
      </c>
      <c r="BM87" s="360">
        <f t="shared" si="61"/>
        <v>0</v>
      </c>
      <c r="BN87" s="360">
        <f t="shared" si="61"/>
        <v>0</v>
      </c>
      <c r="BO87" s="360">
        <f t="shared" si="61"/>
        <v>0</v>
      </c>
      <c r="BP87" s="360">
        <f t="shared" si="61"/>
        <v>0</v>
      </c>
      <c r="BQ87" s="360">
        <f t="shared" si="61"/>
        <v>0</v>
      </c>
      <c r="BR87" s="360">
        <f t="shared" si="61"/>
        <v>0</v>
      </c>
      <c r="BS87" s="360">
        <f t="shared" si="61"/>
        <v>0</v>
      </c>
      <c r="BT87" s="360">
        <f t="shared" si="61"/>
        <v>0</v>
      </c>
      <c r="BU87" s="360">
        <f t="shared" si="61"/>
        <v>0</v>
      </c>
      <c r="BV87" s="360">
        <f t="shared" si="61"/>
        <v>0</v>
      </c>
      <c r="BW87" s="362">
        <f t="shared" si="62"/>
        <v>0</v>
      </c>
      <c r="BX87" s="362">
        <f t="shared" si="62"/>
        <v>0</v>
      </c>
      <c r="BY87" s="362">
        <f t="shared" si="62"/>
        <v>0</v>
      </c>
      <c r="BZ87" s="362">
        <f t="shared" si="62"/>
        <v>0</v>
      </c>
      <c r="CA87" s="362">
        <f t="shared" si="62"/>
        <v>0</v>
      </c>
      <c r="CB87" s="362">
        <f t="shared" si="62"/>
        <v>0</v>
      </c>
      <c r="CC87" s="362">
        <f t="shared" si="62"/>
        <v>0</v>
      </c>
      <c r="CD87" s="362">
        <f t="shared" si="62"/>
        <v>0</v>
      </c>
      <c r="CE87" s="362">
        <f t="shared" si="62"/>
        <v>0</v>
      </c>
      <c r="CF87" s="362">
        <f t="shared" si="62"/>
        <v>0</v>
      </c>
      <c r="CG87" s="362">
        <f t="shared" si="62"/>
        <v>0</v>
      </c>
      <c r="CH87" s="362">
        <f t="shared" si="62"/>
        <v>0</v>
      </c>
      <c r="CI87" s="362">
        <f t="shared" si="62"/>
        <v>0</v>
      </c>
      <c r="CJ87" s="362">
        <f t="shared" si="62"/>
        <v>0</v>
      </c>
      <c r="CK87"/>
      <c r="CL87"/>
      <c r="CM87"/>
      <c r="CN87"/>
      <c r="CO87"/>
      <c r="CP87"/>
      <c r="CQ87"/>
      <c r="CR87"/>
      <c r="CS87"/>
      <c r="CT87"/>
      <c r="CU87"/>
      <c r="CV87"/>
      <c r="CW87"/>
      <c r="CX87"/>
      <c r="CY87"/>
      <c r="CZ87"/>
      <c r="DA87"/>
      <c r="DB87"/>
    </row>
    <row r="88" spans="2:134" ht="15" hidden="1" customHeight="1">
      <c r="J88" s="55"/>
      <c r="K88" s="55"/>
      <c r="L88" s="55"/>
      <c r="M88" s="72"/>
      <c r="N88" s="72"/>
      <c r="O88" s="72"/>
      <c r="P88" s="72"/>
      <c r="Q88" s="72"/>
      <c r="R88" s="72"/>
      <c r="S88" s="72"/>
      <c r="T88" s="76"/>
    </row>
    <row r="89" spans="2:134" ht="15" hidden="1" customHeight="1">
      <c r="T89" s="76"/>
    </row>
    <row r="90" spans="2:134" hidden="1">
      <c r="I90" s="3"/>
      <c r="J90" s="3"/>
      <c r="L90" s="13"/>
      <c r="O90" s="75"/>
      <c r="P90"/>
      <c r="Q90"/>
      <c r="R90"/>
      <c r="S90"/>
      <c r="T90"/>
      <c r="AN90" s="1"/>
      <c r="AO90" s="1"/>
      <c r="AP90" s="1"/>
      <c r="BM90" s="1" t="s">
        <v>336</v>
      </c>
      <c r="BN90" s="87">
        <v>1</v>
      </c>
      <c r="BV90"/>
      <c r="BW90"/>
      <c r="BX90"/>
      <c r="BY90"/>
      <c r="BZ90"/>
      <c r="CA90"/>
      <c r="CB90"/>
      <c r="CC90"/>
      <c r="CD90"/>
      <c r="CE90"/>
      <c r="CF90"/>
      <c r="CG90"/>
      <c r="CH90"/>
      <c r="CI90"/>
      <c r="CJ90"/>
      <c r="CK90"/>
    </row>
    <row r="91" spans="2:134" ht="16" hidden="1" thickBot="1">
      <c r="O91" s="76"/>
      <c r="P91"/>
      <c r="Q91"/>
      <c r="R91"/>
      <c r="S91"/>
      <c r="T91"/>
      <c r="AN91" s="1"/>
      <c r="AO91" s="1"/>
      <c r="AP91" s="1"/>
      <c r="BV91"/>
      <c r="BW91"/>
      <c r="BX91"/>
      <c r="BY91"/>
      <c r="BZ91"/>
      <c r="CA91"/>
      <c r="CB91"/>
      <c r="CC91"/>
      <c r="CD91"/>
      <c r="CE91"/>
      <c r="CF91"/>
    </row>
    <row r="92" spans="2:134" ht="21" hidden="1" thickBot="1">
      <c r="C92" s="16" t="s">
        <v>483</v>
      </c>
      <c r="D92" s="17"/>
      <c r="E92" s="17"/>
      <c r="F92" s="17"/>
      <c r="G92" s="70"/>
      <c r="H92" s="70"/>
      <c r="I92" s="70"/>
      <c r="J92"/>
      <c r="K92"/>
      <c r="L92"/>
      <c r="M92"/>
      <c r="N92"/>
      <c r="O92" s="12"/>
      <c r="P92"/>
      <c r="Q92"/>
      <c r="R92"/>
      <c r="S92"/>
      <c r="T9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5.75" hidden="1" customHeight="1" thickBot="1">
      <c r="C93" s="73" t="s">
        <v>747</v>
      </c>
      <c r="D93" s="74"/>
      <c r="E93" s="74"/>
      <c r="F93" s="74"/>
      <c r="G93" s="74"/>
      <c r="H93" s="307"/>
      <c r="I93" s="596"/>
      <c r="J93"/>
      <c r="K93"/>
      <c r="L93"/>
      <c r="M93"/>
      <c r="N93"/>
      <c r="O93" s="12"/>
      <c r="P93"/>
      <c r="Q93"/>
      <c r="R93"/>
      <c r="S93"/>
      <c r="T93"/>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hidden="1" customHeight="1">
      <c r="C94" s="599"/>
      <c r="D94" s="600"/>
      <c r="E94" s="600"/>
      <c r="F94" s="600"/>
      <c r="G94" s="600"/>
      <c r="H94" s="600"/>
      <c r="I94" s="597"/>
      <c r="J94"/>
      <c r="K94"/>
      <c r="L94"/>
      <c r="M94"/>
      <c r="N94"/>
      <c r="O94" s="12"/>
      <c r="P94"/>
      <c r="Q94"/>
      <c r="R94"/>
      <c r="S94"/>
      <c r="T94"/>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15.75" hidden="1" customHeight="1">
      <c r="C95" s="601"/>
      <c r="D95" s="602"/>
      <c r="E95" s="602"/>
      <c r="F95" s="602"/>
      <c r="G95" s="602"/>
      <c r="H95" s="602"/>
      <c r="I95" s="597"/>
      <c r="J95"/>
      <c r="K95"/>
      <c r="L95"/>
      <c r="M95"/>
      <c r="N95"/>
      <c r="O95" s="12"/>
      <c r="P95"/>
      <c r="Q95"/>
      <c r="R95"/>
      <c r="S95"/>
      <c r="T95"/>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ht="33.75" hidden="1" customHeight="1">
      <c r="C96" s="23" t="s">
        <v>2</v>
      </c>
      <c r="D96" s="24" t="s">
        <v>482</v>
      </c>
      <c r="E96" s="402" t="s">
        <v>116</v>
      </c>
      <c r="F96" s="304" t="s">
        <v>6</v>
      </c>
      <c r="G96" s="431" t="str">
        <f>"Waste for
Project #"&amp;$Y$2</f>
        <v>Waste for
Project #Custom</v>
      </c>
      <c r="H96" s="25" t="s">
        <v>6</v>
      </c>
      <c r="I96" s="598" t="s">
        <v>240</v>
      </c>
      <c r="J96"/>
      <c r="K96"/>
      <c r="L96"/>
      <c r="M96"/>
      <c r="N96"/>
      <c r="O96" s="12"/>
      <c r="P96"/>
      <c r="Q96"/>
      <c r="R96"/>
      <c r="S96"/>
      <c r="T96"/>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hidden="1">
      <c r="B97" s="53">
        <f t="shared" ref="B97:B102" si="69">X97</f>
        <v>0</v>
      </c>
      <c r="C97" s="26">
        <f t="shared" ref="C97:C102" si="70">ROW($C97)-ROW($C$97)+1</f>
        <v>1</v>
      </c>
      <c r="D97" s="41" t="s">
        <v>647</v>
      </c>
      <c r="E97" s="594">
        <f>IF('Plant Inputs'!$AT$22=0,0,'Plant Inputs'!$AV97/'Plant Inputs'!$AT$22)</f>
        <v>0</v>
      </c>
      <c r="F97" s="213" t="str">
        <f t="shared" ref="F97:F102" si="71">MassDisplayUnit&amp;"/"&amp;MassDisplayUnit</f>
        <v>short ton/short ton</v>
      </c>
      <c r="G97" s="158">
        <f>$E97*$AT$18</f>
        <v>0</v>
      </c>
      <c r="H97" s="204" t="str">
        <f t="shared" ref="H97:H102" si="72">MassDisplayUnit</f>
        <v>short ton</v>
      </c>
      <c r="I97" s="156">
        <f t="shared" ref="I97" si="73">IF($G$68=0,0,G97/$G$68)</f>
        <v>0</v>
      </c>
      <c r="J97"/>
      <c r="K97"/>
      <c r="L97"/>
      <c r="M97"/>
      <c r="N97"/>
      <c r="O97" s="12"/>
      <c r="P97"/>
      <c r="Q97"/>
      <c r="R97"/>
      <c r="S97"/>
      <c r="T97"/>
      <c r="X97" s="65">
        <f>'Plant Inputs'!$X97</f>
        <v>0</v>
      </c>
      <c r="Y97" s="216">
        <f>IF(AND($X97=2,'Plant Inputs'!$Y97=1),1,0)</f>
        <v>0</v>
      </c>
      <c r="Z97" s="216">
        <v>2</v>
      </c>
      <c r="AA97" s="216">
        <f>IF($Y97=0,0,IF('Plant Inputs'!J97="",0,'Plant Inputs'!J97))</f>
        <v>0</v>
      </c>
      <c r="AB97" s="216">
        <f>IF($Y97=0,0,IF('Plant Inputs'!K97="",0,'Plant Inputs'!K97))</f>
        <v>0</v>
      </c>
      <c r="AC97" s="216">
        <f>IF($Y97=0,0,IF('Plant Inputs'!L97="",0,'Plant Inputs'!L97))</f>
        <v>0</v>
      </c>
      <c r="AD97" s="216">
        <f>IF($Y97=0,0,IF('Plant Inputs'!M97="",0,'Plant Inputs'!M97))</f>
        <v>0</v>
      </c>
      <c r="AE97" s="217" t="str">
        <f>'Plant Inputs'!$N97</f>
        <v>mile</v>
      </c>
      <c r="AF97" s="217">
        <f t="shared" ref="AF97:AF102" si="74">INDEX(Conversion_Table,MATCH($AE97,Conversion_Rows,0),MATCH($AG$27,Conversion_Columns,0))</f>
        <v>1.6093473468862911</v>
      </c>
      <c r="AG97" s="216" t="str">
        <f t="shared" ref="AG97:AG102" si="75">$AG$27&amp;"/"&amp;$AE97</f>
        <v>km/mile</v>
      </c>
      <c r="AH97" s="216">
        <f t="shared" ref="AH97:AK100" si="76">AA97*$AF97</f>
        <v>0</v>
      </c>
      <c r="AI97" s="216">
        <f t="shared" si="76"/>
        <v>0</v>
      </c>
      <c r="AJ97" s="216">
        <f t="shared" si="76"/>
        <v>0</v>
      </c>
      <c r="AK97" s="216">
        <f t="shared" si="76"/>
        <v>0</v>
      </c>
      <c r="AL97" s="216"/>
      <c r="AM97" s="1" t="str">
        <f t="shared" ref="AM97:AM102" si="77">D97</f>
        <v>Hazardous Waste to Landfill</v>
      </c>
      <c r="AN97" t="s">
        <v>127</v>
      </c>
      <c r="AO97">
        <f t="shared" ref="AO97:AO102" si="78">VLOOKUP(AM97,Material_Densities,2,FALSE)</f>
        <v>0</v>
      </c>
      <c r="AP97" s="1">
        <f>IF($G97="",0,$G97)</f>
        <v>0</v>
      </c>
      <c r="AQ97" s="164" t="str">
        <f>H97</f>
        <v>short ton</v>
      </c>
      <c r="AR97" s="1">
        <f t="shared" ref="AR97:AR102" si="79">IFERROR(IF($AN97="M",INDEX(Conversion_Table,MATCH($AQ97,Conversion_Rows,0),MATCH($AT$29,Conversion_Columns,0)),IF($AN97="V",INDEX(Conversion_Table,MATCH($AQ97,Conversion_Rows,0),MATCH("m3",Conversion_Columns,0))*$AO97)),NA())</f>
        <v>0.90718499588591606</v>
      </c>
      <c r="AS97" s="87" t="str">
        <f>$AT$96&amp;"/"&amp;AQ97</f>
        <v>tonne/short ton</v>
      </c>
      <c r="AT97" s="87">
        <f t="shared" ref="AT97:AT102" si="80">AP97*AR97</f>
        <v>0</v>
      </c>
      <c r="AU97" s="87">
        <f t="shared" ref="AU97:AU102" si="81">INDEX(Conversion_Table,MATCH($AT$29,Conversion_Rows,0),MATCH($AU$29,Conversion_Columns,0))*AT97</f>
        <v>0</v>
      </c>
      <c r="AV97" s="87">
        <f t="shared" ref="AV97:AV102" si="82">$AT97*INDEX(Conversion_Table,MATCH($AT$96,Conversion_Rows,0),MATCH($AV$96,Conversion_Columns,0))</f>
        <v>0</v>
      </c>
      <c r="AW97" s="1" t="str">
        <f t="shared" ref="AW97:AW102" si="83">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84">BM97+CA97+CO97+DC97</f>
        <v>0</v>
      </c>
      <c r="DR97">
        <f t="shared" si="84"/>
        <v>0</v>
      </c>
      <c r="DS97">
        <f t="shared" si="84"/>
        <v>0</v>
      </c>
      <c r="DT97">
        <f t="shared" si="84"/>
        <v>0</v>
      </c>
      <c r="DU97">
        <f t="shared" si="84"/>
        <v>0</v>
      </c>
      <c r="DV97">
        <f t="shared" si="84"/>
        <v>0</v>
      </c>
      <c r="DW97">
        <f t="shared" si="84"/>
        <v>0</v>
      </c>
      <c r="DX97">
        <f t="shared" si="84"/>
        <v>0</v>
      </c>
      <c r="DY97">
        <f t="shared" si="84"/>
        <v>0</v>
      </c>
      <c r="DZ97">
        <f t="shared" si="84"/>
        <v>0</v>
      </c>
      <c r="EA97">
        <f t="shared" si="84"/>
        <v>0</v>
      </c>
      <c r="EB97"/>
      <c r="EC97"/>
      <c r="ED97">
        <f t="shared" ref="ED97:ED102" si="85">BZ97+CN97+DB97+DP97</f>
        <v>0</v>
      </c>
    </row>
    <row r="98" spans="2:134" hidden="1">
      <c r="B98" s="53">
        <f t="shared" si="69"/>
        <v>0</v>
      </c>
      <c r="C98" s="26">
        <f t="shared" si="70"/>
        <v>2</v>
      </c>
      <c r="D98" s="41" t="s">
        <v>648</v>
      </c>
      <c r="E98" s="594">
        <f>IF('Plant Inputs'!$AT$22=0,0,'Plant Inputs'!$AV98/'Plant Inputs'!$AT$22)</f>
        <v>0</v>
      </c>
      <c r="F98" s="213" t="str">
        <f t="shared" si="71"/>
        <v>short ton/short ton</v>
      </c>
      <c r="G98" s="158">
        <f t="shared" ref="G98:G102" si="86">$E98*$AT$18</f>
        <v>0</v>
      </c>
      <c r="H98" s="204" t="str">
        <f t="shared" si="72"/>
        <v>short ton</v>
      </c>
      <c r="I98" s="156">
        <f>IF($G$68=0,0,G98/$G$68)</f>
        <v>0</v>
      </c>
      <c r="J98"/>
      <c r="K98"/>
      <c r="L98"/>
      <c r="M98"/>
      <c r="N98"/>
      <c r="O98" s="12"/>
      <c r="P98"/>
      <c r="Q98"/>
      <c r="R98"/>
      <c r="S98"/>
      <c r="T98"/>
      <c r="X98" s="65">
        <f>'Plant Inputs'!$X98</f>
        <v>0</v>
      </c>
      <c r="Y98" s="216">
        <f>IF(AND($X98=2,'Plant Inputs'!$Y98=1),1,0)</f>
        <v>0</v>
      </c>
      <c r="Z98" s="216">
        <v>2</v>
      </c>
      <c r="AA98" s="216">
        <f>IF($Y98=0,0,IF('Plant Inputs'!J98="",0,'Plant Inputs'!J98))</f>
        <v>0</v>
      </c>
      <c r="AB98" s="216">
        <f>IF($Y98=0,0,IF('Plant Inputs'!K98="",0,'Plant Inputs'!K98))</f>
        <v>0</v>
      </c>
      <c r="AC98" s="216">
        <f>IF($Y98=0,0,IF('Plant Inputs'!L98="",0,'Plant Inputs'!L98))</f>
        <v>0</v>
      </c>
      <c r="AD98" s="216">
        <f>IF($Y98=0,0,IF('Plant Inputs'!M98="",0,'Plant Inputs'!M98))</f>
        <v>0</v>
      </c>
      <c r="AE98" s="217" t="str">
        <f>'Plant Inputs'!$N98</f>
        <v>mile</v>
      </c>
      <c r="AF98" s="217">
        <f t="shared" si="74"/>
        <v>1.6093473468862911</v>
      </c>
      <c r="AG98" s="216" t="str">
        <f t="shared" si="75"/>
        <v>km/mile</v>
      </c>
      <c r="AH98" s="216">
        <f t="shared" si="76"/>
        <v>0</v>
      </c>
      <c r="AI98" s="216">
        <f t="shared" si="76"/>
        <v>0</v>
      </c>
      <c r="AJ98" s="216">
        <f t="shared" si="76"/>
        <v>0</v>
      </c>
      <c r="AK98" s="216">
        <f t="shared" si="76"/>
        <v>0</v>
      </c>
      <c r="AL98" s="216"/>
      <c r="AM98" s="1" t="str">
        <f t="shared" si="77"/>
        <v>Hazardous Waste to Recycling Facility</v>
      </c>
      <c r="AN98" t="s">
        <v>127</v>
      </c>
      <c r="AO98">
        <f t="shared" si="78"/>
        <v>0</v>
      </c>
      <c r="AP98" s="1">
        <f t="shared" ref="AP98:AP102" si="87">IF($G98="",0,$G98)</f>
        <v>0</v>
      </c>
      <c r="AQ98" s="164" t="str">
        <f t="shared" ref="AQ98:AQ102" si="88">H98</f>
        <v>short ton</v>
      </c>
      <c r="AR98" s="1">
        <f t="shared" si="79"/>
        <v>0.90718499588591606</v>
      </c>
      <c r="AS98" s="87" t="str">
        <f t="shared" ref="AS98:AS102" si="89">$AT$96&amp;"/"&amp;AQ98</f>
        <v>tonne/short ton</v>
      </c>
      <c r="AT98" s="87">
        <f t="shared" si="80"/>
        <v>0</v>
      </c>
      <c r="AU98" s="87">
        <f t="shared" si="81"/>
        <v>0</v>
      </c>
      <c r="AV98" s="87">
        <f t="shared" si="82"/>
        <v>0</v>
      </c>
      <c r="AW98" s="1" t="str">
        <f t="shared" si="83"/>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84"/>
        <v>0</v>
      </c>
      <c r="DR98">
        <f t="shared" si="84"/>
        <v>0</v>
      </c>
      <c r="DS98">
        <f t="shared" si="84"/>
        <v>0</v>
      </c>
      <c r="DT98">
        <f t="shared" si="84"/>
        <v>0</v>
      </c>
      <c r="DU98">
        <f t="shared" si="84"/>
        <v>0</v>
      </c>
      <c r="DV98">
        <f t="shared" si="84"/>
        <v>0</v>
      </c>
      <c r="DW98">
        <f t="shared" si="84"/>
        <v>0</v>
      </c>
      <c r="DX98">
        <f t="shared" si="84"/>
        <v>0</v>
      </c>
      <c r="DY98">
        <f t="shared" si="84"/>
        <v>0</v>
      </c>
      <c r="DZ98">
        <f t="shared" si="84"/>
        <v>0</v>
      </c>
      <c r="EA98">
        <f t="shared" si="84"/>
        <v>0</v>
      </c>
      <c r="EB98"/>
      <c r="EC98"/>
      <c r="ED98">
        <f t="shared" si="85"/>
        <v>0</v>
      </c>
    </row>
    <row r="99" spans="2:134" hidden="1">
      <c r="B99" s="53">
        <f t="shared" si="69"/>
        <v>0</v>
      </c>
      <c r="C99" s="26">
        <f t="shared" si="70"/>
        <v>3</v>
      </c>
      <c r="D99" s="41" t="s">
        <v>652</v>
      </c>
      <c r="E99" s="594">
        <f>IF('Plant Inputs'!$AT$22=0,0,'Plant Inputs'!$AV99/'Plant Inputs'!$AT$22)</f>
        <v>0</v>
      </c>
      <c r="F99" s="213" t="str">
        <f t="shared" si="71"/>
        <v>short ton/short ton</v>
      </c>
      <c r="G99" s="158">
        <f t="shared" si="86"/>
        <v>0</v>
      </c>
      <c r="H99" s="204" t="str">
        <f t="shared" si="72"/>
        <v>short ton</v>
      </c>
      <c r="I99" s="156">
        <f>IF($G$68=0,0,G99/$G$68)</f>
        <v>0</v>
      </c>
      <c r="J99"/>
      <c r="K99"/>
      <c r="L99"/>
      <c r="M99"/>
      <c r="N99"/>
      <c r="O99" s="12"/>
      <c r="P99"/>
      <c r="Q99"/>
      <c r="R99"/>
      <c r="S99"/>
      <c r="T99"/>
      <c r="X99" s="65">
        <f>'Plant Inputs'!$X99</f>
        <v>0</v>
      </c>
      <c r="Y99" s="216">
        <f>IF(AND($X99=2,'Plant Inputs'!$Y99=1),1,0)</f>
        <v>0</v>
      </c>
      <c r="Z99" s="216">
        <v>2</v>
      </c>
      <c r="AA99" s="216">
        <f>IF($Y99=0,0,IF('Plant Inputs'!J99="",0,'Plant Inputs'!J99))</f>
        <v>0</v>
      </c>
      <c r="AB99" s="216">
        <f>IF($Y99=0,0,IF('Plant Inputs'!K99="",0,'Plant Inputs'!K99))</f>
        <v>0</v>
      </c>
      <c r="AC99" s="216">
        <f>IF($Y99=0,0,IF('Plant Inputs'!L99="",0,'Plant Inputs'!L99))</f>
        <v>0</v>
      </c>
      <c r="AD99" s="216">
        <f>IF($Y99=0,0,IF('Plant Inputs'!M99="",0,'Plant Inputs'!M99))</f>
        <v>0</v>
      </c>
      <c r="AE99" s="217" t="str">
        <f>'Plant Inputs'!$N99</f>
        <v>mile</v>
      </c>
      <c r="AF99" s="217">
        <f t="shared" si="74"/>
        <v>1.6093473468862911</v>
      </c>
      <c r="AG99" s="216" t="str">
        <f t="shared" si="75"/>
        <v>km/mile</v>
      </c>
      <c r="AH99" s="216">
        <f t="shared" si="76"/>
        <v>0</v>
      </c>
      <c r="AI99" s="216">
        <f t="shared" si="76"/>
        <v>0</v>
      </c>
      <c r="AJ99" s="216">
        <f t="shared" si="76"/>
        <v>0</v>
      </c>
      <c r="AK99" s="216">
        <f t="shared" si="76"/>
        <v>0</v>
      </c>
      <c r="AL99" s="216"/>
      <c r="AM99" s="1" t="str">
        <f t="shared" si="77"/>
        <v>Hazardous Waste to Incineration Facility</v>
      </c>
      <c r="AN99" t="s">
        <v>127</v>
      </c>
      <c r="AO99">
        <f t="shared" si="78"/>
        <v>0</v>
      </c>
      <c r="AP99" s="1">
        <f t="shared" si="87"/>
        <v>0</v>
      </c>
      <c r="AQ99" s="164" t="str">
        <f t="shared" si="88"/>
        <v>short ton</v>
      </c>
      <c r="AR99" s="1">
        <f t="shared" si="79"/>
        <v>0.90718499588591606</v>
      </c>
      <c r="AS99" s="87" t="str">
        <f t="shared" si="89"/>
        <v>tonne/short ton</v>
      </c>
      <c r="AT99" s="87">
        <f t="shared" si="80"/>
        <v>0</v>
      </c>
      <c r="AU99" s="87">
        <f t="shared" si="81"/>
        <v>0</v>
      </c>
      <c r="AV99" s="87">
        <f t="shared" si="82"/>
        <v>0</v>
      </c>
      <c r="AW99" s="1" t="str">
        <f t="shared" si="83"/>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84"/>
        <v>0</v>
      </c>
      <c r="DR99">
        <f t="shared" si="84"/>
        <v>0</v>
      </c>
      <c r="DS99">
        <f t="shared" si="84"/>
        <v>0</v>
      </c>
      <c r="DT99">
        <f t="shared" si="84"/>
        <v>0</v>
      </c>
      <c r="DU99">
        <f t="shared" si="84"/>
        <v>0</v>
      </c>
      <c r="DV99">
        <f t="shared" si="84"/>
        <v>0</v>
      </c>
      <c r="DW99">
        <f t="shared" si="84"/>
        <v>0</v>
      </c>
      <c r="DX99">
        <f t="shared" si="84"/>
        <v>0</v>
      </c>
      <c r="DY99">
        <f t="shared" si="84"/>
        <v>0</v>
      </c>
      <c r="DZ99">
        <f t="shared" si="84"/>
        <v>0</v>
      </c>
      <c r="EA99">
        <f t="shared" si="84"/>
        <v>0</v>
      </c>
      <c r="EB99"/>
      <c r="EC99"/>
      <c r="ED99">
        <f t="shared" si="85"/>
        <v>0</v>
      </c>
    </row>
    <row r="100" spans="2:134" hidden="1">
      <c r="B100" s="53">
        <f t="shared" si="69"/>
        <v>0</v>
      </c>
      <c r="C100" s="26">
        <f t="shared" si="70"/>
        <v>4</v>
      </c>
      <c r="D100" s="41" t="s">
        <v>649</v>
      </c>
      <c r="E100" s="594">
        <f>IF('Plant Inputs'!$AT$22=0,0,'Plant Inputs'!$AV100/'Plant Inputs'!$AT$22)</f>
        <v>0</v>
      </c>
      <c r="F100" s="213" t="str">
        <f t="shared" si="71"/>
        <v>short ton/short ton</v>
      </c>
      <c r="G100" s="158">
        <f t="shared" si="86"/>
        <v>0</v>
      </c>
      <c r="H100" s="204" t="str">
        <f t="shared" si="72"/>
        <v>short ton</v>
      </c>
      <c r="I100" s="156">
        <f t="shared" ref="I100" si="90">IF($G$68=0,0,G100/$G$68)</f>
        <v>0</v>
      </c>
      <c r="J100"/>
      <c r="K100"/>
      <c r="L100"/>
      <c r="M100"/>
      <c r="N100"/>
      <c r="O100" s="12"/>
      <c r="P100"/>
      <c r="Q100"/>
      <c r="R100"/>
      <c r="S100"/>
      <c r="T100"/>
      <c r="X100" s="65">
        <f>'Plant Inputs'!$X100</f>
        <v>0</v>
      </c>
      <c r="Y100" s="216">
        <f>IF(AND($X100=2,'Plant Inputs'!$Y100=1),1,0)</f>
        <v>0</v>
      </c>
      <c r="Z100" s="216">
        <v>2</v>
      </c>
      <c r="AA100" s="216">
        <f>IF($Y100=0,0,IF('Plant Inputs'!J100="",0,'Plant Inputs'!J100))</f>
        <v>0</v>
      </c>
      <c r="AB100" s="216">
        <f>IF($Y100=0,0,IF('Plant Inputs'!K100="",0,'Plant Inputs'!K100))</f>
        <v>0</v>
      </c>
      <c r="AC100" s="216">
        <f>IF($Y100=0,0,IF('Plant Inputs'!L100="",0,'Plant Inputs'!L100))</f>
        <v>0</v>
      </c>
      <c r="AD100" s="216">
        <f>IF($Y100=0,0,IF('Plant Inputs'!M100="",0,'Plant Inputs'!M100))</f>
        <v>0</v>
      </c>
      <c r="AE100" s="217" t="str">
        <f>'Plant Inputs'!$N100</f>
        <v>mile</v>
      </c>
      <c r="AF100" s="217">
        <f t="shared" si="74"/>
        <v>1.6093473468862911</v>
      </c>
      <c r="AG100" s="216" t="str">
        <f t="shared" si="75"/>
        <v>km/mile</v>
      </c>
      <c r="AH100" s="216">
        <f t="shared" si="76"/>
        <v>0</v>
      </c>
      <c r="AI100" s="216">
        <f t="shared" si="76"/>
        <v>0</v>
      </c>
      <c r="AJ100" s="216">
        <f t="shared" si="76"/>
        <v>0</v>
      </c>
      <c r="AK100" s="216">
        <f t="shared" si="76"/>
        <v>0</v>
      </c>
      <c r="AL100" s="216"/>
      <c r="AM100" s="1" t="str">
        <f t="shared" si="77"/>
        <v>Non-Hazardous Waste to Landfill</v>
      </c>
      <c r="AN100" t="s">
        <v>127</v>
      </c>
      <c r="AO100">
        <f t="shared" si="78"/>
        <v>0</v>
      </c>
      <c r="AP100" s="1">
        <f t="shared" si="87"/>
        <v>0</v>
      </c>
      <c r="AQ100" s="164" t="str">
        <f t="shared" si="88"/>
        <v>short ton</v>
      </c>
      <c r="AR100" s="1">
        <f t="shared" si="79"/>
        <v>0.90718499588591606</v>
      </c>
      <c r="AS100" s="87" t="str">
        <f t="shared" si="89"/>
        <v>tonne/short ton</v>
      </c>
      <c r="AT100" s="87">
        <f t="shared" si="80"/>
        <v>0</v>
      </c>
      <c r="AU100" s="87">
        <f t="shared" si="81"/>
        <v>0</v>
      </c>
      <c r="AV100" s="87">
        <f t="shared" si="82"/>
        <v>0</v>
      </c>
      <c r="AW100" s="1" t="str">
        <f t="shared" si="83"/>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84"/>
        <v>0</v>
      </c>
      <c r="DR100">
        <f t="shared" si="84"/>
        <v>0</v>
      </c>
      <c r="DS100">
        <f t="shared" si="84"/>
        <v>0</v>
      </c>
      <c r="DT100">
        <f t="shared" si="84"/>
        <v>0</v>
      </c>
      <c r="DU100">
        <f t="shared" si="84"/>
        <v>0</v>
      </c>
      <c r="DV100">
        <f t="shared" si="84"/>
        <v>0</v>
      </c>
      <c r="DW100">
        <f t="shared" si="84"/>
        <v>0</v>
      </c>
      <c r="DX100">
        <f t="shared" si="84"/>
        <v>0</v>
      </c>
      <c r="DY100">
        <f t="shared" si="84"/>
        <v>0</v>
      </c>
      <c r="DZ100">
        <f t="shared" si="84"/>
        <v>0</v>
      </c>
      <c r="EA100">
        <f t="shared" si="84"/>
        <v>0</v>
      </c>
      <c r="EB100"/>
      <c r="EC100"/>
      <c r="ED100">
        <f t="shared" si="85"/>
        <v>0</v>
      </c>
    </row>
    <row r="101" spans="2:134" hidden="1">
      <c r="B101" s="53">
        <f t="shared" si="69"/>
        <v>0</v>
      </c>
      <c r="C101" s="26">
        <f t="shared" si="70"/>
        <v>5</v>
      </c>
      <c r="D101" s="41" t="s">
        <v>650</v>
      </c>
      <c r="E101" s="594">
        <f>IF('Plant Inputs'!$AT$22=0,0,'Plant Inputs'!$AV101/'Plant Inputs'!$AT$22)</f>
        <v>0</v>
      </c>
      <c r="F101" s="213" t="str">
        <f t="shared" si="71"/>
        <v>short ton/short ton</v>
      </c>
      <c r="G101" s="158">
        <f t="shared" si="86"/>
        <v>0</v>
      </c>
      <c r="H101" s="204" t="str">
        <f t="shared" si="72"/>
        <v>short ton</v>
      </c>
      <c r="I101" s="156">
        <f>IF($G$68=0,0,G101/$G$68)</f>
        <v>0</v>
      </c>
      <c r="J101"/>
      <c r="K101"/>
      <c r="L101"/>
      <c r="M101"/>
      <c r="N101"/>
      <c r="O101" s="12"/>
      <c r="P101"/>
      <c r="Q101"/>
      <c r="R101"/>
      <c r="S101"/>
      <c r="T101"/>
      <c r="X101" s="65">
        <f>'Plant Inputs'!$X101</f>
        <v>0</v>
      </c>
      <c r="Y101" s="216">
        <f>IF(AND($X101=2,'Plant Inputs'!$Y101=1),1,0)</f>
        <v>0</v>
      </c>
      <c r="Z101" s="216">
        <v>2</v>
      </c>
      <c r="AA101" s="216">
        <f>IF($Y101=0,0,IF('Plant Inputs'!J101="",0,'Plant Inputs'!J101))</f>
        <v>0</v>
      </c>
      <c r="AB101" s="216">
        <f>IF($Y101=0,0,IF('Plant Inputs'!K101="",0,'Plant Inputs'!K101))</f>
        <v>0</v>
      </c>
      <c r="AC101" s="216">
        <f>IF($Y101=0,0,IF('Plant Inputs'!L101="",0,'Plant Inputs'!L101))</f>
        <v>0</v>
      </c>
      <c r="AD101" s="216">
        <f>IF($Y101=0,0,IF('Plant Inputs'!M101="",0,'Plant Inputs'!M101))</f>
        <v>0</v>
      </c>
      <c r="AE101" s="217" t="str">
        <f>'Plant Inputs'!$N101</f>
        <v>mile</v>
      </c>
      <c r="AF101" s="217">
        <f t="shared" si="74"/>
        <v>1.6093473468862911</v>
      </c>
      <c r="AG101" s="216" t="str">
        <f t="shared" si="75"/>
        <v>km/mile</v>
      </c>
      <c r="AH101" s="216">
        <f>AA101*$AF101</f>
        <v>0</v>
      </c>
      <c r="AI101" s="216">
        <f>AB101*$AF101</f>
        <v>0</v>
      </c>
      <c r="AJ101" s="216">
        <f>AC101*$AF101</f>
        <v>0</v>
      </c>
      <c r="AK101" s="216">
        <f>AD101*$AF101</f>
        <v>0</v>
      </c>
      <c r="AL101" s="216"/>
      <c r="AM101" s="1" t="str">
        <f t="shared" si="77"/>
        <v>Non-Hazardous Waste to Recycling Facility</v>
      </c>
      <c r="AN101" t="s">
        <v>127</v>
      </c>
      <c r="AO101">
        <f t="shared" si="78"/>
        <v>0</v>
      </c>
      <c r="AP101" s="1">
        <f t="shared" si="87"/>
        <v>0</v>
      </c>
      <c r="AQ101" s="164" t="str">
        <f t="shared" si="88"/>
        <v>short ton</v>
      </c>
      <c r="AR101" s="1">
        <f t="shared" si="79"/>
        <v>0.90718499588591606</v>
      </c>
      <c r="AS101" s="87" t="str">
        <f t="shared" si="89"/>
        <v>tonne/short ton</v>
      </c>
      <c r="AT101" s="87">
        <f t="shared" si="80"/>
        <v>0</v>
      </c>
      <c r="AU101" s="87">
        <f t="shared" si="81"/>
        <v>0</v>
      </c>
      <c r="AV101" s="87">
        <f t="shared" si="82"/>
        <v>0</v>
      </c>
      <c r="AW101" s="1" t="str">
        <f t="shared" si="83"/>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84"/>
        <v>0</v>
      </c>
      <c r="DR101">
        <f t="shared" si="84"/>
        <v>0</v>
      </c>
      <c r="DS101">
        <f t="shared" si="84"/>
        <v>0</v>
      </c>
      <c r="DT101">
        <f t="shared" si="84"/>
        <v>0</v>
      </c>
      <c r="DU101">
        <f t="shared" si="84"/>
        <v>0</v>
      </c>
      <c r="DV101">
        <f t="shared" si="84"/>
        <v>0</v>
      </c>
      <c r="DW101">
        <f t="shared" si="84"/>
        <v>0</v>
      </c>
      <c r="DX101">
        <f t="shared" si="84"/>
        <v>0</v>
      </c>
      <c r="DY101">
        <f t="shared" si="84"/>
        <v>0</v>
      </c>
      <c r="DZ101">
        <f t="shared" si="84"/>
        <v>0</v>
      </c>
      <c r="EA101">
        <f t="shared" si="84"/>
        <v>0</v>
      </c>
      <c r="EB101"/>
      <c r="EC101"/>
      <c r="ED101">
        <f t="shared" si="85"/>
        <v>0</v>
      </c>
    </row>
    <row r="102" spans="2:134" ht="16" hidden="1" thickBot="1">
      <c r="B102" s="53">
        <f t="shared" si="69"/>
        <v>0</v>
      </c>
      <c r="C102" s="32">
        <f t="shared" si="70"/>
        <v>6</v>
      </c>
      <c r="D102" s="363" t="s">
        <v>651</v>
      </c>
      <c r="E102" s="594">
        <f>IF('Plant Inputs'!$AT$22=0,0,'Plant Inputs'!$AV102/'Plant Inputs'!$AT$22)</f>
        <v>0</v>
      </c>
      <c r="F102" s="213" t="str">
        <f t="shared" si="71"/>
        <v>short ton/short ton</v>
      </c>
      <c r="G102" s="158">
        <f t="shared" si="86"/>
        <v>0</v>
      </c>
      <c r="H102" s="227" t="str">
        <f t="shared" si="72"/>
        <v>short ton</v>
      </c>
      <c r="I102" s="397">
        <f t="shared" ref="I102" si="91">IF($G$68=0,0,G102/$G$68)</f>
        <v>0</v>
      </c>
      <c r="J102"/>
      <c r="K102"/>
      <c r="L102"/>
      <c r="M102"/>
      <c r="N102"/>
      <c r="O102" s="12"/>
      <c r="P102"/>
      <c r="Q102"/>
      <c r="R102"/>
      <c r="S102"/>
      <c r="T102"/>
      <c r="X102" s="65">
        <f>'Plant Inputs'!$X102</f>
        <v>0</v>
      </c>
      <c r="Y102" s="216">
        <f>IF(AND($X102=2,'Plant Inputs'!$Y102=1),1,0)</f>
        <v>0</v>
      </c>
      <c r="Z102" s="216">
        <v>2</v>
      </c>
      <c r="AA102" s="216">
        <f>IF($Y102=0,0,IF('Plant Inputs'!J102="",0,'Plant Inputs'!J102))</f>
        <v>0</v>
      </c>
      <c r="AB102" s="216">
        <f>IF($Y102=0,0,IF('Plant Inputs'!K102="",0,'Plant Inputs'!K102))</f>
        <v>0</v>
      </c>
      <c r="AC102" s="216">
        <f>IF($Y102=0,0,IF('Plant Inputs'!L102="",0,'Plant Inputs'!L102))</f>
        <v>0</v>
      </c>
      <c r="AD102" s="216">
        <f>IF($Y102=0,0,IF('Plant Inputs'!M102="",0,'Plant Inputs'!M102))</f>
        <v>0</v>
      </c>
      <c r="AE102" s="217" t="str">
        <f>'Plant Inputs'!$N102</f>
        <v>mile</v>
      </c>
      <c r="AF102" s="217">
        <f t="shared" si="74"/>
        <v>1.6093473468862911</v>
      </c>
      <c r="AG102" s="216" t="str">
        <f t="shared" si="75"/>
        <v>km/mile</v>
      </c>
      <c r="AH102" s="216">
        <f t="shared" ref="AH102:AK102" si="92">AA102*$AF102</f>
        <v>0</v>
      </c>
      <c r="AI102" s="216">
        <f t="shared" si="92"/>
        <v>0</v>
      </c>
      <c r="AJ102" s="216">
        <f t="shared" si="92"/>
        <v>0</v>
      </c>
      <c r="AK102" s="216">
        <f t="shared" si="92"/>
        <v>0</v>
      </c>
      <c r="AL102" s="216"/>
      <c r="AM102" s="1" t="str">
        <f t="shared" si="77"/>
        <v>Non-Hazardous Waste to Incineration Facility</v>
      </c>
      <c r="AN102" t="s">
        <v>127</v>
      </c>
      <c r="AO102">
        <f t="shared" si="78"/>
        <v>0</v>
      </c>
      <c r="AP102" s="1">
        <f t="shared" si="87"/>
        <v>0</v>
      </c>
      <c r="AQ102" s="164" t="str">
        <f t="shared" si="88"/>
        <v>short ton</v>
      </c>
      <c r="AR102" s="1">
        <f t="shared" si="79"/>
        <v>0.90718499588591606</v>
      </c>
      <c r="AS102" s="87" t="str">
        <f t="shared" si="89"/>
        <v>tonne/short ton</v>
      </c>
      <c r="AT102" s="87">
        <f t="shared" si="80"/>
        <v>0</v>
      </c>
      <c r="AU102" s="87">
        <f t="shared" si="81"/>
        <v>0</v>
      </c>
      <c r="AV102" s="87">
        <f t="shared" si="82"/>
        <v>0</v>
      </c>
      <c r="AW102" s="1" t="str">
        <f t="shared" si="83"/>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84"/>
        <v>0</v>
      </c>
      <c r="DR102">
        <f t="shared" si="84"/>
        <v>0</v>
      </c>
      <c r="DS102">
        <f t="shared" si="84"/>
        <v>0</v>
      </c>
      <c r="DT102">
        <f t="shared" si="84"/>
        <v>0</v>
      </c>
      <c r="DU102">
        <f t="shared" si="84"/>
        <v>0</v>
      </c>
      <c r="DV102">
        <f t="shared" si="84"/>
        <v>0</v>
      </c>
      <c r="DW102">
        <f t="shared" si="84"/>
        <v>0</v>
      </c>
      <c r="DX102">
        <f t="shared" si="84"/>
        <v>0</v>
      </c>
      <c r="DY102">
        <f t="shared" si="84"/>
        <v>0</v>
      </c>
      <c r="DZ102">
        <f t="shared" si="84"/>
        <v>0</v>
      </c>
      <c r="EA102">
        <f t="shared" si="84"/>
        <v>0</v>
      </c>
      <c r="EB102"/>
      <c r="EC102"/>
      <c r="ED102">
        <f t="shared" si="85"/>
        <v>0</v>
      </c>
    </row>
    <row r="103" spans="2:134" ht="16" hidden="1" thickBot="1">
      <c r="D103"/>
      <c r="E103" s="487"/>
      <c r="F103" s="488" t="s">
        <v>671</v>
      </c>
      <c r="G103" s="489">
        <f>IF(SUM($G$97:$G$102)=0,0,($G$98+$G$99+$G$101+$G$102)/SUM($G$97:$G$102))</f>
        <v>0</v>
      </c>
      <c r="H103"/>
      <c r="I103"/>
      <c r="J103"/>
      <c r="K103"/>
      <c r="L103"/>
      <c r="P103"/>
      <c r="Q103"/>
      <c r="R103"/>
      <c r="S103"/>
      <c r="T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93">SUM(AY97:AY102)</f>
        <v>0</v>
      </c>
      <c r="AZ103" s="313">
        <f t="shared" si="93"/>
        <v>0</v>
      </c>
      <c r="BA103" s="313">
        <f t="shared" si="93"/>
        <v>0</v>
      </c>
      <c r="BB103" s="313">
        <f t="shared" si="93"/>
        <v>0</v>
      </c>
      <c r="BC103" s="313">
        <f t="shared" si="93"/>
        <v>0</v>
      </c>
      <c r="BD103" s="313">
        <f t="shared" si="93"/>
        <v>0</v>
      </c>
      <c r="BE103" s="313">
        <f t="shared" si="93"/>
        <v>0</v>
      </c>
      <c r="BF103" s="313">
        <f t="shared" si="93"/>
        <v>0</v>
      </c>
      <c r="BG103" s="313">
        <f t="shared" si="93"/>
        <v>0</v>
      </c>
      <c r="BH103" s="313">
        <f t="shared" si="93"/>
        <v>0</v>
      </c>
      <c r="BI103" s="313">
        <f t="shared" si="93"/>
        <v>0</v>
      </c>
      <c r="BJ103" s="313">
        <f t="shared" si="93"/>
        <v>0</v>
      </c>
      <c r="BK103" s="313">
        <f t="shared" si="93"/>
        <v>0</v>
      </c>
      <c r="BM103">
        <f t="shared" ref="BM103:DX103" si="94">SUM(BM97:BM102)</f>
        <v>0</v>
      </c>
      <c r="BN103">
        <f t="shared" si="94"/>
        <v>0</v>
      </c>
      <c r="BO103">
        <f t="shared" si="94"/>
        <v>0</v>
      </c>
      <c r="BP103">
        <f t="shared" si="94"/>
        <v>0</v>
      </c>
      <c r="BQ103">
        <f t="shared" si="94"/>
        <v>0</v>
      </c>
      <c r="BR103">
        <f t="shared" si="94"/>
        <v>0</v>
      </c>
      <c r="BS103">
        <f t="shared" si="94"/>
        <v>0</v>
      </c>
      <c r="BT103">
        <f t="shared" si="94"/>
        <v>0</v>
      </c>
      <c r="BU103">
        <f t="shared" si="94"/>
        <v>0</v>
      </c>
      <c r="BV103">
        <f t="shared" si="94"/>
        <v>0</v>
      </c>
      <c r="BW103">
        <f t="shared" si="94"/>
        <v>0</v>
      </c>
      <c r="BX103">
        <f t="shared" si="94"/>
        <v>0</v>
      </c>
      <c r="BY103">
        <f t="shared" si="94"/>
        <v>0</v>
      </c>
      <c r="BZ103">
        <f t="shared" si="94"/>
        <v>0</v>
      </c>
      <c r="CA103">
        <f t="shared" si="94"/>
        <v>0</v>
      </c>
      <c r="CB103">
        <f t="shared" si="94"/>
        <v>0</v>
      </c>
      <c r="CC103">
        <f t="shared" si="94"/>
        <v>0</v>
      </c>
      <c r="CD103">
        <f t="shared" si="94"/>
        <v>0</v>
      </c>
      <c r="CE103">
        <f t="shared" si="94"/>
        <v>0</v>
      </c>
      <c r="CF103">
        <f t="shared" si="94"/>
        <v>0</v>
      </c>
      <c r="CG103">
        <f t="shared" si="94"/>
        <v>0</v>
      </c>
      <c r="CH103">
        <f t="shared" si="94"/>
        <v>0</v>
      </c>
      <c r="CI103">
        <f t="shared" si="94"/>
        <v>0</v>
      </c>
      <c r="CJ103">
        <f t="shared" si="94"/>
        <v>0</v>
      </c>
      <c r="CK103">
        <f t="shared" si="94"/>
        <v>0</v>
      </c>
      <c r="CL103">
        <f t="shared" si="94"/>
        <v>0</v>
      </c>
      <c r="CM103">
        <f t="shared" si="94"/>
        <v>0</v>
      </c>
      <c r="CN103">
        <f t="shared" si="94"/>
        <v>0</v>
      </c>
      <c r="CO103">
        <f t="shared" si="94"/>
        <v>0</v>
      </c>
      <c r="CP103">
        <f t="shared" si="94"/>
        <v>0</v>
      </c>
      <c r="CQ103">
        <f t="shared" si="94"/>
        <v>0</v>
      </c>
      <c r="CR103">
        <f t="shared" si="94"/>
        <v>0</v>
      </c>
      <c r="CS103">
        <f t="shared" si="94"/>
        <v>0</v>
      </c>
      <c r="CT103">
        <f t="shared" si="94"/>
        <v>0</v>
      </c>
      <c r="CU103">
        <f t="shared" si="94"/>
        <v>0</v>
      </c>
      <c r="CV103">
        <f t="shared" si="94"/>
        <v>0</v>
      </c>
      <c r="CW103">
        <f t="shared" si="94"/>
        <v>0</v>
      </c>
      <c r="CX103">
        <f t="shared" si="94"/>
        <v>0</v>
      </c>
      <c r="CY103">
        <f t="shared" si="94"/>
        <v>0</v>
      </c>
      <c r="CZ103">
        <f t="shared" si="94"/>
        <v>0</v>
      </c>
      <c r="DA103">
        <f t="shared" si="94"/>
        <v>0</v>
      </c>
      <c r="DB103">
        <f t="shared" si="94"/>
        <v>0</v>
      </c>
      <c r="DC103">
        <f t="shared" si="94"/>
        <v>0</v>
      </c>
      <c r="DD103">
        <f t="shared" si="94"/>
        <v>0</v>
      </c>
      <c r="DE103">
        <f t="shared" si="94"/>
        <v>0</v>
      </c>
      <c r="DF103">
        <f t="shared" si="94"/>
        <v>0</v>
      </c>
      <c r="DG103">
        <f t="shared" si="94"/>
        <v>0</v>
      </c>
      <c r="DH103">
        <f t="shared" si="94"/>
        <v>0</v>
      </c>
      <c r="DI103">
        <f t="shared" si="94"/>
        <v>0</v>
      </c>
      <c r="DJ103">
        <f t="shared" si="94"/>
        <v>0</v>
      </c>
      <c r="DK103">
        <f t="shared" si="94"/>
        <v>0</v>
      </c>
      <c r="DL103">
        <f t="shared" si="94"/>
        <v>0</v>
      </c>
      <c r="DM103">
        <f t="shared" si="94"/>
        <v>0</v>
      </c>
      <c r="DN103">
        <f t="shared" si="94"/>
        <v>0</v>
      </c>
      <c r="DO103">
        <f t="shared" si="94"/>
        <v>0</v>
      </c>
      <c r="DP103">
        <f t="shared" si="94"/>
        <v>0</v>
      </c>
      <c r="DQ103" s="12">
        <f t="shared" si="94"/>
        <v>0</v>
      </c>
      <c r="DR103" s="12">
        <f t="shared" si="94"/>
        <v>0</v>
      </c>
      <c r="DS103" s="12">
        <f t="shared" si="94"/>
        <v>0</v>
      </c>
      <c r="DT103" s="12">
        <f t="shared" si="94"/>
        <v>0</v>
      </c>
      <c r="DU103" s="12">
        <f t="shared" si="94"/>
        <v>0</v>
      </c>
      <c r="DV103" s="12">
        <f t="shared" si="94"/>
        <v>0</v>
      </c>
      <c r="DW103" s="12">
        <f t="shared" si="94"/>
        <v>0</v>
      </c>
      <c r="DX103" s="12">
        <f t="shared" si="94"/>
        <v>0</v>
      </c>
      <c r="DY103" s="12">
        <f t="shared" ref="DY103:ED103" si="95">SUM(DY97:DY102)</f>
        <v>0</v>
      </c>
      <c r="DZ103" s="12">
        <f t="shared" si="95"/>
        <v>0</v>
      </c>
      <c r="EA103" s="12">
        <f t="shared" si="95"/>
        <v>0</v>
      </c>
      <c r="ED103" s="12">
        <f t="shared" si="95"/>
        <v>0</v>
      </c>
    </row>
    <row r="104" spans="2:134" hidden="1">
      <c r="L104" s="13"/>
      <c r="P104"/>
      <c r="Q104"/>
      <c r="R104"/>
      <c r="S104"/>
      <c r="T104"/>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96">DW103-BS108</f>
        <v>0</v>
      </c>
      <c r="DA104" s="318">
        <f t="shared" si="96"/>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c r="L105" s="13"/>
      <c r="P105"/>
      <c r="Q105"/>
      <c r="R105"/>
      <c r="S105"/>
      <c r="T105"/>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c r="D106"/>
      <c r="E106"/>
      <c r="F106"/>
      <c r="G106"/>
      <c r="H106"/>
      <c r="I106"/>
      <c r="J106"/>
      <c r="K106"/>
      <c r="L106" s="13"/>
      <c r="P106"/>
      <c r="Q106"/>
      <c r="R106"/>
      <c r="S106"/>
      <c r="T106"/>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c r="D107"/>
      <c r="E107"/>
      <c r="F107"/>
      <c r="G107"/>
      <c r="H107"/>
      <c r="I107"/>
      <c r="J107"/>
      <c r="K107"/>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c r="D108"/>
      <c r="E108"/>
      <c r="F108"/>
      <c r="G108"/>
      <c r="H108"/>
      <c r="I108"/>
      <c r="J108"/>
      <c r="K108"/>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Y108" si="97">BM$103+CA$103+CO$103+DC$103</f>
        <v>0</v>
      </c>
      <c r="BN108" s="570">
        <f t="shared" si="97"/>
        <v>0</v>
      </c>
      <c r="BO108" s="570">
        <f t="shared" si="97"/>
        <v>0</v>
      </c>
      <c r="BP108" s="570">
        <f t="shared" si="97"/>
        <v>0</v>
      </c>
      <c r="BQ108" s="570">
        <f t="shared" si="97"/>
        <v>0</v>
      </c>
      <c r="BR108" s="570">
        <f t="shared" si="97"/>
        <v>0</v>
      </c>
      <c r="BS108" s="570">
        <f t="shared" si="97"/>
        <v>0</v>
      </c>
      <c r="BT108" s="570">
        <f t="shared" si="97"/>
        <v>0</v>
      </c>
      <c r="BU108" s="570">
        <f t="shared" si="97"/>
        <v>0</v>
      </c>
      <c r="BV108" s="570">
        <f t="shared" si="97"/>
        <v>0</v>
      </c>
      <c r="BW108" s="570">
        <f t="shared" si="97"/>
        <v>0</v>
      </c>
      <c r="BX108" s="570">
        <f t="shared" si="97"/>
        <v>0</v>
      </c>
      <c r="BY108" s="570">
        <f t="shared" si="97"/>
        <v>0</v>
      </c>
      <c r="BZ108" s="570">
        <f>BZ$103+CN$103+DB$103+DP$103</f>
        <v>0</v>
      </c>
      <c r="CA108"/>
      <c r="CB108"/>
      <c r="CC108"/>
      <c r="CD108"/>
      <c r="CE108"/>
      <c r="CF108"/>
      <c r="CG108"/>
      <c r="CH108"/>
    </row>
    <row r="109" spans="2:134" s="60" customFormat="1" ht="15" customHeight="1">
      <c r="B109" s="58"/>
      <c r="C109"/>
      <c r="D109"/>
      <c r="E109"/>
      <c r="F109"/>
      <c r="G109"/>
      <c r="H109"/>
      <c r="I109"/>
      <c r="J109"/>
      <c r="K109"/>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c r="B110" s="58"/>
      <c r="C110"/>
      <c r="D110"/>
      <c r="E110"/>
      <c r="F110"/>
      <c r="G110"/>
      <c r="H110"/>
      <c r="I110"/>
      <c r="J110"/>
      <c r="K110"/>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sheetData>
  <sheetProtection password="840D" sheet="1" objects="1" scenarios="1" formatColumns="0" formatRows="0" selectLockedCells="1"/>
  <dataConsolidate/>
  <mergeCells count="9">
    <mergeCell ref="C6:D6"/>
    <mergeCell ref="BM92:DP92"/>
    <mergeCell ref="DQ93:EB93"/>
    <mergeCell ref="AM94:AU94"/>
    <mergeCell ref="F16:F17"/>
    <mergeCell ref="AM27:AV27"/>
    <mergeCell ref="I73:I74"/>
    <mergeCell ref="J73:J74"/>
    <mergeCell ref="G11:J18"/>
  </mergeCells>
  <conditionalFormatting sqref="C6:D9">
    <cfRule type="containsText" dxfId="6" priority="18" operator="containsText" text="100%">
      <formula>NOT(ISERROR(SEARCH("100%",C6)))</formula>
    </cfRule>
  </conditionalFormatting>
  <conditionalFormatting sqref="B65 B16 B30:B31 B76 B67 B82:B86">
    <cfRule type="iconSet" priority="19">
      <iconSet iconSet="3Symbols">
        <cfvo type="percent" val="0"/>
        <cfvo type="num" val="1E-3" gte="0"/>
        <cfvo type="num" val="1"/>
      </iconSet>
    </cfRule>
  </conditionalFormatting>
  <conditionalFormatting sqref="B16">
    <cfRule type="iconSet" priority="17">
      <iconSet iconSet="3Symbols">
        <cfvo type="percent" val="0"/>
        <cfvo type="num" val="1" gte="0"/>
        <cfvo type="num" val="1"/>
      </iconSet>
    </cfRule>
  </conditionalFormatting>
  <conditionalFormatting sqref="B31">
    <cfRule type="iconSet" priority="16">
      <iconSet iconSet="3Symbols">
        <cfvo type="percent" val="0"/>
        <cfvo type="num" val="1E-3" gte="0"/>
        <cfvo type="num" val="1"/>
      </iconSet>
    </cfRule>
  </conditionalFormatting>
  <conditionalFormatting sqref="B66">
    <cfRule type="iconSet" priority="15">
      <iconSet iconSet="3Symbols">
        <cfvo type="percent" val="0"/>
        <cfvo type="num" val="1E-3" gte="0"/>
        <cfvo type="num" val="1"/>
      </iconSet>
    </cfRule>
  </conditionalFormatting>
  <conditionalFormatting sqref="B78:B81">
    <cfRule type="iconSet" priority="14">
      <iconSet iconSet="3Symbols">
        <cfvo type="percent" val="0"/>
        <cfvo type="num" val="1E-3" gte="0"/>
        <cfvo type="num" val="1"/>
      </iconSet>
    </cfRule>
  </conditionalFormatting>
  <conditionalFormatting sqref="B77">
    <cfRule type="iconSet" priority="13">
      <iconSet iconSet="3Symbols">
        <cfvo type="percent" val="0"/>
        <cfvo type="num" val="1E-3" gte="0"/>
        <cfvo type="num" val="1"/>
      </iconSet>
    </cfRule>
  </conditionalFormatting>
  <conditionalFormatting sqref="B18">
    <cfRule type="iconSet" priority="12">
      <iconSet iconSet="3Symbols">
        <cfvo type="percent" val="0"/>
        <cfvo type="num" val="1E-3" gte="0"/>
        <cfvo type="num" val="1"/>
      </iconSet>
    </cfRule>
  </conditionalFormatting>
  <conditionalFormatting sqref="B18">
    <cfRule type="iconSet" priority="11">
      <iconSet iconSet="3Symbols">
        <cfvo type="percent" val="0"/>
        <cfvo type="num" val="1" gte="0"/>
        <cfvo type="num" val="1"/>
      </iconSet>
    </cfRule>
  </conditionalFormatting>
  <conditionalFormatting sqref="B46">
    <cfRule type="iconSet" priority="10">
      <iconSet iconSet="3Symbols">
        <cfvo type="percent" val="0"/>
        <cfvo type="num" val="1E-3" gte="0"/>
        <cfvo type="num" val="1"/>
      </iconSet>
    </cfRule>
  </conditionalFormatting>
  <conditionalFormatting sqref="B33:B45 B47:B64">
    <cfRule type="iconSet" priority="20">
      <iconSet iconSet="3Symbols">
        <cfvo type="percent" val="0"/>
        <cfvo type="num" val="1E-3" gte="0"/>
        <cfvo type="num" val="1"/>
      </iconSet>
    </cfRule>
  </conditionalFormatting>
  <conditionalFormatting sqref="B32">
    <cfRule type="iconSet" priority="9">
      <iconSet iconSet="3Symbols">
        <cfvo type="percent" val="0"/>
        <cfvo type="num" val="1E-3" gte="0"/>
        <cfvo type="num" val="1"/>
      </iconSet>
    </cfRule>
  </conditionalFormatting>
  <conditionalFormatting sqref="B32">
    <cfRule type="iconSet" priority="8">
      <iconSet iconSet="3Symbols">
        <cfvo type="percent" val="0"/>
        <cfvo type="num" val="1E-3" gte="0"/>
        <cfvo type="num" val="1"/>
      </iconSet>
    </cfRule>
  </conditionalFormatting>
  <conditionalFormatting sqref="B103">
    <cfRule type="iconSet" priority="6">
      <iconSet iconSet="3Symbols">
        <cfvo type="percent" val="0"/>
        <cfvo type="num" val="1E-3" gte="0"/>
        <cfvo type="num" val="1"/>
      </iconSet>
    </cfRule>
  </conditionalFormatting>
  <conditionalFormatting sqref="B97 B102">
    <cfRule type="iconSet" priority="7">
      <iconSet iconSet="3Symbols">
        <cfvo type="percent" val="0"/>
        <cfvo type="num" val="1"/>
        <cfvo type="num" val="2"/>
      </iconSet>
    </cfRule>
  </conditionalFormatting>
  <conditionalFormatting sqref="B101">
    <cfRule type="iconSet" priority="5">
      <iconSet iconSet="3Symbols">
        <cfvo type="percent" val="0"/>
        <cfvo type="num" val="1"/>
        <cfvo type="num" val="2"/>
      </iconSet>
    </cfRule>
  </conditionalFormatting>
  <conditionalFormatting sqref="B100">
    <cfRule type="iconSet" priority="4">
      <iconSet iconSet="3Symbols">
        <cfvo type="percent" val="0"/>
        <cfvo type="num" val="1"/>
        <cfvo type="num" val="2"/>
      </iconSet>
    </cfRule>
  </conditionalFormatting>
  <conditionalFormatting sqref="B98">
    <cfRule type="iconSet" priority="3">
      <iconSet iconSet="3Symbols">
        <cfvo type="percent" val="0"/>
        <cfvo type="num" val="1"/>
        <cfvo type="num" val="2"/>
      </iconSet>
    </cfRule>
  </conditionalFormatting>
  <conditionalFormatting sqref="B99">
    <cfRule type="iconSet" priority="2">
      <iconSet iconSet="3Symbols">
        <cfvo type="percent" val="0"/>
        <cfvo type="num" val="1"/>
        <cfvo type="num" val="2"/>
      </iconSet>
    </cfRule>
  </conditionalFormatting>
  <conditionalFormatting sqref="E16">
    <cfRule type="expression" dxfId="5" priority="1">
      <formula>CELL("PROTECT",E16)=1</formula>
    </cfRule>
  </conditionalFormatting>
  <dataValidations count="7">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900-000000000000}">
      <formula1>IF(UnitSystem="SI-Metric (Canada)",CanadaFirstLocations,IF(UnitSystem="US-Imperial (United States)",USFirstLocations,NA()))</formula1>
    </dataValidation>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E18 E30:E65" xr:uid="{00000000-0002-0000-0900-000001000000}">
      <formula1>0</formula1>
    </dataValidation>
    <dataValidation type="list" allowBlank="1" showInputMessage="1" showErrorMessage="1" sqref="Y2" xr:uid="{00000000-0002-0000-0900-000002000000}">
      <formula1>"A,B,C,D,Custom"</formula1>
    </dataValidation>
    <dataValidation type="decimal" operator="greaterThanOrEqual" allowBlank="1" showInputMessage="1" showErrorMessage="1" error="This entry must be a number greater than or equal to zero._x000a_" sqref="E67" xr:uid="{00000000-0002-0000-0900-000003000000}">
      <formula1>0</formula1>
    </dataValidation>
    <dataValidation operator="greaterThanOrEqual" allowBlank="1" showInputMessage="1" showErrorMessage="1" error="This entry must be a number greater than or equal to zero._x000a_" sqref="F67" xr:uid="{00000000-0002-0000-0900-000004000000}"/>
    <dataValidation type="list" allowBlank="1" showInputMessage="1" showErrorMessage="1" sqref="F64:F66 F59:F60 F42:F48" xr:uid="{00000000-0002-0000-0900-000005000000}">
      <formula1>Volume_Units</formula1>
    </dataValidation>
    <dataValidation type="list" allowBlank="1" showInputMessage="1" showErrorMessage="1" sqref="F30:F41 F61:F63 F49:F58 F18" xr:uid="{00000000-0002-0000-0900-000006000000}">
      <formula1>Mass_Units</formula1>
    </dataValidation>
  </dataValidations>
  <pageMargins left="0.70866141732283472" right="0.70866141732283472" top="0.74803149606299213" bottom="0.74803149606299213" header="0.31496062992125984" footer="0.31496062992125984"/>
  <pageSetup scale="48" fitToWidth="2" fitToHeight="10"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A1:AV411"/>
  <sheetViews>
    <sheetView zoomScale="80" zoomScaleNormal="80" workbookViewId="0">
      <selection activeCell="B6" sqref="B6"/>
    </sheetView>
  </sheetViews>
  <sheetFormatPr baseColWidth="10" defaultColWidth="8.83203125" defaultRowHeight="15"/>
  <cols>
    <col min="1" max="1" width="5.1640625" style="3" customWidth="1"/>
    <col min="2" max="2" width="18.33203125" customWidth="1"/>
    <col min="3" max="3" width="44.6640625" customWidth="1"/>
    <col min="4" max="4" width="36" customWidth="1"/>
    <col min="5" max="5" width="5.33203125" customWidth="1"/>
    <col min="6" max="6" width="35.1640625" customWidth="1"/>
    <col min="7" max="7" width="31" bestFit="1" customWidth="1"/>
    <col min="8" max="8" width="16.83203125" customWidth="1"/>
    <col min="9" max="9" width="19.83203125" customWidth="1"/>
    <col min="10" max="10" width="15.33203125" customWidth="1"/>
    <col min="11" max="12" width="24.5" customWidth="1"/>
    <col min="13" max="13" width="18.6640625" customWidth="1"/>
    <col min="14" max="14" width="23.5" customWidth="1"/>
    <col min="15" max="15" width="21.83203125" customWidth="1"/>
    <col min="16" max="17" width="33.5" customWidth="1"/>
    <col min="18" max="18" width="19.1640625" bestFit="1" customWidth="1"/>
    <col min="19" max="19" width="21.5" bestFit="1" customWidth="1"/>
    <col min="20" max="20" width="5.5" customWidth="1"/>
    <col min="21" max="21" width="10" customWidth="1"/>
    <col min="22" max="22" width="30.6640625" customWidth="1"/>
    <col min="23" max="23" width="21.1640625" customWidth="1"/>
    <col min="31" max="31" width="19.33203125" bestFit="1" customWidth="1"/>
    <col min="32" max="32" width="18" bestFit="1" customWidth="1"/>
    <col min="33" max="33" width="20.1640625" bestFit="1" customWidth="1"/>
    <col min="36" max="36" width="35.5" bestFit="1" customWidth="1"/>
    <col min="37" max="37" width="35.1640625" bestFit="1" customWidth="1"/>
    <col min="38" max="38" width="24.5" customWidth="1"/>
  </cols>
  <sheetData>
    <row r="1" spans="1:48" ht="19">
      <c r="B1" s="6" t="s">
        <v>4</v>
      </c>
      <c r="C1" s="7" t="str">
        <f>IF(Association_Version="CPCI","CPCI Sustainable Plant Tool","North American Precast Concrete Sustainable Plant Tool")</f>
        <v>North American Precast Concrete Sustainable Plant Tool</v>
      </c>
      <c r="D1" s="7"/>
      <c r="E1" s="7"/>
      <c r="F1" s="7"/>
      <c r="G1" s="8"/>
      <c r="H1" s="305"/>
    </row>
    <row r="2" spans="1:48">
      <c r="A2" s="3">
        <f>COLUMN(A$2)-COLUMN($A$2)+1</f>
        <v>1</v>
      </c>
      <c r="B2" s="9">
        <f t="shared" ref="B2:AV2" si="0">COLUMN(B$2)-COLUMN($A$2)+1</f>
        <v>2</v>
      </c>
      <c r="C2" s="9">
        <f t="shared" si="0"/>
        <v>3</v>
      </c>
      <c r="D2" s="9">
        <f t="shared" si="0"/>
        <v>4</v>
      </c>
      <c r="E2" s="9">
        <f t="shared" si="0"/>
        <v>5</v>
      </c>
      <c r="F2" s="9">
        <f t="shared" si="0"/>
        <v>6</v>
      </c>
      <c r="G2" s="9">
        <f t="shared" si="0"/>
        <v>7</v>
      </c>
      <c r="H2" s="9">
        <f t="shared" si="0"/>
        <v>8</v>
      </c>
      <c r="I2" s="9">
        <f t="shared" si="0"/>
        <v>9</v>
      </c>
      <c r="J2" s="9">
        <f t="shared" si="0"/>
        <v>10</v>
      </c>
      <c r="K2" s="9">
        <f t="shared" si="0"/>
        <v>11</v>
      </c>
      <c r="L2" s="9">
        <f t="shared" si="0"/>
        <v>12</v>
      </c>
      <c r="M2" s="9">
        <f t="shared" si="0"/>
        <v>13</v>
      </c>
      <c r="N2" s="9">
        <f t="shared" si="0"/>
        <v>14</v>
      </c>
      <c r="O2" s="9">
        <f t="shared" si="0"/>
        <v>15</v>
      </c>
      <c r="P2" s="9">
        <f t="shared" si="0"/>
        <v>16</v>
      </c>
      <c r="Q2" s="9">
        <f t="shared" si="0"/>
        <v>17</v>
      </c>
      <c r="R2" s="9">
        <f t="shared" si="0"/>
        <v>18</v>
      </c>
      <c r="S2" s="9">
        <f t="shared" si="0"/>
        <v>19</v>
      </c>
      <c r="T2" s="9">
        <f t="shared" si="0"/>
        <v>20</v>
      </c>
      <c r="U2" s="9">
        <f t="shared" si="0"/>
        <v>21</v>
      </c>
      <c r="V2" s="9">
        <f t="shared" si="0"/>
        <v>22</v>
      </c>
      <c r="W2" s="9">
        <f t="shared" si="0"/>
        <v>23</v>
      </c>
      <c r="X2" s="9">
        <f t="shared" si="0"/>
        <v>24</v>
      </c>
      <c r="Y2" s="9">
        <f t="shared" si="0"/>
        <v>25</v>
      </c>
      <c r="Z2" s="9">
        <f t="shared" si="0"/>
        <v>26</v>
      </c>
      <c r="AA2" s="9">
        <f t="shared" si="0"/>
        <v>27</v>
      </c>
      <c r="AB2">
        <f t="shared" si="0"/>
        <v>28</v>
      </c>
      <c r="AC2">
        <f t="shared" si="0"/>
        <v>29</v>
      </c>
      <c r="AD2">
        <f t="shared" si="0"/>
        <v>30</v>
      </c>
      <c r="AE2">
        <f t="shared" si="0"/>
        <v>31</v>
      </c>
      <c r="AF2">
        <f t="shared" si="0"/>
        <v>32</v>
      </c>
      <c r="AG2">
        <f t="shared" si="0"/>
        <v>33</v>
      </c>
      <c r="AH2">
        <f t="shared" si="0"/>
        <v>34</v>
      </c>
      <c r="AI2">
        <f t="shared" si="0"/>
        <v>35</v>
      </c>
      <c r="AJ2">
        <f t="shared" si="0"/>
        <v>36</v>
      </c>
      <c r="AK2">
        <f t="shared" si="0"/>
        <v>37</v>
      </c>
      <c r="AL2">
        <f t="shared" si="0"/>
        <v>38</v>
      </c>
      <c r="AM2">
        <f t="shared" si="0"/>
        <v>39</v>
      </c>
      <c r="AN2">
        <f t="shared" si="0"/>
        <v>40</v>
      </c>
      <c r="AO2">
        <f t="shared" si="0"/>
        <v>41</v>
      </c>
      <c r="AP2">
        <f t="shared" si="0"/>
        <v>42</v>
      </c>
      <c r="AQ2">
        <f t="shared" si="0"/>
        <v>43</v>
      </c>
      <c r="AR2">
        <f t="shared" si="0"/>
        <v>44</v>
      </c>
      <c r="AS2">
        <f t="shared" si="0"/>
        <v>45</v>
      </c>
      <c r="AT2">
        <f t="shared" si="0"/>
        <v>46</v>
      </c>
      <c r="AU2">
        <f t="shared" si="0"/>
        <v>47</v>
      </c>
      <c r="AV2">
        <f t="shared" si="0"/>
        <v>48</v>
      </c>
    </row>
    <row r="3" spans="1:48">
      <c r="B3" t="s">
        <v>666</v>
      </c>
      <c r="C3" s="500" t="s">
        <v>694</v>
      </c>
    </row>
    <row r="4" spans="1:48">
      <c r="B4" s="633" t="s">
        <v>858</v>
      </c>
      <c r="C4" s="499" t="s">
        <v>695</v>
      </c>
      <c r="D4" s="498" t="s">
        <v>697</v>
      </c>
      <c r="G4" s="13"/>
      <c r="H4" s="1"/>
      <c r="I4" s="4"/>
    </row>
    <row r="5" spans="1:48">
      <c r="B5" s="13" t="s">
        <v>683</v>
      </c>
      <c r="C5" s="498" t="s">
        <v>696</v>
      </c>
      <c r="D5" s="498" t="s">
        <v>857</v>
      </c>
      <c r="I5" s="1"/>
      <c r="N5" s="1"/>
    </row>
    <row r="6" spans="1:48">
      <c r="B6" s="13" t="s">
        <v>856</v>
      </c>
    </row>
    <row r="7" spans="1:48">
      <c r="B7" t="str">
        <f>IF(Association_Version="CPCI","SI-Metric (Canada)","US-Imperial (United States)")</f>
        <v>US-Imperial (United States)</v>
      </c>
      <c r="C7" s="498" t="s">
        <v>698</v>
      </c>
      <c r="F7" s="5"/>
    </row>
    <row r="8" spans="1:48">
      <c r="B8" t="s">
        <v>835</v>
      </c>
      <c r="C8" s="498" t="s">
        <v>725</v>
      </c>
    </row>
    <row r="9" spans="1:48">
      <c r="B9" t="s">
        <v>868</v>
      </c>
      <c r="C9" s="498" t="s">
        <v>838</v>
      </c>
      <c r="F9" s="1"/>
    </row>
    <row r="10" spans="1:48">
      <c r="N10" t="s">
        <v>440</v>
      </c>
      <c r="O10" t="s">
        <v>441</v>
      </c>
      <c r="P10" t="s">
        <v>836</v>
      </c>
      <c r="Q10" t="s">
        <v>837</v>
      </c>
      <c r="R10" t="s">
        <v>146</v>
      </c>
      <c r="S10" t="s">
        <v>341</v>
      </c>
      <c r="U10" t="s">
        <v>476</v>
      </c>
      <c r="X10" t="s">
        <v>492</v>
      </c>
      <c r="AA10" t="s">
        <v>493</v>
      </c>
      <c r="AE10" t="s">
        <v>684</v>
      </c>
      <c r="AF10" t="s">
        <v>685</v>
      </c>
      <c r="AG10" t="s">
        <v>686</v>
      </c>
      <c r="AJ10" t="s">
        <v>720</v>
      </c>
      <c r="AK10" t="s">
        <v>721</v>
      </c>
      <c r="AL10" t="s">
        <v>746</v>
      </c>
      <c r="AM10" t="s">
        <v>730</v>
      </c>
    </row>
    <row r="11" spans="1:48">
      <c r="C11" t="s">
        <v>124</v>
      </c>
      <c r="D11" t="s">
        <v>211</v>
      </c>
      <c r="F11" t="s">
        <v>97</v>
      </c>
      <c r="H11" t="s">
        <v>476</v>
      </c>
      <c r="I11" t="s">
        <v>98</v>
      </c>
      <c r="J11" t="s">
        <v>99</v>
      </c>
      <c r="K11" t="s">
        <v>100</v>
      </c>
      <c r="L11" t="s">
        <v>447</v>
      </c>
      <c r="M11" t="s">
        <v>101</v>
      </c>
      <c r="N11" t="s">
        <v>442</v>
      </c>
      <c r="O11" t="s">
        <v>442</v>
      </c>
      <c r="S11" t="s">
        <v>442</v>
      </c>
      <c r="X11" t="s">
        <v>442</v>
      </c>
      <c r="AA11" t="s">
        <v>442</v>
      </c>
      <c r="AE11">
        <v>1000</v>
      </c>
      <c r="AF11">
        <v>2000</v>
      </c>
      <c r="AG11">
        <v>3000</v>
      </c>
      <c r="AJ11" t="s">
        <v>705</v>
      </c>
      <c r="AK11" t="str">
        <f>EPDTRACIUnit&amp;" CO2 equiv"</f>
        <v>kg CO2 equiv</v>
      </c>
      <c r="AL11" t="str">
        <f>TRACICalcUnit</f>
        <v>kg</v>
      </c>
      <c r="AM11" t="s">
        <v>736</v>
      </c>
    </row>
    <row r="12" spans="1:48">
      <c r="C12" t="str">
        <f>'Plant Inputs'!D30</f>
        <v>Portland Cement</v>
      </c>
      <c r="I12" t="str">
        <f>$W$14</f>
        <v>kg</v>
      </c>
      <c r="J12" t="str">
        <f>$W$20</f>
        <v>m3</v>
      </c>
      <c r="K12" t="str">
        <f>$W$12</f>
        <v>kWh</v>
      </c>
      <c r="L12" t="str">
        <f>$W$13</f>
        <v>km</v>
      </c>
      <c r="M12" t="str">
        <f>$W$14</f>
        <v>kg</v>
      </c>
      <c r="N12" t="s">
        <v>81</v>
      </c>
      <c r="O12" t="s">
        <v>342</v>
      </c>
      <c r="P12" t="s">
        <v>142</v>
      </c>
      <c r="Q12" t="s">
        <v>692</v>
      </c>
      <c r="R12" s="87">
        <v>2012</v>
      </c>
      <c r="S12" t="s">
        <v>342</v>
      </c>
      <c r="T12" t="s">
        <v>343</v>
      </c>
      <c r="U12" t="s">
        <v>477</v>
      </c>
      <c r="W12" t="str">
        <f>Conversions!$B$26</f>
        <v>kWh</v>
      </c>
      <c r="X12" t="s">
        <v>81</v>
      </c>
      <c r="AA12" t="s">
        <v>342</v>
      </c>
      <c r="AE12">
        <v>1001</v>
      </c>
      <c r="AF12">
        <v>2001</v>
      </c>
      <c r="AG12">
        <v>3001</v>
      </c>
      <c r="AJ12" t="s">
        <v>706</v>
      </c>
      <c r="AK12" t="str">
        <f>EPDTRACIUnit&amp;" SO2 equiv"</f>
        <v>kg SO2 equiv</v>
      </c>
      <c r="AL12" t="str">
        <f>TRACICalcUnit</f>
        <v>kg</v>
      </c>
      <c r="AM12" t="s">
        <v>741</v>
      </c>
    </row>
    <row r="13" spans="1:48">
      <c r="C13" t="str">
        <f>'Plant Inputs'!D31</f>
        <v>Portland Limestone Cement (PLC)</v>
      </c>
      <c r="F13" t="s">
        <v>442</v>
      </c>
      <c r="I13" t="str">
        <f>$W$25</f>
        <v>lbs</v>
      </c>
      <c r="J13" t="str">
        <f>$W$31</f>
        <v>yd3</v>
      </c>
      <c r="K13" t="str">
        <f>$W$21</f>
        <v>MJ</v>
      </c>
      <c r="L13" t="str">
        <f>$W$24</f>
        <v>mile</v>
      </c>
      <c r="M13" t="str">
        <f>$W$15</f>
        <v>tonne</v>
      </c>
      <c r="N13" t="s">
        <v>82</v>
      </c>
      <c r="O13" t="s">
        <v>344</v>
      </c>
      <c r="P13" t="s">
        <v>143</v>
      </c>
      <c r="R13" s="87">
        <v>2013</v>
      </c>
      <c r="S13" t="s">
        <v>344</v>
      </c>
      <c r="T13" t="s">
        <v>345</v>
      </c>
      <c r="U13" t="s">
        <v>478</v>
      </c>
      <c r="W13" t="str">
        <f>Conversions!$B$27</f>
        <v>km</v>
      </c>
      <c r="X13" t="s">
        <v>82</v>
      </c>
      <c r="AA13" t="s">
        <v>344</v>
      </c>
      <c r="AE13">
        <v>1002</v>
      </c>
      <c r="AF13">
        <v>2002</v>
      </c>
      <c r="AG13">
        <v>3002</v>
      </c>
      <c r="AJ13" t="s">
        <v>707</v>
      </c>
      <c r="AK13" t="str">
        <f>EPDTRACIUnit&amp;" N equiv"</f>
        <v>kg N equiv</v>
      </c>
      <c r="AL13" t="str">
        <f>TRACICalcUnit</f>
        <v>kg</v>
      </c>
      <c r="AM13" t="s">
        <v>763</v>
      </c>
    </row>
    <row r="14" spans="1:48">
      <c r="C14" t="str">
        <f>'Plant Inputs'!D32</f>
        <v>Pre-Blended Cement</v>
      </c>
      <c r="F14" t="s">
        <v>81</v>
      </c>
      <c r="G14" t="s">
        <v>107</v>
      </c>
      <c r="H14" t="s">
        <v>107</v>
      </c>
      <c r="I14" t="str">
        <f>$W$15</f>
        <v>tonne</v>
      </c>
      <c r="J14" t="str">
        <f>$W$27</f>
        <v>litre</v>
      </c>
      <c r="K14" t="str">
        <f>$W$22</f>
        <v>GJ</v>
      </c>
      <c r="M14" t="str">
        <f>$W$20</f>
        <v>m3</v>
      </c>
      <c r="N14" t="s">
        <v>85</v>
      </c>
      <c r="O14" t="s">
        <v>346</v>
      </c>
      <c r="P14" t="s">
        <v>144</v>
      </c>
      <c r="R14" s="87">
        <v>2014</v>
      </c>
      <c r="S14" t="s">
        <v>346</v>
      </c>
      <c r="T14" t="s">
        <v>347</v>
      </c>
      <c r="U14" t="s">
        <v>477</v>
      </c>
      <c r="W14" t="str">
        <f>Conversions!$B$28</f>
        <v>kg</v>
      </c>
      <c r="X14" t="s">
        <v>83</v>
      </c>
      <c r="AA14" t="s">
        <v>346</v>
      </c>
      <c r="AE14">
        <v>1003</v>
      </c>
      <c r="AF14">
        <v>2003</v>
      </c>
      <c r="AG14">
        <v>3003</v>
      </c>
      <c r="AJ14" t="s">
        <v>708</v>
      </c>
      <c r="AK14" t="str">
        <f>EPDTRACIUnit&amp;" O3 equiv"</f>
        <v>kg O3 equiv</v>
      </c>
      <c r="AL14" t="str">
        <f>TRACICalcUnit</f>
        <v>kg</v>
      </c>
      <c r="AM14" t="s">
        <v>764</v>
      </c>
    </row>
    <row r="15" spans="1:48">
      <c r="C15" t="str">
        <f>'Plant Inputs'!D33</f>
        <v>Fine Aggregate - natural sand</v>
      </c>
      <c r="F15" t="s">
        <v>82</v>
      </c>
      <c r="G15" t="s">
        <v>110</v>
      </c>
      <c r="H15" t="s">
        <v>110</v>
      </c>
      <c r="I15" t="str">
        <f>$W$16</f>
        <v>short ton</v>
      </c>
      <c r="J15" t="str">
        <f>$W$17</f>
        <v>gallon</v>
      </c>
      <c r="K15" t="str">
        <f>$W$27</f>
        <v>litre</v>
      </c>
      <c r="N15" t="s">
        <v>86</v>
      </c>
      <c r="O15" t="s">
        <v>348</v>
      </c>
      <c r="P15" t="s">
        <v>145</v>
      </c>
      <c r="R15" s="87">
        <v>2015</v>
      </c>
      <c r="S15" t="s">
        <v>348</v>
      </c>
      <c r="T15" t="s">
        <v>349</v>
      </c>
      <c r="U15" t="s">
        <v>478</v>
      </c>
      <c r="W15" t="str">
        <f>Conversions!$B$29</f>
        <v>tonne</v>
      </c>
      <c r="X15" t="s">
        <v>84</v>
      </c>
      <c r="AA15" t="s">
        <v>348</v>
      </c>
      <c r="AE15">
        <v>1004</v>
      </c>
      <c r="AF15">
        <v>2004</v>
      </c>
      <c r="AG15">
        <v>3004</v>
      </c>
      <c r="AJ15" t="s">
        <v>709</v>
      </c>
      <c r="AK15" t="str">
        <f>EPDTRACIUnit&amp;" CFC-11 equiv"</f>
        <v>kg CFC-11 equiv</v>
      </c>
      <c r="AL15" t="str">
        <f>TRACICalcUnit</f>
        <v>kg</v>
      </c>
      <c r="AM15" t="s">
        <v>765</v>
      </c>
    </row>
    <row r="16" spans="1:48">
      <c r="C16" t="str">
        <f>'Plant Inputs'!D34</f>
        <v>Fine Aggregate - manufactured</v>
      </c>
      <c r="F16" t="s">
        <v>83</v>
      </c>
      <c r="G16" t="s">
        <v>109</v>
      </c>
      <c r="H16" t="s">
        <v>109</v>
      </c>
      <c r="J16" t="str">
        <f>$W$19</f>
        <v>kgal</v>
      </c>
      <c r="K16" t="str">
        <f>$W$17</f>
        <v>gallon</v>
      </c>
      <c r="N16" t="s">
        <v>88</v>
      </c>
      <c r="O16" t="s">
        <v>350</v>
      </c>
      <c r="P16" t="s">
        <v>692</v>
      </c>
      <c r="R16" s="87">
        <v>2016</v>
      </c>
      <c r="S16" t="s">
        <v>350</v>
      </c>
      <c r="T16" t="s">
        <v>351</v>
      </c>
      <c r="U16" t="s">
        <v>478</v>
      </c>
      <c r="W16" t="str">
        <f>Conversions!$B$30</f>
        <v>short ton</v>
      </c>
      <c r="X16" t="s">
        <v>215</v>
      </c>
      <c r="AA16" t="s">
        <v>350</v>
      </c>
      <c r="AE16">
        <v>1005</v>
      </c>
      <c r="AF16">
        <v>2005</v>
      </c>
      <c r="AG16">
        <v>3005</v>
      </c>
      <c r="AJ16" t="s">
        <v>700</v>
      </c>
      <c r="AK16" t="str">
        <f>EPDEnergyUnit&amp;" (HHV)"</f>
        <v>MJ (HHV)</v>
      </c>
      <c r="AL16" t="str">
        <f>EnergyCalcUnit</f>
        <v>MJ</v>
      </c>
      <c r="AM16" t="s">
        <v>799</v>
      </c>
    </row>
    <row r="17" spans="3:39">
      <c r="C17" t="str">
        <f>'Plant Inputs'!D35</f>
        <v>Coarse Aggregate - natural gravel</v>
      </c>
      <c r="F17" t="s">
        <v>84</v>
      </c>
      <c r="G17" t="s">
        <v>111</v>
      </c>
      <c r="H17" t="s">
        <v>111</v>
      </c>
      <c r="J17" t="str">
        <f>$W$36</f>
        <v>board feet</v>
      </c>
      <c r="K17" t="str">
        <f>$W$20</f>
        <v>m3</v>
      </c>
      <c r="N17" t="s">
        <v>342</v>
      </c>
      <c r="O17" t="s">
        <v>352</v>
      </c>
      <c r="R17" s="87">
        <v>2017</v>
      </c>
      <c r="S17" t="s">
        <v>352</v>
      </c>
      <c r="T17" t="s">
        <v>353</v>
      </c>
      <c r="U17" t="s">
        <v>477</v>
      </c>
      <c r="W17" t="str">
        <f>Conversions!$B$31</f>
        <v>gallon</v>
      </c>
      <c r="X17" t="s">
        <v>85</v>
      </c>
      <c r="AA17" t="s">
        <v>352</v>
      </c>
      <c r="AE17">
        <v>1006</v>
      </c>
      <c r="AF17">
        <v>2006</v>
      </c>
      <c r="AG17">
        <v>3006</v>
      </c>
      <c r="AJ17" t="s">
        <v>710</v>
      </c>
      <c r="AK17" t="str">
        <f>EPDEnergyUnit&amp;" (HHV)"</f>
        <v>MJ (HHV)</v>
      </c>
      <c r="AL17" t="str">
        <f>EnergyCalcUnit</f>
        <v>MJ</v>
      </c>
      <c r="AM17" t="s">
        <v>800</v>
      </c>
    </row>
    <row r="18" spans="3:39">
      <c r="C18" t="str">
        <f>'Plant Inputs'!D36</f>
        <v>Coarse Aggregate - crushed</v>
      </c>
      <c r="F18" t="s">
        <v>215</v>
      </c>
      <c r="G18" t="s">
        <v>132</v>
      </c>
      <c r="H18" t="s">
        <v>132</v>
      </c>
      <c r="K18" t="str">
        <f>$W$28</f>
        <v>ft3</v>
      </c>
      <c r="N18" t="s">
        <v>344</v>
      </c>
      <c r="O18" t="s">
        <v>354</v>
      </c>
      <c r="R18" s="87">
        <v>2018</v>
      </c>
      <c r="S18" t="s">
        <v>354</v>
      </c>
      <c r="T18" t="s">
        <v>355</v>
      </c>
      <c r="U18" t="s">
        <v>477</v>
      </c>
      <c r="W18" t="str">
        <f>Conversions!$B$32</f>
        <v>gallons water</v>
      </c>
      <c r="X18" t="s">
        <v>86</v>
      </c>
      <c r="AA18" t="s">
        <v>354</v>
      </c>
      <c r="AE18">
        <v>1007</v>
      </c>
      <c r="AF18">
        <v>2007</v>
      </c>
      <c r="AG18">
        <v>3007</v>
      </c>
      <c r="AJ18" t="s">
        <v>711</v>
      </c>
      <c r="AK18" t="str">
        <f>EPDEnergyUnit&amp;" (HHV)"</f>
        <v>MJ (HHV)</v>
      </c>
      <c r="AL18" t="str">
        <f>EnergyCalcUnit</f>
        <v>MJ</v>
      </c>
    </row>
    <row r="19" spans="3:39">
      <c r="C19" t="str">
        <f>'Plant Inputs'!D37</f>
        <v>Manufactured Lightweight Aggregate</v>
      </c>
      <c r="F19" t="s">
        <v>85</v>
      </c>
      <c r="G19" t="s">
        <v>112</v>
      </c>
      <c r="H19" t="s">
        <v>112</v>
      </c>
      <c r="K19" t="str">
        <f>$W$29</f>
        <v>therms</v>
      </c>
      <c r="N19" t="s">
        <v>346</v>
      </c>
      <c r="O19" t="s">
        <v>356</v>
      </c>
      <c r="R19" s="87">
        <v>2019</v>
      </c>
      <c r="S19" t="s">
        <v>356</v>
      </c>
      <c r="T19" t="s">
        <v>357</v>
      </c>
      <c r="U19" t="s">
        <v>477</v>
      </c>
      <c r="W19" t="str">
        <f>Conversions!$B$33</f>
        <v>kgal</v>
      </c>
      <c r="X19" t="s">
        <v>87</v>
      </c>
      <c r="AA19" t="s">
        <v>356</v>
      </c>
      <c r="AE19">
        <v>1008</v>
      </c>
      <c r="AF19">
        <v>2008</v>
      </c>
      <c r="AG19">
        <v>3008</v>
      </c>
      <c r="AJ19" t="s">
        <v>701</v>
      </c>
      <c r="AK19" t="str">
        <f>EPDMaterialUnit</f>
        <v>kg</v>
      </c>
      <c r="AL19" t="str">
        <f>MassCalcUnit2</f>
        <v>kg</v>
      </c>
    </row>
    <row r="20" spans="3:39">
      <c r="C20" t="str">
        <f>'Plant Inputs'!D38</f>
        <v>Natural Lightweight Aggregate</v>
      </c>
      <c r="F20" t="s">
        <v>86</v>
      </c>
      <c r="G20" t="s">
        <v>113</v>
      </c>
      <c r="H20" t="s">
        <v>113</v>
      </c>
      <c r="K20" t="s">
        <v>500</v>
      </c>
      <c r="N20" t="s">
        <v>348</v>
      </c>
      <c r="O20" t="s">
        <v>358</v>
      </c>
      <c r="R20" s="87">
        <v>2020</v>
      </c>
      <c r="S20" t="s">
        <v>358</v>
      </c>
      <c r="T20" t="s">
        <v>359</v>
      </c>
      <c r="U20" t="s">
        <v>477</v>
      </c>
      <c r="W20" t="str">
        <f>Conversions!$B$34</f>
        <v>m3</v>
      </c>
      <c r="X20" t="s">
        <v>88</v>
      </c>
      <c r="AA20" t="s">
        <v>358</v>
      </c>
      <c r="AE20">
        <v>1009</v>
      </c>
      <c r="AF20">
        <v>2009</v>
      </c>
      <c r="AG20">
        <v>3009</v>
      </c>
      <c r="AJ20" t="s">
        <v>712</v>
      </c>
      <c r="AK20" t="str">
        <f>EPDMaterialUnit</f>
        <v>kg</v>
      </c>
      <c r="AL20" t="str">
        <f>MassCalcUnit2</f>
        <v>kg</v>
      </c>
    </row>
    <row r="21" spans="3:39">
      <c r="C21" t="str">
        <f>'Plant Inputs'!D39</f>
        <v>SCMs - Fly Ash</v>
      </c>
      <c r="F21" t="s">
        <v>87</v>
      </c>
      <c r="G21" t="s">
        <v>114</v>
      </c>
      <c r="H21" t="s">
        <v>114</v>
      </c>
      <c r="K21" t="s">
        <v>217</v>
      </c>
      <c r="N21" t="s">
        <v>350</v>
      </c>
      <c r="O21" t="s">
        <v>360</v>
      </c>
      <c r="R21" s="87">
        <v>2021</v>
      </c>
      <c r="S21" t="s">
        <v>360</v>
      </c>
      <c r="T21" t="s">
        <v>361</v>
      </c>
      <c r="U21" t="s">
        <v>477</v>
      </c>
      <c r="W21" t="str">
        <f>Conversions!$B$35</f>
        <v>MJ</v>
      </c>
      <c r="X21" t="s">
        <v>89</v>
      </c>
      <c r="AA21" t="s">
        <v>360</v>
      </c>
      <c r="AE21">
        <v>1010</v>
      </c>
      <c r="AF21">
        <v>2010</v>
      </c>
      <c r="AG21">
        <v>3010</v>
      </c>
      <c r="AJ21" t="s">
        <v>713</v>
      </c>
      <c r="AK21" t="str">
        <f>EPDMaterialUnit</f>
        <v>kg</v>
      </c>
      <c r="AL21" t="str">
        <f>MassCalcUnit2</f>
        <v>kg</v>
      </c>
    </row>
    <row r="22" spans="3:39">
      <c r="C22" t="str">
        <f>'Plant Inputs'!D40</f>
        <v>SCMs - Silica Fume</v>
      </c>
      <c r="F22" t="s">
        <v>88</v>
      </c>
      <c r="G22" t="s">
        <v>115</v>
      </c>
      <c r="H22" t="s">
        <v>115</v>
      </c>
      <c r="N22" t="s">
        <v>352</v>
      </c>
      <c r="O22" t="s">
        <v>362</v>
      </c>
      <c r="R22" s="87">
        <v>2022</v>
      </c>
      <c r="S22" t="s">
        <v>362</v>
      </c>
      <c r="T22" t="s">
        <v>363</v>
      </c>
      <c r="U22" t="s">
        <v>478</v>
      </c>
      <c r="W22" t="str">
        <f>Conversions!$B$36</f>
        <v>GJ</v>
      </c>
      <c r="X22" t="s">
        <v>342</v>
      </c>
      <c r="AA22" t="s">
        <v>362</v>
      </c>
      <c r="AE22">
        <v>1011</v>
      </c>
      <c r="AF22">
        <v>2011</v>
      </c>
      <c r="AG22">
        <v>3011</v>
      </c>
      <c r="AJ22" t="s">
        <v>739</v>
      </c>
      <c r="AK22" t="str">
        <f>EPDWaterUnit</f>
        <v>litre</v>
      </c>
      <c r="AL22" t="str">
        <f>WaterCalcUnit</f>
        <v>m3</v>
      </c>
    </row>
    <row r="23" spans="3:39">
      <c r="C23" t="str">
        <f>'Plant Inputs'!D41</f>
        <v>Slag Cement</v>
      </c>
      <c r="F23" t="s">
        <v>89</v>
      </c>
      <c r="G23" t="s">
        <v>108</v>
      </c>
      <c r="H23" t="s">
        <v>108</v>
      </c>
      <c r="N23" t="s">
        <v>354</v>
      </c>
      <c r="O23" t="s">
        <v>364</v>
      </c>
      <c r="R23" s="87">
        <v>2023</v>
      </c>
      <c r="S23" t="s">
        <v>364</v>
      </c>
      <c r="T23" t="s">
        <v>365</v>
      </c>
      <c r="U23" t="s">
        <v>477</v>
      </c>
      <c r="W23" t="str">
        <f>Conversions!$B$37</f>
        <v>megaliter</v>
      </c>
      <c r="X23" t="s">
        <v>344</v>
      </c>
      <c r="AA23" t="s">
        <v>364</v>
      </c>
      <c r="AE23">
        <v>1012</v>
      </c>
      <c r="AF23">
        <v>2012</v>
      </c>
      <c r="AG23">
        <v>3012</v>
      </c>
      <c r="AJ23" t="s">
        <v>737</v>
      </c>
      <c r="AK23" t="str">
        <f>EPDWasteUnit</f>
        <v>kg</v>
      </c>
      <c r="AL23" t="str">
        <f>MassCalcUnit2</f>
        <v>kg</v>
      </c>
    </row>
    <row r="24" spans="3:39">
      <c r="C24" t="str">
        <f>'Plant Inputs'!D42</f>
        <v>Chemical Admixture - Air Entraining Agent</v>
      </c>
      <c r="D24">
        <f>'Supplemental LCA Data'!$D$28</f>
        <v>1.1982656298327359</v>
      </c>
      <c r="F24" t="s">
        <v>626</v>
      </c>
      <c r="H24" t="s">
        <v>106</v>
      </c>
      <c r="N24" t="s">
        <v>356</v>
      </c>
      <c r="O24" t="s">
        <v>366</v>
      </c>
      <c r="R24" s="87">
        <v>2024</v>
      </c>
      <c r="S24" t="s">
        <v>366</v>
      </c>
      <c r="T24" t="s">
        <v>367</v>
      </c>
      <c r="U24" t="s">
        <v>477</v>
      </c>
      <c r="W24" t="str">
        <f>Conversions!$B$38</f>
        <v>mile</v>
      </c>
      <c r="X24" t="s">
        <v>346</v>
      </c>
      <c r="AA24" t="s">
        <v>366</v>
      </c>
      <c r="AE24">
        <v>1013</v>
      </c>
      <c r="AF24">
        <v>2013</v>
      </c>
      <c r="AG24">
        <v>3013</v>
      </c>
      <c r="AJ24" t="s">
        <v>738</v>
      </c>
      <c r="AK24" t="str">
        <f>EPDWasteUnit</f>
        <v>kg</v>
      </c>
      <c r="AL24" t="str">
        <f>MassCalcUnit2</f>
        <v>kg</v>
      </c>
    </row>
    <row r="25" spans="3:39">
      <c r="C25" t="str">
        <f>'Plant Inputs'!D43</f>
        <v>Chemical Admixture - Water Reducer/Plasticizer</v>
      </c>
      <c r="D25">
        <f>'Supplemental LCA Data'!$D$28</f>
        <v>1.1982656298327359</v>
      </c>
      <c r="F25" t="s">
        <v>90</v>
      </c>
      <c r="G25" t="s">
        <v>106</v>
      </c>
      <c r="H25" t="s">
        <v>106</v>
      </c>
      <c r="N25" t="s">
        <v>358</v>
      </c>
      <c r="O25" t="s">
        <v>368</v>
      </c>
      <c r="R25" s="87">
        <v>2025</v>
      </c>
      <c r="S25" t="s">
        <v>368</v>
      </c>
      <c r="T25" t="s">
        <v>369</v>
      </c>
      <c r="U25" t="s">
        <v>477</v>
      </c>
      <c r="W25" t="str">
        <f>Conversions!$B$39</f>
        <v>lbs</v>
      </c>
      <c r="X25" t="s">
        <v>348</v>
      </c>
      <c r="AA25" t="s">
        <v>368</v>
      </c>
      <c r="AE25">
        <v>1014</v>
      </c>
      <c r="AF25">
        <v>2014</v>
      </c>
      <c r="AG25">
        <v>3014</v>
      </c>
    </row>
    <row r="26" spans="3:39">
      <c r="C26" t="str">
        <f>'Plant Inputs'!D44</f>
        <v>Chemical Admixture - Accelerator</v>
      </c>
      <c r="D26">
        <f>'Supplemental LCA Data'!$D$28</f>
        <v>1.1982656298327359</v>
      </c>
      <c r="F26" t="s">
        <v>0</v>
      </c>
      <c r="G26" t="s">
        <v>17</v>
      </c>
      <c r="H26" t="s">
        <v>17</v>
      </c>
      <c r="N26" t="s">
        <v>360</v>
      </c>
      <c r="O26" t="s">
        <v>370</v>
      </c>
      <c r="R26" s="87">
        <v>2026</v>
      </c>
      <c r="S26" t="s">
        <v>370</v>
      </c>
      <c r="T26" t="s">
        <v>371</v>
      </c>
      <c r="U26" t="s">
        <v>477</v>
      </c>
      <c r="W26" t="str">
        <f>Conversions!$B$40</f>
        <v>kJ</v>
      </c>
      <c r="X26" t="s">
        <v>350</v>
      </c>
      <c r="AA26" t="s">
        <v>370</v>
      </c>
      <c r="AE26">
        <v>1015</v>
      </c>
      <c r="AF26">
        <v>2015</v>
      </c>
      <c r="AG26">
        <v>3015</v>
      </c>
    </row>
    <row r="27" spans="3:39">
      <c r="C27" t="str">
        <f>'Plant Inputs'!D45</f>
        <v>Chemical Admixture - High Range Water Reducer (HRWR)/Super Plasticizer</v>
      </c>
      <c r="D27">
        <f>'Supplemental LCA Data'!$D$28</f>
        <v>1.1982656298327359</v>
      </c>
      <c r="N27" t="s">
        <v>362</v>
      </c>
      <c r="O27" t="s">
        <v>372</v>
      </c>
      <c r="R27" s="87">
        <v>2027</v>
      </c>
      <c r="S27" t="s">
        <v>372</v>
      </c>
      <c r="T27" t="s">
        <v>373</v>
      </c>
      <c r="U27" t="s">
        <v>477</v>
      </c>
      <c r="W27" t="str">
        <f>Conversions!$B$41</f>
        <v>litre</v>
      </c>
      <c r="X27" t="s">
        <v>352</v>
      </c>
      <c r="AA27" t="s">
        <v>372</v>
      </c>
      <c r="AE27">
        <v>1016</v>
      </c>
      <c r="AF27">
        <v>2016</v>
      </c>
      <c r="AG27">
        <v>3016</v>
      </c>
    </row>
    <row r="28" spans="3:39">
      <c r="C28" t="str">
        <f>'Plant Inputs'!D46</f>
        <v>Chemical Admixture - Corrosion Inhibiting</v>
      </c>
      <c r="D28">
        <f>'Supplemental LCA Data'!$D$28</f>
        <v>1.1982656298327359</v>
      </c>
      <c r="N28" t="s">
        <v>364</v>
      </c>
      <c r="O28" t="s">
        <v>374</v>
      </c>
      <c r="R28" s="87">
        <v>2028</v>
      </c>
      <c r="S28" t="s">
        <v>374</v>
      </c>
      <c r="T28" t="s">
        <v>375</v>
      </c>
      <c r="U28" t="s">
        <v>477</v>
      </c>
      <c r="W28" t="str">
        <f>Conversions!$B$42</f>
        <v>ft3</v>
      </c>
      <c r="X28" t="s">
        <v>354</v>
      </c>
      <c r="AA28" t="s">
        <v>374</v>
      </c>
      <c r="AE28">
        <v>1017</v>
      </c>
      <c r="AF28">
        <v>2017</v>
      </c>
      <c r="AG28">
        <v>3017</v>
      </c>
    </row>
    <row r="29" spans="3:39">
      <c r="C29" t="str">
        <f>'Plant Inputs'!D47</f>
        <v>Chemical Admixture - Viscosity Modifying Admixture (VMA)</v>
      </c>
      <c r="D29">
        <f>'Supplemental LCA Data'!$D$28</f>
        <v>1.1982656298327359</v>
      </c>
      <c r="N29" t="s">
        <v>366</v>
      </c>
      <c r="O29" t="s">
        <v>376</v>
      </c>
      <c r="R29" s="87">
        <v>2029</v>
      </c>
      <c r="S29" t="s">
        <v>376</v>
      </c>
      <c r="T29" t="s">
        <v>377</v>
      </c>
      <c r="U29" t="s">
        <v>477</v>
      </c>
      <c r="W29" t="str">
        <f>Conversions!$B$43</f>
        <v>therms</v>
      </c>
      <c r="X29" t="s">
        <v>356</v>
      </c>
      <c r="AA29" t="s">
        <v>376</v>
      </c>
      <c r="AE29">
        <v>1018</v>
      </c>
      <c r="AF29">
        <v>2018</v>
      </c>
      <c r="AG29">
        <v>3018</v>
      </c>
    </row>
    <row r="30" spans="3:39">
      <c r="C30" t="str">
        <f>'Plant Inputs'!D48</f>
        <v>Form Release Agent</v>
      </c>
      <c r="D30">
        <v>0.86599999999999999</v>
      </c>
      <c r="N30" t="s">
        <v>368</v>
      </c>
      <c r="O30" t="s">
        <v>378</v>
      </c>
      <c r="R30" s="87">
        <v>2030</v>
      </c>
      <c r="S30" t="s">
        <v>378</v>
      </c>
      <c r="T30" t="s">
        <v>379</v>
      </c>
      <c r="U30" t="s">
        <v>477</v>
      </c>
      <c r="W30" t="str">
        <f>Conversions!$B$44</f>
        <v>MMBtu</v>
      </c>
      <c r="X30" t="s">
        <v>358</v>
      </c>
      <c r="AA30" t="s">
        <v>378</v>
      </c>
      <c r="AE30">
        <v>1019</v>
      </c>
      <c r="AF30">
        <v>2019</v>
      </c>
      <c r="AG30">
        <v>3019</v>
      </c>
    </row>
    <row r="31" spans="3:39">
      <c r="C31" t="str">
        <f>'Plant Inputs'!D49</f>
        <v>Rebar</v>
      </c>
      <c r="N31" t="s">
        <v>370</v>
      </c>
      <c r="O31" t="s">
        <v>380</v>
      </c>
      <c r="R31" s="87"/>
      <c r="S31" t="s">
        <v>380</v>
      </c>
      <c r="T31" t="s">
        <v>381</v>
      </c>
      <c r="U31" t="s">
        <v>477</v>
      </c>
      <c r="W31" t="str">
        <f>Conversions!$B$45</f>
        <v>yd3</v>
      </c>
      <c r="X31" t="s">
        <v>360</v>
      </c>
      <c r="AA31" t="s">
        <v>380</v>
      </c>
      <c r="AE31">
        <v>1020</v>
      </c>
      <c r="AF31">
        <v>2020</v>
      </c>
      <c r="AG31">
        <v>3020</v>
      </c>
    </row>
    <row r="32" spans="3:39">
      <c r="C32" t="str">
        <f>'Plant Inputs'!D50</f>
        <v>Welded Wire Reinforcement (WWR)</v>
      </c>
      <c r="N32" t="s">
        <v>372</v>
      </c>
      <c r="O32" t="s">
        <v>382</v>
      </c>
      <c r="R32" s="87"/>
      <c r="S32" t="s">
        <v>382</v>
      </c>
      <c r="T32" t="s">
        <v>127</v>
      </c>
      <c r="U32" t="s">
        <v>477</v>
      </c>
      <c r="W32" t="str">
        <f>Conversions!$B$46</f>
        <v>ounce</v>
      </c>
      <c r="X32" t="s">
        <v>362</v>
      </c>
      <c r="AA32" t="s">
        <v>382</v>
      </c>
      <c r="AE32">
        <v>1021</v>
      </c>
      <c r="AF32">
        <v>2021</v>
      </c>
      <c r="AG32">
        <v>3021</v>
      </c>
    </row>
    <row r="33" spans="3:33">
      <c r="C33" t="str">
        <f>'Plant Inputs'!D51</f>
        <v>Steel Anchors</v>
      </c>
      <c r="N33" t="s">
        <v>374</v>
      </c>
      <c r="O33" t="s">
        <v>383</v>
      </c>
      <c r="R33" s="87"/>
      <c r="S33" t="s">
        <v>383</v>
      </c>
      <c r="T33" t="s">
        <v>384</v>
      </c>
      <c r="U33" t="s">
        <v>477</v>
      </c>
      <c r="W33" t="str">
        <f>Conversions!$B$47</f>
        <v>fl. ounce</v>
      </c>
      <c r="X33" t="s">
        <v>364</v>
      </c>
      <c r="AA33" t="s">
        <v>383</v>
      </c>
      <c r="AE33">
        <v>1022</v>
      </c>
      <c r="AF33">
        <v>2022</v>
      </c>
      <c r="AG33">
        <v>3022</v>
      </c>
    </row>
    <row r="34" spans="3:33">
      <c r="C34" t="str">
        <f>'Plant Inputs'!D52</f>
        <v>Steel Stressing Strand</v>
      </c>
      <c r="N34" t="s">
        <v>376</v>
      </c>
      <c r="O34" t="s">
        <v>385</v>
      </c>
      <c r="R34" s="87"/>
      <c r="S34" t="s">
        <v>385</v>
      </c>
      <c r="T34" t="s">
        <v>386</v>
      </c>
      <c r="U34" t="s">
        <v>477</v>
      </c>
      <c r="W34" t="str">
        <f>Conversions!$B$48</f>
        <v>gram</v>
      </c>
      <c r="X34" t="s">
        <v>366</v>
      </c>
      <c r="AA34" t="s">
        <v>385</v>
      </c>
      <c r="AE34">
        <v>1023</v>
      </c>
      <c r="AF34">
        <v>2023</v>
      </c>
      <c r="AG34">
        <v>3023</v>
      </c>
    </row>
    <row r="35" spans="3:33">
      <c r="C35" t="str">
        <f>'Plant Inputs'!D53</f>
        <v>Carbon Fibre Reinforced Polymer (CFRP) strand</v>
      </c>
      <c r="N35" t="s">
        <v>378</v>
      </c>
      <c r="O35" t="s">
        <v>387</v>
      </c>
      <c r="R35" s="87"/>
      <c r="S35" t="s">
        <v>387</v>
      </c>
      <c r="T35" t="s">
        <v>388</v>
      </c>
      <c r="U35" t="s">
        <v>477</v>
      </c>
      <c r="W35" t="str">
        <f>Conversions!$B$49</f>
        <v>MBtu</v>
      </c>
      <c r="X35" t="s">
        <v>368</v>
      </c>
      <c r="AA35" t="s">
        <v>387</v>
      </c>
      <c r="AE35">
        <v>1024</v>
      </c>
      <c r="AF35">
        <v>2024</v>
      </c>
      <c r="AG35">
        <v>3024</v>
      </c>
    </row>
    <row r="36" spans="3:33">
      <c r="C36" t="str">
        <f>'Plant Inputs'!D54</f>
        <v>Polypropylene Fibers</v>
      </c>
      <c r="N36" t="s">
        <v>380</v>
      </c>
      <c r="O36" t="s">
        <v>389</v>
      </c>
      <c r="R36" s="87"/>
      <c r="S36" t="s">
        <v>389</v>
      </c>
      <c r="T36" t="s">
        <v>390</v>
      </c>
      <c r="U36" t="s">
        <v>478</v>
      </c>
      <c r="W36" t="str">
        <f>Conversions!$B$50</f>
        <v>board feet</v>
      </c>
      <c r="X36" t="s">
        <v>370</v>
      </c>
      <c r="AA36" t="s">
        <v>389</v>
      </c>
      <c r="AE36">
        <v>1025</v>
      </c>
      <c r="AF36">
        <v>2025</v>
      </c>
      <c r="AG36">
        <v>3025</v>
      </c>
    </row>
    <row r="37" spans="3:33">
      <c r="C37" t="str">
        <f>'Plant Inputs'!D55</f>
        <v>Steel Fibers</v>
      </c>
      <c r="N37" t="s">
        <v>382</v>
      </c>
      <c r="O37" t="s">
        <v>391</v>
      </c>
      <c r="R37" s="87"/>
      <c r="S37" t="s">
        <v>391</v>
      </c>
      <c r="T37" t="s">
        <v>392</v>
      </c>
      <c r="U37" t="s">
        <v>477</v>
      </c>
      <c r="X37" t="s">
        <v>372</v>
      </c>
      <c r="AA37" t="s">
        <v>391</v>
      </c>
      <c r="AE37">
        <v>1026</v>
      </c>
      <c r="AF37">
        <v>2026</v>
      </c>
      <c r="AG37">
        <v>3026</v>
      </c>
    </row>
    <row r="38" spans="3:33">
      <c r="C38" t="str">
        <f>'Plant Inputs'!D56</f>
        <v>Glass Fibre Reinforced Polymer (GFRP) reinforcing bars</v>
      </c>
      <c r="N38" t="s">
        <v>383</v>
      </c>
      <c r="O38" t="s">
        <v>393</v>
      </c>
      <c r="S38" t="s">
        <v>393</v>
      </c>
      <c r="T38" t="s">
        <v>394</v>
      </c>
      <c r="U38" t="s">
        <v>478</v>
      </c>
      <c r="X38" t="s">
        <v>374</v>
      </c>
      <c r="AA38" t="s">
        <v>393</v>
      </c>
      <c r="AE38">
        <v>1027</v>
      </c>
      <c r="AF38">
        <v>2027</v>
      </c>
      <c r="AG38">
        <v>3027</v>
      </c>
    </row>
    <row r="39" spans="3:33">
      <c r="C39" t="str">
        <f>'Plant Inputs'!D57</f>
        <v>Carbon Fibre Reinforced Polymer (CFRP) reinforcing bars</v>
      </c>
      <c r="N39" t="s">
        <v>385</v>
      </c>
      <c r="O39" t="s">
        <v>395</v>
      </c>
      <c r="S39" t="s">
        <v>395</v>
      </c>
      <c r="T39" t="s">
        <v>396</v>
      </c>
      <c r="U39" t="s">
        <v>477</v>
      </c>
      <c r="X39" t="s">
        <v>376</v>
      </c>
      <c r="AA39" t="s">
        <v>395</v>
      </c>
      <c r="AE39">
        <v>1028</v>
      </c>
      <c r="AF39">
        <v>2028</v>
      </c>
      <c r="AG39">
        <v>3028</v>
      </c>
    </row>
    <row r="40" spans="3:33">
      <c r="C40" t="str">
        <f>'Plant Inputs'!D58</f>
        <v>Fibre Reinforced Polymer (FRP) wrap</v>
      </c>
      <c r="N40" t="s">
        <v>387</v>
      </c>
      <c r="O40" t="s">
        <v>397</v>
      </c>
      <c r="S40" t="s">
        <v>397</v>
      </c>
      <c r="T40" t="s">
        <v>398</v>
      </c>
      <c r="U40" t="s">
        <v>477</v>
      </c>
      <c r="X40" t="s">
        <v>378</v>
      </c>
      <c r="AA40" t="s">
        <v>397</v>
      </c>
      <c r="AE40">
        <v>1029</v>
      </c>
      <c r="AF40">
        <v>2029</v>
      </c>
      <c r="AG40">
        <v>3029</v>
      </c>
    </row>
    <row r="41" spans="3:33">
      <c r="C41" t="str">
        <f>'Plant Inputs'!D59</f>
        <v>Expanded Polystyrene</v>
      </c>
      <c r="D41">
        <v>1.6E-2</v>
      </c>
      <c r="N41" t="s">
        <v>389</v>
      </c>
      <c r="O41" t="s">
        <v>399</v>
      </c>
      <c r="S41" t="s">
        <v>399</v>
      </c>
      <c r="T41" t="s">
        <v>400</v>
      </c>
      <c r="U41" t="s">
        <v>478</v>
      </c>
      <c r="X41" t="s">
        <v>380</v>
      </c>
      <c r="AA41" t="s">
        <v>399</v>
      </c>
      <c r="AE41">
        <v>1030</v>
      </c>
      <c r="AF41">
        <v>2030</v>
      </c>
      <c r="AG41">
        <v>3030</v>
      </c>
    </row>
    <row r="42" spans="3:33">
      <c r="C42" t="str">
        <f>'Plant Inputs'!D60</f>
        <v>Extruded Polystyrene</v>
      </c>
      <c r="D42">
        <v>3.2000000000000001E-2</v>
      </c>
      <c r="N42" t="s">
        <v>391</v>
      </c>
      <c r="O42" t="s">
        <v>401</v>
      </c>
      <c r="S42" t="s">
        <v>401</v>
      </c>
      <c r="T42" t="s">
        <v>402</v>
      </c>
      <c r="U42" t="s">
        <v>477</v>
      </c>
      <c r="X42" t="s">
        <v>382</v>
      </c>
      <c r="AA42" t="s">
        <v>401</v>
      </c>
      <c r="AE42">
        <v>1031</v>
      </c>
      <c r="AF42">
        <v>2031</v>
      </c>
      <c r="AG42">
        <v>3031</v>
      </c>
    </row>
    <row r="43" spans="3:33">
      <c r="C43" t="str">
        <f>'Plant Inputs'!D61</f>
        <v>Brick</v>
      </c>
      <c r="N43" t="s">
        <v>393</v>
      </c>
      <c r="O43" t="s">
        <v>403</v>
      </c>
      <c r="S43" t="s">
        <v>403</v>
      </c>
      <c r="T43" t="s">
        <v>404</v>
      </c>
      <c r="U43" t="s">
        <v>477</v>
      </c>
      <c r="X43" t="s">
        <v>383</v>
      </c>
      <c r="AA43" t="s">
        <v>403</v>
      </c>
      <c r="AE43">
        <v>1032</v>
      </c>
      <c r="AF43">
        <v>2032</v>
      </c>
      <c r="AG43">
        <v>3032</v>
      </c>
    </row>
    <row r="44" spans="3:33">
      <c r="C44" t="str">
        <f>'Plant Inputs'!D62</f>
        <v>Natural Stone</v>
      </c>
      <c r="N44" t="s">
        <v>395</v>
      </c>
      <c r="O44" t="s">
        <v>405</v>
      </c>
      <c r="S44" t="s">
        <v>405</v>
      </c>
      <c r="T44" t="s">
        <v>406</v>
      </c>
      <c r="U44" t="s">
        <v>477</v>
      </c>
      <c r="X44" t="s">
        <v>385</v>
      </c>
      <c r="AA44" t="s">
        <v>405</v>
      </c>
      <c r="AE44">
        <v>1033</v>
      </c>
      <c r="AF44">
        <v>2033</v>
      </c>
      <c r="AG44">
        <v>3033</v>
      </c>
    </row>
    <row r="45" spans="3:33">
      <c r="C45" t="str">
        <f>'Plant Inputs'!D63</f>
        <v>Pigments</v>
      </c>
      <c r="N45" t="s">
        <v>397</v>
      </c>
      <c r="O45" t="s">
        <v>407</v>
      </c>
      <c r="S45" t="s">
        <v>407</v>
      </c>
      <c r="T45" t="s">
        <v>408</v>
      </c>
      <c r="U45" t="s">
        <v>477</v>
      </c>
      <c r="X45" t="s">
        <v>387</v>
      </c>
      <c r="AA45" t="s">
        <v>407</v>
      </c>
      <c r="AE45">
        <v>1034</v>
      </c>
      <c r="AF45">
        <v>2034</v>
      </c>
      <c r="AG45">
        <v>3034</v>
      </c>
    </row>
    <row r="46" spans="3:33">
      <c r="C46" t="str">
        <f>'Plant Inputs'!D64</f>
        <v>Net Consumables</v>
      </c>
      <c r="D46">
        <v>0.9</v>
      </c>
      <c r="N46" t="s">
        <v>399</v>
      </c>
      <c r="O46" t="s">
        <v>409</v>
      </c>
      <c r="S46" t="s">
        <v>409</v>
      </c>
      <c r="T46" t="s">
        <v>410</v>
      </c>
      <c r="U46" t="s">
        <v>477</v>
      </c>
      <c r="X46" t="s">
        <v>389</v>
      </c>
      <c r="AA46" t="s">
        <v>409</v>
      </c>
      <c r="AE46">
        <v>1035</v>
      </c>
      <c r="AF46">
        <v>2035</v>
      </c>
      <c r="AG46">
        <v>3035</v>
      </c>
    </row>
    <row r="47" spans="3:33">
      <c r="C47" t="str">
        <f>'Plant Inputs'!D65</f>
        <v>Total Batch Water Use</v>
      </c>
      <c r="D47">
        <v>1</v>
      </c>
      <c r="N47" t="s">
        <v>401</v>
      </c>
      <c r="O47" t="s">
        <v>411</v>
      </c>
      <c r="S47" t="s">
        <v>411</v>
      </c>
      <c r="T47" t="s">
        <v>412</v>
      </c>
      <c r="U47" t="s">
        <v>478</v>
      </c>
      <c r="X47" t="s">
        <v>391</v>
      </c>
      <c r="AA47" t="s">
        <v>411</v>
      </c>
      <c r="AE47">
        <v>1036</v>
      </c>
      <c r="AF47">
        <v>2036</v>
      </c>
      <c r="AG47">
        <v>3036</v>
      </c>
    </row>
    <row r="48" spans="3:33">
      <c r="C48" t="str">
        <f>'Plant Inputs'!D66</f>
        <v>Total Plant Water Use</v>
      </c>
      <c r="D48">
        <v>1</v>
      </c>
      <c r="N48" t="s">
        <v>403</v>
      </c>
      <c r="O48" t="s">
        <v>413</v>
      </c>
      <c r="S48" t="s">
        <v>413</v>
      </c>
      <c r="T48" t="s">
        <v>414</v>
      </c>
      <c r="U48" t="s">
        <v>477</v>
      </c>
      <c r="X48" t="s">
        <v>393</v>
      </c>
      <c r="AA48" t="s">
        <v>413</v>
      </c>
      <c r="AE48">
        <v>1037</v>
      </c>
      <c r="AF48">
        <v>2037</v>
      </c>
      <c r="AG48">
        <v>3037</v>
      </c>
    </row>
    <row r="49" spans="3:33">
      <c r="C49" t="str">
        <f>'Plant Inputs'!D67</f>
        <v>Percentage of Batch Water that is Recycled Water</v>
      </c>
      <c r="N49" t="s">
        <v>405</v>
      </c>
      <c r="O49" t="s">
        <v>415</v>
      </c>
      <c r="S49" t="s">
        <v>416</v>
      </c>
      <c r="T49" t="s">
        <v>417</v>
      </c>
      <c r="U49" t="s">
        <v>477</v>
      </c>
      <c r="X49" t="s">
        <v>395</v>
      </c>
      <c r="AA49" t="s">
        <v>416</v>
      </c>
      <c r="AE49">
        <v>1038</v>
      </c>
      <c r="AF49">
        <v>2038</v>
      </c>
      <c r="AG49">
        <v>3038</v>
      </c>
    </row>
    <row r="50" spans="3:33">
      <c r="N50" t="s">
        <v>407</v>
      </c>
      <c r="O50" t="s">
        <v>416</v>
      </c>
      <c r="S50" t="s">
        <v>418</v>
      </c>
      <c r="T50" t="s">
        <v>419</v>
      </c>
      <c r="U50" t="s">
        <v>477</v>
      </c>
      <c r="X50" t="s">
        <v>397</v>
      </c>
      <c r="AA50" t="s">
        <v>418</v>
      </c>
      <c r="AE50">
        <v>1039</v>
      </c>
      <c r="AF50">
        <v>2039</v>
      </c>
      <c r="AG50">
        <v>3039</v>
      </c>
    </row>
    <row r="51" spans="3:33">
      <c r="C51" s="108" t="str">
        <f>'Plant Inputs'!D97</f>
        <v>Hazardous Waste to Landfill</v>
      </c>
      <c r="N51" t="s">
        <v>409</v>
      </c>
      <c r="O51" t="s">
        <v>418</v>
      </c>
      <c r="S51" t="s">
        <v>420</v>
      </c>
      <c r="T51" t="s">
        <v>421</v>
      </c>
      <c r="U51" t="s">
        <v>477</v>
      </c>
      <c r="X51" t="s">
        <v>399</v>
      </c>
      <c r="AA51" t="s">
        <v>420</v>
      </c>
      <c r="AE51">
        <v>1040</v>
      </c>
      <c r="AF51">
        <v>2040</v>
      </c>
      <c r="AG51">
        <v>3040</v>
      </c>
    </row>
    <row r="52" spans="3:33">
      <c r="C52" s="108" t="str">
        <f>'Plant Inputs'!D98</f>
        <v>Hazardous Waste to Recycling Facility</v>
      </c>
      <c r="N52" t="s">
        <v>411</v>
      </c>
      <c r="O52" t="s">
        <v>420</v>
      </c>
      <c r="S52" t="s">
        <v>422</v>
      </c>
      <c r="T52" t="s">
        <v>423</v>
      </c>
      <c r="U52" t="s">
        <v>477</v>
      </c>
      <c r="X52" t="s">
        <v>401</v>
      </c>
      <c r="AA52" t="s">
        <v>422</v>
      </c>
      <c r="AE52">
        <v>1041</v>
      </c>
      <c r="AF52">
        <v>2041</v>
      </c>
      <c r="AG52">
        <v>3041</v>
      </c>
    </row>
    <row r="53" spans="3:33">
      <c r="C53" s="108" t="str">
        <f>'Plant Inputs'!D99</f>
        <v>Hazardous Waste to Incineration Facility</v>
      </c>
      <c r="N53" t="s">
        <v>413</v>
      </c>
      <c r="O53" t="s">
        <v>422</v>
      </c>
      <c r="S53" t="s">
        <v>424</v>
      </c>
      <c r="T53" t="s">
        <v>425</v>
      </c>
      <c r="U53" t="s">
        <v>425</v>
      </c>
      <c r="X53" t="s">
        <v>403</v>
      </c>
      <c r="AA53" t="s">
        <v>424</v>
      </c>
      <c r="AE53">
        <v>1042</v>
      </c>
      <c r="AF53">
        <v>2042</v>
      </c>
      <c r="AG53">
        <v>3042</v>
      </c>
    </row>
    <row r="54" spans="3:33">
      <c r="C54" s="108" t="str">
        <f>'Plant Inputs'!D100</f>
        <v>Non-Hazardous Waste to Landfill</v>
      </c>
      <c r="N54" t="s">
        <v>415</v>
      </c>
      <c r="O54" t="s">
        <v>424</v>
      </c>
      <c r="S54" t="s">
        <v>426</v>
      </c>
      <c r="T54" t="s">
        <v>427</v>
      </c>
      <c r="U54" t="s">
        <v>478</v>
      </c>
      <c r="X54" t="s">
        <v>405</v>
      </c>
      <c r="AA54" t="s">
        <v>426</v>
      </c>
      <c r="AE54">
        <v>1043</v>
      </c>
      <c r="AF54">
        <v>2043</v>
      </c>
      <c r="AG54">
        <v>3043</v>
      </c>
    </row>
    <row r="55" spans="3:33">
      <c r="C55" s="108" t="str">
        <f>'Plant Inputs'!D101</f>
        <v>Non-Hazardous Waste to Recycling Facility</v>
      </c>
      <c r="N55" t="s">
        <v>416</v>
      </c>
      <c r="O55" t="s">
        <v>426</v>
      </c>
      <c r="S55" t="s">
        <v>428</v>
      </c>
      <c r="T55" t="s">
        <v>429</v>
      </c>
      <c r="U55" t="s">
        <v>477</v>
      </c>
      <c r="X55" t="s">
        <v>407</v>
      </c>
      <c r="AA55" t="s">
        <v>428</v>
      </c>
      <c r="AE55">
        <v>1044</v>
      </c>
      <c r="AF55">
        <v>2044</v>
      </c>
      <c r="AG55">
        <v>3044</v>
      </c>
    </row>
    <row r="56" spans="3:33">
      <c r="C56" s="108" t="str">
        <f>'Plant Inputs'!D102</f>
        <v>Non-Hazardous Waste to Incineration Facility</v>
      </c>
      <c r="N56" t="s">
        <v>418</v>
      </c>
      <c r="O56" t="s">
        <v>428</v>
      </c>
      <c r="S56" t="s">
        <v>430</v>
      </c>
      <c r="T56" t="s">
        <v>431</v>
      </c>
      <c r="U56" t="s">
        <v>477</v>
      </c>
      <c r="X56" t="s">
        <v>409</v>
      </c>
      <c r="AA56" t="s">
        <v>430</v>
      </c>
      <c r="AE56">
        <v>1045</v>
      </c>
      <c r="AF56">
        <v>2045</v>
      </c>
      <c r="AG56">
        <v>3045</v>
      </c>
    </row>
    <row r="57" spans="3:33">
      <c r="N57" t="s">
        <v>420</v>
      </c>
      <c r="O57" t="s">
        <v>430</v>
      </c>
      <c r="S57" t="s">
        <v>432</v>
      </c>
      <c r="T57" t="s">
        <v>433</v>
      </c>
      <c r="U57" t="s">
        <v>478</v>
      </c>
      <c r="X57" t="s">
        <v>411</v>
      </c>
      <c r="AA57" t="s">
        <v>432</v>
      </c>
      <c r="AE57">
        <v>1046</v>
      </c>
      <c r="AF57">
        <v>2046</v>
      </c>
      <c r="AG57">
        <v>3046</v>
      </c>
    </row>
    <row r="58" spans="3:33">
      <c r="N58" t="s">
        <v>422</v>
      </c>
      <c r="O58" t="s">
        <v>432</v>
      </c>
      <c r="S58" t="s">
        <v>434</v>
      </c>
      <c r="T58" t="s">
        <v>435</v>
      </c>
      <c r="U58" t="s">
        <v>477</v>
      </c>
      <c r="X58" t="s">
        <v>413</v>
      </c>
      <c r="AA58" t="s">
        <v>434</v>
      </c>
      <c r="AE58">
        <v>1047</v>
      </c>
      <c r="AF58">
        <v>2047</v>
      </c>
      <c r="AG58">
        <v>3047</v>
      </c>
    </row>
    <row r="59" spans="3:33">
      <c r="N59" t="s">
        <v>424</v>
      </c>
      <c r="O59" t="s">
        <v>434</v>
      </c>
      <c r="S59" t="s">
        <v>436</v>
      </c>
      <c r="T59" t="s">
        <v>437</v>
      </c>
      <c r="U59" t="s">
        <v>477</v>
      </c>
      <c r="X59" t="s">
        <v>416</v>
      </c>
      <c r="AA59" t="s">
        <v>436</v>
      </c>
      <c r="AE59">
        <v>1048</v>
      </c>
      <c r="AF59">
        <v>2048</v>
      </c>
      <c r="AG59">
        <v>3048</v>
      </c>
    </row>
    <row r="60" spans="3:33">
      <c r="N60" t="s">
        <v>426</v>
      </c>
      <c r="O60" t="s">
        <v>436</v>
      </c>
      <c r="S60" t="s">
        <v>438</v>
      </c>
      <c r="T60" t="s">
        <v>439</v>
      </c>
      <c r="U60" t="s">
        <v>478</v>
      </c>
      <c r="X60" t="s">
        <v>418</v>
      </c>
      <c r="AA60" t="s">
        <v>438</v>
      </c>
      <c r="AE60">
        <v>1049</v>
      </c>
      <c r="AF60">
        <v>2049</v>
      </c>
      <c r="AG60">
        <v>3049</v>
      </c>
    </row>
    <row r="61" spans="3:33">
      <c r="N61" t="s">
        <v>428</v>
      </c>
      <c r="O61" t="s">
        <v>438</v>
      </c>
      <c r="S61" t="s">
        <v>626</v>
      </c>
      <c r="U61" t="s">
        <v>17</v>
      </c>
      <c r="X61" t="s">
        <v>420</v>
      </c>
      <c r="AA61" t="s">
        <v>81</v>
      </c>
      <c r="AE61">
        <v>1050</v>
      </c>
      <c r="AF61">
        <v>2050</v>
      </c>
      <c r="AG61">
        <v>3050</v>
      </c>
    </row>
    <row r="62" spans="3:33">
      <c r="N62" t="s">
        <v>430</v>
      </c>
      <c r="O62" t="s">
        <v>81</v>
      </c>
      <c r="S62" t="s">
        <v>0</v>
      </c>
      <c r="T62" t="s">
        <v>17</v>
      </c>
      <c r="U62" t="s">
        <v>17</v>
      </c>
      <c r="X62" t="s">
        <v>422</v>
      </c>
      <c r="AA62" t="s">
        <v>82</v>
      </c>
      <c r="AE62">
        <v>1051</v>
      </c>
      <c r="AF62">
        <v>2051</v>
      </c>
      <c r="AG62">
        <v>3051</v>
      </c>
    </row>
    <row r="63" spans="3:33">
      <c r="N63" t="s">
        <v>432</v>
      </c>
      <c r="O63" t="s">
        <v>82</v>
      </c>
      <c r="S63" t="s">
        <v>90</v>
      </c>
      <c r="T63" t="s">
        <v>106</v>
      </c>
      <c r="U63" t="s">
        <v>106</v>
      </c>
      <c r="X63" t="s">
        <v>424</v>
      </c>
      <c r="AA63" t="s">
        <v>83</v>
      </c>
      <c r="AE63">
        <v>1052</v>
      </c>
      <c r="AF63">
        <v>2052</v>
      </c>
      <c r="AG63">
        <v>3052</v>
      </c>
    </row>
    <row r="64" spans="3:33">
      <c r="N64" t="s">
        <v>434</v>
      </c>
      <c r="O64" t="s">
        <v>85</v>
      </c>
      <c r="X64" t="s">
        <v>426</v>
      </c>
      <c r="AA64" t="s">
        <v>84</v>
      </c>
      <c r="AE64">
        <v>1053</v>
      </c>
      <c r="AF64">
        <v>2053</v>
      </c>
      <c r="AG64">
        <v>3053</v>
      </c>
    </row>
    <row r="65" spans="14:33">
      <c r="N65" t="s">
        <v>436</v>
      </c>
      <c r="O65" t="s">
        <v>86</v>
      </c>
      <c r="X65" t="s">
        <v>428</v>
      </c>
      <c r="AA65" t="s">
        <v>215</v>
      </c>
      <c r="AE65">
        <v>1054</v>
      </c>
      <c r="AF65">
        <v>2054</v>
      </c>
      <c r="AG65">
        <v>3054</v>
      </c>
    </row>
    <row r="66" spans="14:33">
      <c r="N66" t="s">
        <v>438</v>
      </c>
      <c r="O66" t="s">
        <v>88</v>
      </c>
      <c r="X66" t="s">
        <v>430</v>
      </c>
      <c r="AA66" t="s">
        <v>85</v>
      </c>
      <c r="AE66">
        <v>1055</v>
      </c>
      <c r="AF66">
        <v>2055</v>
      </c>
      <c r="AG66">
        <v>3055</v>
      </c>
    </row>
    <row r="67" spans="14:33">
      <c r="N67" t="s">
        <v>626</v>
      </c>
      <c r="O67" t="s">
        <v>626</v>
      </c>
      <c r="X67" t="s">
        <v>432</v>
      </c>
      <c r="AA67" t="s">
        <v>86</v>
      </c>
      <c r="AE67">
        <v>1056</v>
      </c>
      <c r="AF67">
        <v>2056</v>
      </c>
      <c r="AG67">
        <v>3056</v>
      </c>
    </row>
    <row r="68" spans="14:33">
      <c r="X68" t="s">
        <v>434</v>
      </c>
      <c r="AA68" t="s">
        <v>87</v>
      </c>
      <c r="AE68">
        <v>1057</v>
      </c>
      <c r="AF68">
        <v>2057</v>
      </c>
      <c r="AG68">
        <v>3057</v>
      </c>
    </row>
    <row r="69" spans="14:33">
      <c r="X69" t="s">
        <v>436</v>
      </c>
      <c r="AA69" t="s">
        <v>88</v>
      </c>
      <c r="AE69">
        <v>1058</v>
      </c>
      <c r="AF69">
        <v>2058</v>
      </c>
      <c r="AG69">
        <v>3058</v>
      </c>
    </row>
    <row r="70" spans="14:33">
      <c r="X70" t="s">
        <v>438</v>
      </c>
      <c r="AA70" t="s">
        <v>89</v>
      </c>
      <c r="AE70">
        <v>1059</v>
      </c>
      <c r="AF70">
        <v>2059</v>
      </c>
      <c r="AG70">
        <v>3059</v>
      </c>
    </row>
    <row r="71" spans="14:33">
      <c r="AE71">
        <v>1060</v>
      </c>
      <c r="AF71">
        <v>2060</v>
      </c>
      <c r="AG71">
        <v>3060</v>
      </c>
    </row>
    <row r="72" spans="14:33">
      <c r="AE72">
        <v>1061</v>
      </c>
      <c r="AF72">
        <v>2061</v>
      </c>
      <c r="AG72">
        <v>3061</v>
      </c>
    </row>
    <row r="73" spans="14:33">
      <c r="AE73">
        <v>1062</v>
      </c>
      <c r="AF73">
        <v>2062</v>
      </c>
      <c r="AG73">
        <v>3062</v>
      </c>
    </row>
    <row r="74" spans="14:33">
      <c r="AE74">
        <v>1063</v>
      </c>
      <c r="AF74">
        <v>2063</v>
      </c>
      <c r="AG74">
        <v>3063</v>
      </c>
    </row>
    <row r="75" spans="14:33">
      <c r="AE75">
        <v>1064</v>
      </c>
      <c r="AF75">
        <v>2064</v>
      </c>
      <c r="AG75">
        <v>3064</v>
      </c>
    </row>
    <row r="76" spans="14:33">
      <c r="AE76">
        <v>1065</v>
      </c>
      <c r="AF76">
        <v>2065</v>
      </c>
      <c r="AG76">
        <v>3065</v>
      </c>
    </row>
    <row r="77" spans="14:33">
      <c r="AE77">
        <v>1066</v>
      </c>
      <c r="AF77">
        <v>2066</v>
      </c>
      <c r="AG77">
        <v>3066</v>
      </c>
    </row>
    <row r="78" spans="14:33">
      <c r="AE78">
        <v>1067</v>
      </c>
      <c r="AF78">
        <v>2067</v>
      </c>
      <c r="AG78">
        <v>3067</v>
      </c>
    </row>
    <row r="79" spans="14:33">
      <c r="AE79">
        <v>1068</v>
      </c>
      <c r="AF79">
        <v>2068</v>
      </c>
      <c r="AG79">
        <v>3068</v>
      </c>
    </row>
    <row r="80" spans="14:33">
      <c r="AE80">
        <v>1069</v>
      </c>
      <c r="AF80">
        <v>2069</v>
      </c>
      <c r="AG80">
        <v>3069</v>
      </c>
    </row>
    <row r="81" spans="31:33">
      <c r="AE81">
        <v>1070</v>
      </c>
      <c r="AF81">
        <v>2070</v>
      </c>
      <c r="AG81">
        <v>3070</v>
      </c>
    </row>
    <row r="82" spans="31:33">
      <c r="AE82">
        <v>1071</v>
      </c>
      <c r="AF82">
        <v>2071</v>
      </c>
      <c r="AG82">
        <v>3071</v>
      </c>
    </row>
    <row r="83" spans="31:33">
      <c r="AE83">
        <v>1072</v>
      </c>
      <c r="AF83">
        <v>2072</v>
      </c>
      <c r="AG83">
        <v>3072</v>
      </c>
    </row>
    <row r="84" spans="31:33">
      <c r="AE84">
        <v>1073</v>
      </c>
      <c r="AF84">
        <v>2073</v>
      </c>
      <c r="AG84">
        <v>3073</v>
      </c>
    </row>
    <row r="85" spans="31:33">
      <c r="AE85">
        <v>1074</v>
      </c>
      <c r="AF85">
        <v>2074</v>
      </c>
      <c r="AG85">
        <v>3074</v>
      </c>
    </row>
    <row r="86" spans="31:33">
      <c r="AE86">
        <v>1075</v>
      </c>
      <c r="AF86">
        <v>2075</v>
      </c>
      <c r="AG86">
        <v>3075</v>
      </c>
    </row>
    <row r="87" spans="31:33">
      <c r="AE87">
        <v>1076</v>
      </c>
      <c r="AF87">
        <v>2076</v>
      </c>
      <c r="AG87">
        <v>3076</v>
      </c>
    </row>
    <row r="88" spans="31:33">
      <c r="AE88">
        <v>1077</v>
      </c>
      <c r="AF88">
        <v>2077</v>
      </c>
      <c r="AG88">
        <v>3077</v>
      </c>
    </row>
    <row r="89" spans="31:33">
      <c r="AE89">
        <v>1078</v>
      </c>
      <c r="AF89">
        <v>2078</v>
      </c>
      <c r="AG89">
        <v>3078</v>
      </c>
    </row>
    <row r="90" spans="31:33">
      <c r="AE90">
        <v>1079</v>
      </c>
      <c r="AF90">
        <v>2079</v>
      </c>
      <c r="AG90">
        <v>3079</v>
      </c>
    </row>
    <row r="91" spans="31:33">
      <c r="AE91">
        <v>1080</v>
      </c>
      <c r="AF91">
        <v>2080</v>
      </c>
      <c r="AG91">
        <v>3080</v>
      </c>
    </row>
    <row r="92" spans="31:33">
      <c r="AE92">
        <v>1081</v>
      </c>
      <c r="AF92">
        <v>2081</v>
      </c>
      <c r="AG92">
        <v>3081</v>
      </c>
    </row>
    <row r="93" spans="31:33">
      <c r="AE93">
        <v>1082</v>
      </c>
      <c r="AF93">
        <v>2082</v>
      </c>
      <c r="AG93">
        <v>3082</v>
      </c>
    </row>
    <row r="94" spans="31:33">
      <c r="AE94">
        <v>1083</v>
      </c>
      <c r="AF94">
        <v>2083</v>
      </c>
      <c r="AG94">
        <v>3083</v>
      </c>
    </row>
    <row r="95" spans="31:33">
      <c r="AE95">
        <v>1084</v>
      </c>
      <c r="AF95">
        <v>2084</v>
      </c>
      <c r="AG95">
        <v>3084</v>
      </c>
    </row>
    <row r="96" spans="31:33">
      <c r="AE96">
        <v>1085</v>
      </c>
      <c r="AF96">
        <v>2085</v>
      </c>
      <c r="AG96">
        <v>3085</v>
      </c>
    </row>
    <row r="97" spans="31:33">
      <c r="AE97">
        <v>1086</v>
      </c>
      <c r="AF97">
        <v>2086</v>
      </c>
      <c r="AG97">
        <v>3086</v>
      </c>
    </row>
    <row r="98" spans="31:33">
      <c r="AE98">
        <v>1087</v>
      </c>
      <c r="AF98">
        <v>2087</v>
      </c>
      <c r="AG98">
        <v>3087</v>
      </c>
    </row>
    <row r="99" spans="31:33">
      <c r="AE99">
        <v>1088</v>
      </c>
      <c r="AF99">
        <v>2088</v>
      </c>
      <c r="AG99">
        <v>3088</v>
      </c>
    </row>
    <row r="100" spans="31:33">
      <c r="AE100">
        <v>1089</v>
      </c>
      <c r="AF100">
        <v>2089</v>
      </c>
      <c r="AG100">
        <v>3089</v>
      </c>
    </row>
    <row r="101" spans="31:33">
      <c r="AE101">
        <v>1090</v>
      </c>
      <c r="AF101">
        <v>2090</v>
      </c>
      <c r="AG101">
        <v>3090</v>
      </c>
    </row>
    <row r="102" spans="31:33">
      <c r="AE102">
        <v>1091</v>
      </c>
      <c r="AF102">
        <v>2091</v>
      </c>
      <c r="AG102">
        <v>3091</v>
      </c>
    </row>
    <row r="103" spans="31:33">
      <c r="AE103">
        <v>1092</v>
      </c>
      <c r="AF103">
        <v>2092</v>
      </c>
      <c r="AG103">
        <v>3092</v>
      </c>
    </row>
    <row r="104" spans="31:33">
      <c r="AE104">
        <v>1093</v>
      </c>
      <c r="AF104">
        <v>2093</v>
      </c>
      <c r="AG104">
        <v>3093</v>
      </c>
    </row>
    <row r="105" spans="31:33">
      <c r="AE105">
        <v>1094</v>
      </c>
      <c r="AF105">
        <v>2094</v>
      </c>
      <c r="AG105">
        <v>3094</v>
      </c>
    </row>
    <row r="106" spans="31:33">
      <c r="AE106">
        <v>1095</v>
      </c>
      <c r="AF106">
        <v>2095</v>
      </c>
      <c r="AG106">
        <v>3095</v>
      </c>
    </row>
    <row r="107" spans="31:33">
      <c r="AE107">
        <v>1096</v>
      </c>
      <c r="AF107">
        <v>2096</v>
      </c>
      <c r="AG107">
        <v>3096</v>
      </c>
    </row>
    <row r="108" spans="31:33">
      <c r="AE108">
        <v>1097</v>
      </c>
      <c r="AF108">
        <v>2097</v>
      </c>
      <c r="AG108">
        <v>3097</v>
      </c>
    </row>
    <row r="109" spans="31:33">
      <c r="AE109">
        <v>1098</v>
      </c>
      <c r="AF109">
        <v>2098</v>
      </c>
      <c r="AG109">
        <v>3098</v>
      </c>
    </row>
    <row r="110" spans="31:33">
      <c r="AE110">
        <v>1099</v>
      </c>
      <c r="AF110">
        <v>2099</v>
      </c>
      <c r="AG110">
        <v>3099</v>
      </c>
    </row>
    <row r="111" spans="31:33">
      <c r="AE111">
        <v>1100</v>
      </c>
      <c r="AF111">
        <v>2100</v>
      </c>
      <c r="AG111">
        <v>3100</v>
      </c>
    </row>
    <row r="112" spans="31:33">
      <c r="AE112">
        <v>1101</v>
      </c>
      <c r="AF112">
        <v>2101</v>
      </c>
      <c r="AG112">
        <v>3101</v>
      </c>
    </row>
    <row r="113" spans="31:33">
      <c r="AE113">
        <v>1102</v>
      </c>
      <c r="AF113">
        <v>2102</v>
      </c>
      <c r="AG113">
        <v>3102</v>
      </c>
    </row>
    <row r="114" spans="31:33">
      <c r="AE114">
        <v>1103</v>
      </c>
      <c r="AF114">
        <v>2103</v>
      </c>
      <c r="AG114">
        <v>3103</v>
      </c>
    </row>
    <row r="115" spans="31:33">
      <c r="AE115">
        <v>1104</v>
      </c>
      <c r="AF115">
        <v>2104</v>
      </c>
      <c r="AG115">
        <v>3104</v>
      </c>
    </row>
    <row r="116" spans="31:33">
      <c r="AE116">
        <v>1105</v>
      </c>
      <c r="AF116">
        <v>2105</v>
      </c>
      <c r="AG116">
        <v>3105</v>
      </c>
    </row>
    <row r="117" spans="31:33">
      <c r="AE117">
        <v>1106</v>
      </c>
      <c r="AF117">
        <v>2106</v>
      </c>
      <c r="AG117">
        <v>3106</v>
      </c>
    </row>
    <row r="118" spans="31:33">
      <c r="AE118">
        <v>1107</v>
      </c>
      <c r="AF118">
        <v>2107</v>
      </c>
      <c r="AG118">
        <v>3107</v>
      </c>
    </row>
    <row r="119" spans="31:33">
      <c r="AE119">
        <v>1108</v>
      </c>
      <c r="AF119">
        <v>2108</v>
      </c>
      <c r="AG119">
        <v>3108</v>
      </c>
    </row>
    <row r="120" spans="31:33">
      <c r="AE120">
        <v>1109</v>
      </c>
      <c r="AF120">
        <v>2109</v>
      </c>
      <c r="AG120">
        <v>3109</v>
      </c>
    </row>
    <row r="121" spans="31:33">
      <c r="AE121">
        <v>1110</v>
      </c>
      <c r="AF121">
        <v>2110</v>
      </c>
      <c r="AG121">
        <v>3110</v>
      </c>
    </row>
    <row r="122" spans="31:33">
      <c r="AE122">
        <v>1111</v>
      </c>
      <c r="AF122">
        <v>2111</v>
      </c>
      <c r="AG122">
        <v>3111</v>
      </c>
    </row>
    <row r="123" spans="31:33">
      <c r="AE123">
        <v>1112</v>
      </c>
      <c r="AF123">
        <v>2112</v>
      </c>
      <c r="AG123">
        <v>3112</v>
      </c>
    </row>
    <row r="124" spans="31:33">
      <c r="AE124">
        <v>1113</v>
      </c>
      <c r="AF124">
        <v>2113</v>
      </c>
      <c r="AG124">
        <v>3113</v>
      </c>
    </row>
    <row r="125" spans="31:33">
      <c r="AE125">
        <v>1114</v>
      </c>
      <c r="AF125">
        <v>2114</v>
      </c>
      <c r="AG125">
        <v>3114</v>
      </c>
    </row>
    <row r="126" spans="31:33">
      <c r="AE126">
        <v>1115</v>
      </c>
      <c r="AF126">
        <v>2115</v>
      </c>
      <c r="AG126">
        <v>3115</v>
      </c>
    </row>
    <row r="127" spans="31:33">
      <c r="AE127">
        <v>1116</v>
      </c>
      <c r="AF127">
        <v>2116</v>
      </c>
      <c r="AG127">
        <v>3116</v>
      </c>
    </row>
    <row r="128" spans="31:33">
      <c r="AE128">
        <v>1117</v>
      </c>
      <c r="AF128">
        <v>2117</v>
      </c>
      <c r="AG128">
        <v>3117</v>
      </c>
    </row>
    <row r="129" spans="31:33">
      <c r="AE129">
        <v>1118</v>
      </c>
      <c r="AF129">
        <v>2118</v>
      </c>
      <c r="AG129">
        <v>3118</v>
      </c>
    </row>
    <row r="130" spans="31:33">
      <c r="AE130">
        <v>1119</v>
      </c>
      <c r="AF130">
        <v>2119</v>
      </c>
      <c r="AG130">
        <v>3119</v>
      </c>
    </row>
    <row r="131" spans="31:33">
      <c r="AE131">
        <v>1120</v>
      </c>
      <c r="AF131">
        <v>2120</v>
      </c>
      <c r="AG131">
        <v>3120</v>
      </c>
    </row>
    <row r="132" spans="31:33">
      <c r="AE132">
        <v>1121</v>
      </c>
      <c r="AF132">
        <v>2121</v>
      </c>
      <c r="AG132">
        <v>3121</v>
      </c>
    </row>
    <row r="133" spans="31:33">
      <c r="AE133">
        <v>1122</v>
      </c>
      <c r="AF133">
        <v>2122</v>
      </c>
      <c r="AG133">
        <v>3122</v>
      </c>
    </row>
    <row r="134" spans="31:33">
      <c r="AE134">
        <v>1123</v>
      </c>
      <c r="AF134">
        <v>2123</v>
      </c>
      <c r="AG134">
        <v>3123</v>
      </c>
    </row>
    <row r="135" spans="31:33">
      <c r="AE135">
        <v>1124</v>
      </c>
      <c r="AF135">
        <v>2124</v>
      </c>
      <c r="AG135">
        <v>3124</v>
      </c>
    </row>
    <row r="136" spans="31:33">
      <c r="AE136">
        <v>1125</v>
      </c>
      <c r="AF136">
        <v>2125</v>
      </c>
      <c r="AG136">
        <v>3125</v>
      </c>
    </row>
    <row r="137" spans="31:33">
      <c r="AE137">
        <v>1126</v>
      </c>
      <c r="AF137">
        <v>2126</v>
      </c>
      <c r="AG137">
        <v>3126</v>
      </c>
    </row>
    <row r="138" spans="31:33">
      <c r="AE138">
        <v>1127</v>
      </c>
      <c r="AF138">
        <v>2127</v>
      </c>
      <c r="AG138">
        <v>3127</v>
      </c>
    </row>
    <row r="139" spans="31:33">
      <c r="AE139">
        <v>1128</v>
      </c>
      <c r="AF139">
        <v>2128</v>
      </c>
      <c r="AG139">
        <v>3128</v>
      </c>
    </row>
    <row r="140" spans="31:33">
      <c r="AE140">
        <v>1129</v>
      </c>
      <c r="AF140">
        <v>2129</v>
      </c>
      <c r="AG140">
        <v>3129</v>
      </c>
    </row>
    <row r="141" spans="31:33">
      <c r="AE141">
        <v>1130</v>
      </c>
      <c r="AF141">
        <v>2130</v>
      </c>
      <c r="AG141">
        <v>3130</v>
      </c>
    </row>
    <row r="142" spans="31:33">
      <c r="AE142">
        <v>1131</v>
      </c>
      <c r="AF142">
        <v>2131</v>
      </c>
      <c r="AG142">
        <v>3131</v>
      </c>
    </row>
    <row r="143" spans="31:33">
      <c r="AE143">
        <v>1132</v>
      </c>
      <c r="AF143">
        <v>2132</v>
      </c>
      <c r="AG143">
        <v>3132</v>
      </c>
    </row>
    <row r="144" spans="31:33">
      <c r="AE144">
        <v>1133</v>
      </c>
      <c r="AF144">
        <v>2133</v>
      </c>
      <c r="AG144">
        <v>3133</v>
      </c>
    </row>
    <row r="145" spans="31:33">
      <c r="AE145">
        <v>1134</v>
      </c>
      <c r="AF145">
        <v>2134</v>
      </c>
      <c r="AG145">
        <v>3134</v>
      </c>
    </row>
    <row r="146" spans="31:33">
      <c r="AE146">
        <v>1135</v>
      </c>
      <c r="AF146">
        <v>2135</v>
      </c>
      <c r="AG146">
        <v>3135</v>
      </c>
    </row>
    <row r="147" spans="31:33">
      <c r="AE147">
        <v>1136</v>
      </c>
      <c r="AF147">
        <v>2136</v>
      </c>
      <c r="AG147">
        <v>3136</v>
      </c>
    </row>
    <row r="148" spans="31:33">
      <c r="AE148">
        <v>1137</v>
      </c>
      <c r="AF148">
        <v>2137</v>
      </c>
      <c r="AG148">
        <v>3137</v>
      </c>
    </row>
    <row r="149" spans="31:33">
      <c r="AE149">
        <v>1138</v>
      </c>
      <c r="AF149">
        <v>2138</v>
      </c>
      <c r="AG149">
        <v>3138</v>
      </c>
    </row>
    <row r="150" spans="31:33">
      <c r="AE150">
        <v>1139</v>
      </c>
      <c r="AF150">
        <v>2139</v>
      </c>
      <c r="AG150">
        <v>3139</v>
      </c>
    </row>
    <row r="151" spans="31:33">
      <c r="AE151">
        <v>1140</v>
      </c>
      <c r="AF151">
        <v>2140</v>
      </c>
      <c r="AG151">
        <v>3140</v>
      </c>
    </row>
    <row r="152" spans="31:33">
      <c r="AE152">
        <v>1141</v>
      </c>
      <c r="AF152">
        <v>2141</v>
      </c>
      <c r="AG152">
        <v>3141</v>
      </c>
    </row>
    <row r="153" spans="31:33">
      <c r="AE153">
        <v>1142</v>
      </c>
      <c r="AF153">
        <v>2142</v>
      </c>
      <c r="AG153">
        <v>3142</v>
      </c>
    </row>
    <row r="154" spans="31:33">
      <c r="AE154">
        <v>1143</v>
      </c>
      <c r="AF154">
        <v>2143</v>
      </c>
      <c r="AG154">
        <v>3143</v>
      </c>
    </row>
    <row r="155" spans="31:33">
      <c r="AE155">
        <v>1144</v>
      </c>
      <c r="AF155">
        <v>2144</v>
      </c>
      <c r="AG155">
        <v>3144</v>
      </c>
    </row>
    <row r="156" spans="31:33">
      <c r="AE156">
        <v>1145</v>
      </c>
      <c r="AF156">
        <v>2145</v>
      </c>
      <c r="AG156">
        <v>3145</v>
      </c>
    </row>
    <row r="157" spans="31:33">
      <c r="AE157">
        <v>1146</v>
      </c>
      <c r="AF157">
        <v>2146</v>
      </c>
      <c r="AG157">
        <v>3146</v>
      </c>
    </row>
    <row r="158" spans="31:33">
      <c r="AE158">
        <v>1147</v>
      </c>
      <c r="AF158">
        <v>2147</v>
      </c>
      <c r="AG158">
        <v>3147</v>
      </c>
    </row>
    <row r="159" spans="31:33">
      <c r="AE159">
        <v>1148</v>
      </c>
      <c r="AF159">
        <v>2148</v>
      </c>
      <c r="AG159">
        <v>3148</v>
      </c>
    </row>
    <row r="160" spans="31:33">
      <c r="AE160">
        <v>1149</v>
      </c>
      <c r="AF160">
        <v>2149</v>
      </c>
      <c r="AG160">
        <v>3149</v>
      </c>
    </row>
    <row r="161" spans="31:33">
      <c r="AE161">
        <v>1150</v>
      </c>
      <c r="AF161">
        <v>2150</v>
      </c>
      <c r="AG161">
        <v>3150</v>
      </c>
    </row>
    <row r="162" spans="31:33">
      <c r="AE162">
        <v>1151</v>
      </c>
      <c r="AF162">
        <v>2151</v>
      </c>
      <c r="AG162">
        <v>3151</v>
      </c>
    </row>
    <row r="163" spans="31:33">
      <c r="AE163">
        <v>1152</v>
      </c>
      <c r="AF163">
        <v>2152</v>
      </c>
      <c r="AG163">
        <v>3152</v>
      </c>
    </row>
    <row r="164" spans="31:33">
      <c r="AE164">
        <v>1153</v>
      </c>
      <c r="AF164">
        <v>2153</v>
      </c>
      <c r="AG164">
        <v>3153</v>
      </c>
    </row>
    <row r="165" spans="31:33">
      <c r="AE165">
        <v>1154</v>
      </c>
      <c r="AF165">
        <v>2154</v>
      </c>
      <c r="AG165">
        <v>3154</v>
      </c>
    </row>
    <row r="166" spans="31:33">
      <c r="AE166">
        <v>1155</v>
      </c>
      <c r="AF166">
        <v>2155</v>
      </c>
      <c r="AG166">
        <v>3155</v>
      </c>
    </row>
    <row r="167" spans="31:33">
      <c r="AE167">
        <v>1156</v>
      </c>
      <c r="AF167">
        <v>2156</v>
      </c>
      <c r="AG167">
        <v>3156</v>
      </c>
    </row>
    <row r="168" spans="31:33">
      <c r="AE168">
        <v>1157</v>
      </c>
      <c r="AF168">
        <v>2157</v>
      </c>
      <c r="AG168">
        <v>3157</v>
      </c>
    </row>
    <row r="169" spans="31:33">
      <c r="AE169">
        <v>1158</v>
      </c>
      <c r="AF169">
        <v>2158</v>
      </c>
      <c r="AG169">
        <v>3158</v>
      </c>
    </row>
    <row r="170" spans="31:33">
      <c r="AE170">
        <v>1159</v>
      </c>
      <c r="AF170">
        <v>2159</v>
      </c>
      <c r="AG170">
        <v>3159</v>
      </c>
    </row>
    <row r="171" spans="31:33">
      <c r="AE171">
        <v>1160</v>
      </c>
      <c r="AF171">
        <v>2160</v>
      </c>
      <c r="AG171">
        <v>3160</v>
      </c>
    </row>
    <row r="172" spans="31:33">
      <c r="AE172">
        <v>1161</v>
      </c>
      <c r="AF172">
        <v>2161</v>
      </c>
      <c r="AG172">
        <v>3161</v>
      </c>
    </row>
    <row r="173" spans="31:33">
      <c r="AE173">
        <v>1162</v>
      </c>
      <c r="AF173">
        <v>2162</v>
      </c>
      <c r="AG173">
        <v>3162</v>
      </c>
    </row>
    <row r="174" spans="31:33">
      <c r="AE174">
        <v>1163</v>
      </c>
      <c r="AF174">
        <v>2163</v>
      </c>
      <c r="AG174">
        <v>3163</v>
      </c>
    </row>
    <row r="175" spans="31:33">
      <c r="AE175">
        <v>1164</v>
      </c>
      <c r="AF175">
        <v>2164</v>
      </c>
      <c r="AG175">
        <v>3164</v>
      </c>
    </row>
    <row r="176" spans="31:33">
      <c r="AE176">
        <v>1165</v>
      </c>
      <c r="AF176">
        <v>2165</v>
      </c>
      <c r="AG176">
        <v>3165</v>
      </c>
    </row>
    <row r="177" spans="31:33">
      <c r="AE177">
        <v>1166</v>
      </c>
      <c r="AF177">
        <v>2166</v>
      </c>
      <c r="AG177">
        <v>3166</v>
      </c>
    </row>
    <row r="178" spans="31:33">
      <c r="AE178">
        <v>1167</v>
      </c>
      <c r="AF178">
        <v>2167</v>
      </c>
      <c r="AG178">
        <v>3167</v>
      </c>
    </row>
    <row r="179" spans="31:33">
      <c r="AE179">
        <v>1168</v>
      </c>
      <c r="AF179">
        <v>2168</v>
      </c>
      <c r="AG179">
        <v>3168</v>
      </c>
    </row>
    <row r="180" spans="31:33">
      <c r="AE180">
        <v>1169</v>
      </c>
      <c r="AF180">
        <v>2169</v>
      </c>
      <c r="AG180">
        <v>3169</v>
      </c>
    </row>
    <row r="181" spans="31:33">
      <c r="AE181">
        <v>1170</v>
      </c>
      <c r="AF181">
        <v>2170</v>
      </c>
      <c r="AG181">
        <v>3170</v>
      </c>
    </row>
    <row r="182" spans="31:33">
      <c r="AE182">
        <v>1171</v>
      </c>
      <c r="AF182">
        <v>2171</v>
      </c>
      <c r="AG182">
        <v>3171</v>
      </c>
    </row>
    <row r="183" spans="31:33">
      <c r="AE183">
        <v>1172</v>
      </c>
      <c r="AF183">
        <v>2172</v>
      </c>
      <c r="AG183">
        <v>3172</v>
      </c>
    </row>
    <row r="184" spans="31:33">
      <c r="AE184">
        <v>1173</v>
      </c>
      <c r="AF184">
        <v>2173</v>
      </c>
      <c r="AG184">
        <v>3173</v>
      </c>
    </row>
    <row r="185" spans="31:33">
      <c r="AE185">
        <v>1174</v>
      </c>
      <c r="AF185">
        <v>2174</v>
      </c>
      <c r="AG185">
        <v>3174</v>
      </c>
    </row>
    <row r="186" spans="31:33">
      <c r="AE186">
        <v>1175</v>
      </c>
      <c r="AF186">
        <v>2175</v>
      </c>
      <c r="AG186">
        <v>3175</v>
      </c>
    </row>
    <row r="187" spans="31:33">
      <c r="AE187">
        <v>1176</v>
      </c>
      <c r="AF187">
        <v>2176</v>
      </c>
      <c r="AG187">
        <v>3176</v>
      </c>
    </row>
    <row r="188" spans="31:33">
      <c r="AE188">
        <v>1177</v>
      </c>
      <c r="AF188">
        <v>2177</v>
      </c>
      <c r="AG188">
        <v>3177</v>
      </c>
    </row>
    <row r="189" spans="31:33">
      <c r="AE189">
        <v>1178</v>
      </c>
      <c r="AF189">
        <v>2178</v>
      </c>
      <c r="AG189">
        <v>3178</v>
      </c>
    </row>
    <row r="190" spans="31:33">
      <c r="AE190">
        <v>1179</v>
      </c>
      <c r="AF190">
        <v>2179</v>
      </c>
      <c r="AG190">
        <v>3179</v>
      </c>
    </row>
    <row r="191" spans="31:33">
      <c r="AE191">
        <v>1180</v>
      </c>
      <c r="AF191">
        <v>2180</v>
      </c>
      <c r="AG191">
        <v>3180</v>
      </c>
    </row>
    <row r="192" spans="31:33">
      <c r="AE192">
        <v>1181</v>
      </c>
      <c r="AF192">
        <v>2181</v>
      </c>
      <c r="AG192">
        <v>3181</v>
      </c>
    </row>
    <row r="193" spans="31:33">
      <c r="AE193">
        <v>1182</v>
      </c>
      <c r="AF193">
        <v>2182</v>
      </c>
      <c r="AG193">
        <v>3182</v>
      </c>
    </row>
    <row r="194" spans="31:33">
      <c r="AE194">
        <v>1183</v>
      </c>
      <c r="AF194">
        <v>2183</v>
      </c>
      <c r="AG194">
        <v>3183</v>
      </c>
    </row>
    <row r="195" spans="31:33">
      <c r="AE195">
        <v>1184</v>
      </c>
      <c r="AF195">
        <v>2184</v>
      </c>
      <c r="AG195">
        <v>3184</v>
      </c>
    </row>
    <row r="196" spans="31:33">
      <c r="AE196">
        <v>1185</v>
      </c>
      <c r="AF196">
        <v>2185</v>
      </c>
      <c r="AG196">
        <v>3185</v>
      </c>
    </row>
    <row r="197" spans="31:33">
      <c r="AE197">
        <v>1186</v>
      </c>
      <c r="AF197">
        <v>2186</v>
      </c>
      <c r="AG197">
        <v>3186</v>
      </c>
    </row>
    <row r="198" spans="31:33">
      <c r="AE198">
        <v>1187</v>
      </c>
      <c r="AF198">
        <v>2187</v>
      </c>
      <c r="AG198">
        <v>3187</v>
      </c>
    </row>
    <row r="199" spans="31:33">
      <c r="AE199">
        <v>1188</v>
      </c>
      <c r="AF199">
        <v>2188</v>
      </c>
      <c r="AG199">
        <v>3188</v>
      </c>
    </row>
    <row r="200" spans="31:33">
      <c r="AE200">
        <v>1189</v>
      </c>
      <c r="AF200">
        <v>2189</v>
      </c>
      <c r="AG200">
        <v>3189</v>
      </c>
    </row>
    <row r="201" spans="31:33">
      <c r="AE201">
        <v>1190</v>
      </c>
      <c r="AF201">
        <v>2190</v>
      </c>
      <c r="AG201">
        <v>3190</v>
      </c>
    </row>
    <row r="202" spans="31:33">
      <c r="AE202">
        <v>1191</v>
      </c>
      <c r="AF202">
        <v>2191</v>
      </c>
      <c r="AG202">
        <v>3191</v>
      </c>
    </row>
    <row r="203" spans="31:33">
      <c r="AE203">
        <v>1192</v>
      </c>
      <c r="AF203">
        <v>2192</v>
      </c>
      <c r="AG203">
        <v>3192</v>
      </c>
    </row>
    <row r="204" spans="31:33">
      <c r="AE204">
        <v>1193</v>
      </c>
      <c r="AF204">
        <v>2193</v>
      </c>
      <c r="AG204">
        <v>3193</v>
      </c>
    </row>
    <row r="205" spans="31:33">
      <c r="AE205">
        <v>1194</v>
      </c>
      <c r="AF205">
        <v>2194</v>
      </c>
      <c r="AG205">
        <v>3194</v>
      </c>
    </row>
    <row r="206" spans="31:33">
      <c r="AE206">
        <v>1195</v>
      </c>
      <c r="AF206">
        <v>2195</v>
      </c>
      <c r="AG206">
        <v>3195</v>
      </c>
    </row>
    <row r="207" spans="31:33">
      <c r="AE207">
        <v>1196</v>
      </c>
      <c r="AF207">
        <v>2196</v>
      </c>
      <c r="AG207">
        <v>3196</v>
      </c>
    </row>
    <row r="208" spans="31:33">
      <c r="AE208">
        <v>1197</v>
      </c>
      <c r="AF208">
        <v>2197</v>
      </c>
      <c r="AG208">
        <v>3197</v>
      </c>
    </row>
    <row r="209" spans="31:33">
      <c r="AE209">
        <v>1198</v>
      </c>
      <c r="AF209">
        <v>2198</v>
      </c>
      <c r="AG209">
        <v>3198</v>
      </c>
    </row>
    <row r="210" spans="31:33">
      <c r="AE210">
        <v>1199</v>
      </c>
      <c r="AF210">
        <v>2199</v>
      </c>
      <c r="AG210">
        <v>3199</v>
      </c>
    </row>
    <row r="211" spans="31:33">
      <c r="AE211">
        <v>1200</v>
      </c>
      <c r="AF211">
        <v>2200</v>
      </c>
      <c r="AG211">
        <v>3200</v>
      </c>
    </row>
    <row r="212" spans="31:33">
      <c r="AF212">
        <v>2201</v>
      </c>
      <c r="AG212">
        <v>3201</v>
      </c>
    </row>
    <row r="213" spans="31:33">
      <c r="AF213">
        <v>2202</v>
      </c>
      <c r="AG213">
        <v>3202</v>
      </c>
    </row>
    <row r="214" spans="31:33">
      <c r="AF214">
        <v>2203</v>
      </c>
      <c r="AG214">
        <v>3203</v>
      </c>
    </row>
    <row r="215" spans="31:33">
      <c r="AF215">
        <v>2204</v>
      </c>
      <c r="AG215">
        <v>3204</v>
      </c>
    </row>
    <row r="216" spans="31:33">
      <c r="AF216">
        <v>2205</v>
      </c>
      <c r="AG216">
        <v>3205</v>
      </c>
    </row>
    <row r="217" spans="31:33">
      <c r="AF217">
        <v>2206</v>
      </c>
      <c r="AG217">
        <v>3206</v>
      </c>
    </row>
    <row r="218" spans="31:33">
      <c r="AF218">
        <v>2207</v>
      </c>
      <c r="AG218">
        <v>3207</v>
      </c>
    </row>
    <row r="219" spans="31:33">
      <c r="AF219">
        <v>2208</v>
      </c>
      <c r="AG219">
        <v>3208</v>
      </c>
    </row>
    <row r="220" spans="31:33">
      <c r="AF220">
        <v>2209</v>
      </c>
      <c r="AG220">
        <v>3209</v>
      </c>
    </row>
    <row r="221" spans="31:33">
      <c r="AF221">
        <v>2210</v>
      </c>
      <c r="AG221">
        <v>3210</v>
      </c>
    </row>
    <row r="222" spans="31:33">
      <c r="AF222">
        <v>2211</v>
      </c>
      <c r="AG222">
        <v>3211</v>
      </c>
    </row>
    <row r="223" spans="31:33">
      <c r="AF223">
        <v>2212</v>
      </c>
      <c r="AG223">
        <v>3212</v>
      </c>
    </row>
    <row r="224" spans="31:33">
      <c r="AF224">
        <v>2213</v>
      </c>
      <c r="AG224">
        <v>3213</v>
      </c>
    </row>
    <row r="225" spans="32:33">
      <c r="AF225">
        <v>2214</v>
      </c>
      <c r="AG225">
        <v>3214</v>
      </c>
    </row>
    <row r="226" spans="32:33">
      <c r="AF226">
        <v>2215</v>
      </c>
      <c r="AG226">
        <v>3215</v>
      </c>
    </row>
    <row r="227" spans="32:33">
      <c r="AF227">
        <v>2216</v>
      </c>
      <c r="AG227">
        <v>3216</v>
      </c>
    </row>
    <row r="228" spans="32:33">
      <c r="AF228">
        <v>2217</v>
      </c>
      <c r="AG228">
        <v>3217</v>
      </c>
    </row>
    <row r="229" spans="32:33">
      <c r="AF229">
        <v>2218</v>
      </c>
      <c r="AG229">
        <v>3218</v>
      </c>
    </row>
    <row r="230" spans="32:33">
      <c r="AF230">
        <v>2219</v>
      </c>
      <c r="AG230">
        <v>3219</v>
      </c>
    </row>
    <row r="231" spans="32:33">
      <c r="AF231">
        <v>2220</v>
      </c>
      <c r="AG231">
        <v>3220</v>
      </c>
    </row>
    <row r="232" spans="32:33">
      <c r="AF232">
        <v>2221</v>
      </c>
      <c r="AG232">
        <v>3221</v>
      </c>
    </row>
    <row r="233" spans="32:33">
      <c r="AF233">
        <v>2222</v>
      </c>
      <c r="AG233">
        <v>3222</v>
      </c>
    </row>
    <row r="234" spans="32:33">
      <c r="AF234">
        <v>2223</v>
      </c>
      <c r="AG234">
        <v>3223</v>
      </c>
    </row>
    <row r="235" spans="32:33">
      <c r="AF235">
        <v>2224</v>
      </c>
      <c r="AG235">
        <v>3224</v>
      </c>
    </row>
    <row r="236" spans="32:33">
      <c r="AF236">
        <v>2225</v>
      </c>
      <c r="AG236">
        <v>3225</v>
      </c>
    </row>
    <row r="237" spans="32:33">
      <c r="AF237">
        <v>2226</v>
      </c>
      <c r="AG237">
        <v>3226</v>
      </c>
    </row>
    <row r="238" spans="32:33">
      <c r="AF238">
        <v>2227</v>
      </c>
      <c r="AG238">
        <v>3227</v>
      </c>
    </row>
    <row r="239" spans="32:33">
      <c r="AF239">
        <v>2228</v>
      </c>
      <c r="AG239">
        <v>3228</v>
      </c>
    </row>
    <row r="240" spans="32:33">
      <c r="AF240">
        <v>2229</v>
      </c>
      <c r="AG240">
        <v>3229</v>
      </c>
    </row>
    <row r="241" spans="32:33">
      <c r="AF241">
        <v>2230</v>
      </c>
      <c r="AG241">
        <v>3230</v>
      </c>
    </row>
    <row r="242" spans="32:33">
      <c r="AF242">
        <v>2231</v>
      </c>
      <c r="AG242">
        <v>3231</v>
      </c>
    </row>
    <row r="243" spans="32:33">
      <c r="AF243">
        <v>2232</v>
      </c>
      <c r="AG243">
        <v>3232</v>
      </c>
    </row>
    <row r="244" spans="32:33">
      <c r="AF244">
        <v>2233</v>
      </c>
      <c r="AG244">
        <v>3233</v>
      </c>
    </row>
    <row r="245" spans="32:33">
      <c r="AF245">
        <v>2234</v>
      </c>
      <c r="AG245">
        <v>3234</v>
      </c>
    </row>
    <row r="246" spans="32:33">
      <c r="AF246">
        <v>2235</v>
      </c>
      <c r="AG246">
        <v>3235</v>
      </c>
    </row>
    <row r="247" spans="32:33">
      <c r="AF247">
        <v>2236</v>
      </c>
      <c r="AG247">
        <v>3236</v>
      </c>
    </row>
    <row r="248" spans="32:33">
      <c r="AF248">
        <v>2237</v>
      </c>
      <c r="AG248">
        <v>3237</v>
      </c>
    </row>
    <row r="249" spans="32:33">
      <c r="AF249">
        <v>2238</v>
      </c>
      <c r="AG249">
        <v>3238</v>
      </c>
    </row>
    <row r="250" spans="32:33">
      <c r="AF250">
        <v>2239</v>
      </c>
      <c r="AG250">
        <v>3239</v>
      </c>
    </row>
    <row r="251" spans="32:33">
      <c r="AF251">
        <v>2240</v>
      </c>
      <c r="AG251">
        <v>3240</v>
      </c>
    </row>
    <row r="252" spans="32:33">
      <c r="AF252">
        <v>2241</v>
      </c>
      <c r="AG252">
        <v>3241</v>
      </c>
    </row>
    <row r="253" spans="32:33">
      <c r="AF253">
        <v>2242</v>
      </c>
      <c r="AG253">
        <v>3242</v>
      </c>
    </row>
    <row r="254" spans="32:33">
      <c r="AF254">
        <v>2243</v>
      </c>
      <c r="AG254">
        <v>3243</v>
      </c>
    </row>
    <row r="255" spans="32:33">
      <c r="AF255">
        <v>2244</v>
      </c>
      <c r="AG255">
        <v>3244</v>
      </c>
    </row>
    <row r="256" spans="32:33">
      <c r="AF256">
        <v>2245</v>
      </c>
      <c r="AG256">
        <v>3245</v>
      </c>
    </row>
    <row r="257" spans="32:33">
      <c r="AF257">
        <v>2246</v>
      </c>
      <c r="AG257">
        <v>3246</v>
      </c>
    </row>
    <row r="258" spans="32:33">
      <c r="AF258">
        <v>2247</v>
      </c>
      <c r="AG258">
        <v>3247</v>
      </c>
    </row>
    <row r="259" spans="32:33">
      <c r="AF259">
        <v>2248</v>
      </c>
      <c r="AG259">
        <v>3248</v>
      </c>
    </row>
    <row r="260" spans="32:33">
      <c r="AF260">
        <v>2249</v>
      </c>
      <c r="AG260">
        <v>3249</v>
      </c>
    </row>
    <row r="261" spans="32:33">
      <c r="AF261">
        <v>2250</v>
      </c>
      <c r="AG261">
        <v>3250</v>
      </c>
    </row>
    <row r="262" spans="32:33">
      <c r="AF262">
        <v>2251</v>
      </c>
      <c r="AG262">
        <v>3251</v>
      </c>
    </row>
    <row r="263" spans="32:33">
      <c r="AF263">
        <v>2252</v>
      </c>
      <c r="AG263">
        <v>3252</v>
      </c>
    </row>
    <row r="264" spans="32:33">
      <c r="AF264">
        <v>2253</v>
      </c>
      <c r="AG264">
        <v>3253</v>
      </c>
    </row>
    <row r="265" spans="32:33">
      <c r="AF265">
        <v>2254</v>
      </c>
      <c r="AG265">
        <v>3254</v>
      </c>
    </row>
    <row r="266" spans="32:33">
      <c r="AF266">
        <v>2255</v>
      </c>
      <c r="AG266">
        <v>3255</v>
      </c>
    </row>
    <row r="267" spans="32:33">
      <c r="AF267">
        <v>2256</v>
      </c>
      <c r="AG267">
        <v>3256</v>
      </c>
    </row>
    <row r="268" spans="32:33">
      <c r="AF268">
        <v>2257</v>
      </c>
      <c r="AG268">
        <v>3257</v>
      </c>
    </row>
    <row r="269" spans="32:33">
      <c r="AF269">
        <v>2258</v>
      </c>
      <c r="AG269">
        <v>3258</v>
      </c>
    </row>
    <row r="270" spans="32:33">
      <c r="AF270">
        <v>2259</v>
      </c>
      <c r="AG270">
        <v>3259</v>
      </c>
    </row>
    <row r="271" spans="32:33">
      <c r="AF271">
        <v>2260</v>
      </c>
      <c r="AG271">
        <v>3260</v>
      </c>
    </row>
    <row r="272" spans="32:33">
      <c r="AF272">
        <v>2261</v>
      </c>
      <c r="AG272">
        <v>3261</v>
      </c>
    </row>
    <row r="273" spans="32:33">
      <c r="AF273">
        <v>2262</v>
      </c>
      <c r="AG273">
        <v>3262</v>
      </c>
    </row>
    <row r="274" spans="32:33">
      <c r="AF274">
        <v>2263</v>
      </c>
      <c r="AG274">
        <v>3263</v>
      </c>
    </row>
    <row r="275" spans="32:33">
      <c r="AF275">
        <v>2264</v>
      </c>
      <c r="AG275">
        <v>3264</v>
      </c>
    </row>
    <row r="276" spans="32:33">
      <c r="AF276">
        <v>2265</v>
      </c>
      <c r="AG276">
        <v>3265</v>
      </c>
    </row>
    <row r="277" spans="32:33">
      <c r="AF277">
        <v>2266</v>
      </c>
      <c r="AG277">
        <v>3266</v>
      </c>
    </row>
    <row r="278" spans="32:33">
      <c r="AF278">
        <v>2267</v>
      </c>
      <c r="AG278">
        <v>3267</v>
      </c>
    </row>
    <row r="279" spans="32:33">
      <c r="AF279">
        <v>2268</v>
      </c>
      <c r="AG279">
        <v>3268</v>
      </c>
    </row>
    <row r="280" spans="32:33">
      <c r="AF280">
        <v>2269</v>
      </c>
      <c r="AG280">
        <v>3269</v>
      </c>
    </row>
    <row r="281" spans="32:33">
      <c r="AF281">
        <v>2270</v>
      </c>
      <c r="AG281">
        <v>3270</v>
      </c>
    </row>
    <row r="282" spans="32:33">
      <c r="AF282">
        <v>2271</v>
      </c>
      <c r="AG282">
        <v>3271</v>
      </c>
    </row>
    <row r="283" spans="32:33">
      <c r="AF283">
        <v>2272</v>
      </c>
      <c r="AG283">
        <v>3272</v>
      </c>
    </row>
    <row r="284" spans="32:33">
      <c r="AF284">
        <v>2273</v>
      </c>
      <c r="AG284">
        <v>3273</v>
      </c>
    </row>
    <row r="285" spans="32:33">
      <c r="AF285">
        <v>2274</v>
      </c>
      <c r="AG285">
        <v>3274</v>
      </c>
    </row>
    <row r="286" spans="32:33">
      <c r="AF286">
        <v>2275</v>
      </c>
      <c r="AG286">
        <v>3275</v>
      </c>
    </row>
    <row r="287" spans="32:33">
      <c r="AF287">
        <v>2276</v>
      </c>
      <c r="AG287">
        <v>3276</v>
      </c>
    </row>
    <row r="288" spans="32:33">
      <c r="AF288">
        <v>2277</v>
      </c>
      <c r="AG288">
        <v>3277</v>
      </c>
    </row>
    <row r="289" spans="32:33">
      <c r="AF289">
        <v>2278</v>
      </c>
      <c r="AG289">
        <v>3278</v>
      </c>
    </row>
    <row r="290" spans="32:33">
      <c r="AF290">
        <v>2279</v>
      </c>
      <c r="AG290">
        <v>3279</v>
      </c>
    </row>
    <row r="291" spans="32:33">
      <c r="AF291">
        <v>2280</v>
      </c>
      <c r="AG291">
        <v>3280</v>
      </c>
    </row>
    <row r="292" spans="32:33">
      <c r="AF292">
        <v>2281</v>
      </c>
      <c r="AG292">
        <v>3281</v>
      </c>
    </row>
    <row r="293" spans="32:33">
      <c r="AF293">
        <v>2282</v>
      </c>
      <c r="AG293">
        <v>3282</v>
      </c>
    </row>
    <row r="294" spans="32:33">
      <c r="AF294">
        <v>2283</v>
      </c>
      <c r="AG294">
        <v>3283</v>
      </c>
    </row>
    <row r="295" spans="32:33">
      <c r="AF295">
        <v>2284</v>
      </c>
      <c r="AG295">
        <v>3284</v>
      </c>
    </row>
    <row r="296" spans="32:33">
      <c r="AF296">
        <v>2285</v>
      </c>
      <c r="AG296">
        <v>3285</v>
      </c>
    </row>
    <row r="297" spans="32:33">
      <c r="AF297">
        <v>2286</v>
      </c>
      <c r="AG297">
        <v>3286</v>
      </c>
    </row>
    <row r="298" spans="32:33">
      <c r="AF298">
        <v>2287</v>
      </c>
      <c r="AG298">
        <v>3287</v>
      </c>
    </row>
    <row r="299" spans="32:33">
      <c r="AF299">
        <v>2288</v>
      </c>
      <c r="AG299">
        <v>3288</v>
      </c>
    </row>
    <row r="300" spans="32:33">
      <c r="AF300">
        <v>2289</v>
      </c>
      <c r="AG300">
        <v>3289</v>
      </c>
    </row>
    <row r="301" spans="32:33">
      <c r="AF301">
        <v>2290</v>
      </c>
      <c r="AG301">
        <v>3290</v>
      </c>
    </row>
    <row r="302" spans="32:33">
      <c r="AF302">
        <v>2291</v>
      </c>
      <c r="AG302">
        <v>3291</v>
      </c>
    </row>
    <row r="303" spans="32:33">
      <c r="AF303">
        <v>2292</v>
      </c>
      <c r="AG303">
        <v>3292</v>
      </c>
    </row>
    <row r="304" spans="32:33">
      <c r="AF304">
        <v>2293</v>
      </c>
      <c r="AG304">
        <v>3293</v>
      </c>
    </row>
    <row r="305" spans="32:33">
      <c r="AF305">
        <v>2294</v>
      </c>
      <c r="AG305">
        <v>3294</v>
      </c>
    </row>
    <row r="306" spans="32:33">
      <c r="AF306">
        <v>2295</v>
      </c>
      <c r="AG306">
        <v>3295</v>
      </c>
    </row>
    <row r="307" spans="32:33">
      <c r="AF307">
        <v>2296</v>
      </c>
      <c r="AG307">
        <v>3296</v>
      </c>
    </row>
    <row r="308" spans="32:33">
      <c r="AF308">
        <v>2297</v>
      </c>
      <c r="AG308">
        <v>3297</v>
      </c>
    </row>
    <row r="309" spans="32:33">
      <c r="AF309">
        <v>2298</v>
      </c>
      <c r="AG309">
        <v>3298</v>
      </c>
    </row>
    <row r="310" spans="32:33">
      <c r="AF310">
        <v>2299</v>
      </c>
      <c r="AG310">
        <v>3299</v>
      </c>
    </row>
    <row r="311" spans="32:33">
      <c r="AF311">
        <v>2300</v>
      </c>
      <c r="AG311">
        <v>3300</v>
      </c>
    </row>
    <row r="312" spans="32:33">
      <c r="AF312">
        <v>2301</v>
      </c>
      <c r="AG312">
        <v>3301</v>
      </c>
    </row>
    <row r="313" spans="32:33">
      <c r="AF313">
        <v>2302</v>
      </c>
      <c r="AG313">
        <v>3302</v>
      </c>
    </row>
    <row r="314" spans="32:33">
      <c r="AF314">
        <v>2303</v>
      </c>
      <c r="AG314">
        <v>3303</v>
      </c>
    </row>
    <row r="315" spans="32:33">
      <c r="AF315">
        <v>2304</v>
      </c>
      <c r="AG315">
        <v>3304</v>
      </c>
    </row>
    <row r="316" spans="32:33">
      <c r="AF316">
        <v>2305</v>
      </c>
      <c r="AG316">
        <v>3305</v>
      </c>
    </row>
    <row r="317" spans="32:33">
      <c r="AF317">
        <v>2306</v>
      </c>
      <c r="AG317">
        <v>3306</v>
      </c>
    </row>
    <row r="318" spans="32:33">
      <c r="AF318">
        <v>2307</v>
      </c>
      <c r="AG318">
        <v>3307</v>
      </c>
    </row>
    <row r="319" spans="32:33">
      <c r="AF319">
        <v>2308</v>
      </c>
      <c r="AG319">
        <v>3308</v>
      </c>
    </row>
    <row r="320" spans="32:33">
      <c r="AF320">
        <v>2309</v>
      </c>
      <c r="AG320">
        <v>3309</v>
      </c>
    </row>
    <row r="321" spans="32:33">
      <c r="AF321">
        <v>2310</v>
      </c>
      <c r="AG321">
        <v>3310</v>
      </c>
    </row>
    <row r="322" spans="32:33">
      <c r="AF322">
        <v>2311</v>
      </c>
      <c r="AG322">
        <v>3311</v>
      </c>
    </row>
    <row r="323" spans="32:33">
      <c r="AF323">
        <v>2312</v>
      </c>
      <c r="AG323">
        <v>3312</v>
      </c>
    </row>
    <row r="324" spans="32:33">
      <c r="AF324">
        <v>2313</v>
      </c>
      <c r="AG324">
        <v>3313</v>
      </c>
    </row>
    <row r="325" spans="32:33">
      <c r="AF325">
        <v>2314</v>
      </c>
      <c r="AG325">
        <v>3314</v>
      </c>
    </row>
    <row r="326" spans="32:33">
      <c r="AF326">
        <v>2315</v>
      </c>
      <c r="AG326">
        <v>3315</v>
      </c>
    </row>
    <row r="327" spans="32:33">
      <c r="AF327">
        <v>2316</v>
      </c>
      <c r="AG327">
        <v>3316</v>
      </c>
    </row>
    <row r="328" spans="32:33">
      <c r="AF328">
        <v>2317</v>
      </c>
      <c r="AG328">
        <v>3317</v>
      </c>
    </row>
    <row r="329" spans="32:33">
      <c r="AF329">
        <v>2318</v>
      </c>
      <c r="AG329">
        <v>3318</v>
      </c>
    </row>
    <row r="330" spans="32:33">
      <c r="AF330">
        <v>2319</v>
      </c>
      <c r="AG330">
        <v>3319</v>
      </c>
    </row>
    <row r="331" spans="32:33">
      <c r="AF331">
        <v>2320</v>
      </c>
      <c r="AG331">
        <v>3320</v>
      </c>
    </row>
    <row r="332" spans="32:33">
      <c r="AF332">
        <v>2321</v>
      </c>
      <c r="AG332">
        <v>3321</v>
      </c>
    </row>
    <row r="333" spans="32:33">
      <c r="AF333">
        <v>2322</v>
      </c>
      <c r="AG333">
        <v>3322</v>
      </c>
    </row>
    <row r="334" spans="32:33">
      <c r="AF334">
        <v>2323</v>
      </c>
      <c r="AG334">
        <v>3323</v>
      </c>
    </row>
    <row r="335" spans="32:33">
      <c r="AF335">
        <v>2324</v>
      </c>
      <c r="AG335">
        <v>3324</v>
      </c>
    </row>
    <row r="336" spans="32:33">
      <c r="AF336">
        <v>2325</v>
      </c>
      <c r="AG336">
        <v>3325</v>
      </c>
    </row>
    <row r="337" spans="32:33">
      <c r="AF337">
        <v>2326</v>
      </c>
      <c r="AG337">
        <v>3326</v>
      </c>
    </row>
    <row r="338" spans="32:33">
      <c r="AF338">
        <v>2327</v>
      </c>
      <c r="AG338">
        <v>3327</v>
      </c>
    </row>
    <row r="339" spans="32:33">
      <c r="AF339">
        <v>2328</v>
      </c>
      <c r="AG339">
        <v>3328</v>
      </c>
    </row>
    <row r="340" spans="32:33">
      <c r="AF340">
        <v>2329</v>
      </c>
      <c r="AG340">
        <v>3329</v>
      </c>
    </row>
    <row r="341" spans="32:33">
      <c r="AF341">
        <v>2330</v>
      </c>
      <c r="AG341">
        <v>3330</v>
      </c>
    </row>
    <row r="342" spans="32:33">
      <c r="AF342">
        <v>2331</v>
      </c>
      <c r="AG342">
        <v>3331</v>
      </c>
    </row>
    <row r="343" spans="32:33">
      <c r="AF343">
        <v>2332</v>
      </c>
      <c r="AG343">
        <v>3332</v>
      </c>
    </row>
    <row r="344" spans="32:33">
      <c r="AF344">
        <v>2333</v>
      </c>
      <c r="AG344">
        <v>3333</v>
      </c>
    </row>
    <row r="345" spans="32:33">
      <c r="AF345">
        <v>2334</v>
      </c>
      <c r="AG345">
        <v>3334</v>
      </c>
    </row>
    <row r="346" spans="32:33">
      <c r="AF346">
        <v>2335</v>
      </c>
      <c r="AG346">
        <v>3335</v>
      </c>
    </row>
    <row r="347" spans="32:33">
      <c r="AF347">
        <v>2336</v>
      </c>
      <c r="AG347">
        <v>3336</v>
      </c>
    </row>
    <row r="348" spans="32:33">
      <c r="AF348">
        <v>2337</v>
      </c>
      <c r="AG348">
        <v>3337</v>
      </c>
    </row>
    <row r="349" spans="32:33">
      <c r="AF349">
        <v>2338</v>
      </c>
      <c r="AG349">
        <v>3338</v>
      </c>
    </row>
    <row r="350" spans="32:33">
      <c r="AF350">
        <v>2339</v>
      </c>
      <c r="AG350">
        <v>3339</v>
      </c>
    </row>
    <row r="351" spans="32:33">
      <c r="AF351">
        <v>2340</v>
      </c>
      <c r="AG351">
        <v>3340</v>
      </c>
    </row>
    <row r="352" spans="32:33">
      <c r="AF352">
        <v>2341</v>
      </c>
      <c r="AG352">
        <v>3341</v>
      </c>
    </row>
    <row r="353" spans="32:33">
      <c r="AF353">
        <v>2342</v>
      </c>
      <c r="AG353">
        <v>3342</v>
      </c>
    </row>
    <row r="354" spans="32:33">
      <c r="AF354">
        <v>2343</v>
      </c>
      <c r="AG354">
        <v>3343</v>
      </c>
    </row>
    <row r="355" spans="32:33">
      <c r="AF355">
        <v>2344</v>
      </c>
      <c r="AG355">
        <v>3344</v>
      </c>
    </row>
    <row r="356" spans="32:33">
      <c r="AF356">
        <v>2345</v>
      </c>
      <c r="AG356">
        <v>3345</v>
      </c>
    </row>
    <row r="357" spans="32:33">
      <c r="AF357">
        <v>2346</v>
      </c>
      <c r="AG357">
        <v>3346</v>
      </c>
    </row>
    <row r="358" spans="32:33">
      <c r="AF358">
        <v>2347</v>
      </c>
      <c r="AG358">
        <v>3347</v>
      </c>
    </row>
    <row r="359" spans="32:33">
      <c r="AF359">
        <v>2348</v>
      </c>
      <c r="AG359">
        <v>3348</v>
      </c>
    </row>
    <row r="360" spans="32:33">
      <c r="AF360">
        <v>2349</v>
      </c>
      <c r="AG360">
        <v>3349</v>
      </c>
    </row>
    <row r="361" spans="32:33">
      <c r="AF361">
        <v>2350</v>
      </c>
      <c r="AG361">
        <v>3350</v>
      </c>
    </row>
    <row r="362" spans="32:33">
      <c r="AF362">
        <v>2351</v>
      </c>
      <c r="AG362">
        <v>3351</v>
      </c>
    </row>
    <row r="363" spans="32:33">
      <c r="AF363">
        <v>2352</v>
      </c>
      <c r="AG363">
        <v>3352</v>
      </c>
    </row>
    <row r="364" spans="32:33">
      <c r="AF364">
        <v>2353</v>
      </c>
      <c r="AG364">
        <v>3353</v>
      </c>
    </row>
    <row r="365" spans="32:33">
      <c r="AF365">
        <v>2354</v>
      </c>
      <c r="AG365">
        <v>3354</v>
      </c>
    </row>
    <row r="366" spans="32:33">
      <c r="AF366">
        <v>2355</v>
      </c>
      <c r="AG366">
        <v>3355</v>
      </c>
    </row>
    <row r="367" spans="32:33">
      <c r="AF367">
        <v>2356</v>
      </c>
      <c r="AG367">
        <v>3356</v>
      </c>
    </row>
    <row r="368" spans="32:33">
      <c r="AF368">
        <v>2357</v>
      </c>
      <c r="AG368">
        <v>3357</v>
      </c>
    </row>
    <row r="369" spans="32:33">
      <c r="AF369">
        <v>2358</v>
      </c>
      <c r="AG369">
        <v>3358</v>
      </c>
    </row>
    <row r="370" spans="32:33">
      <c r="AF370">
        <v>2359</v>
      </c>
      <c r="AG370">
        <v>3359</v>
      </c>
    </row>
    <row r="371" spans="32:33">
      <c r="AF371">
        <v>2360</v>
      </c>
      <c r="AG371">
        <v>3360</v>
      </c>
    </row>
    <row r="372" spans="32:33">
      <c r="AF372">
        <v>2361</v>
      </c>
      <c r="AG372">
        <v>3361</v>
      </c>
    </row>
    <row r="373" spans="32:33">
      <c r="AF373">
        <v>2362</v>
      </c>
      <c r="AG373">
        <v>3362</v>
      </c>
    </row>
    <row r="374" spans="32:33">
      <c r="AF374">
        <v>2363</v>
      </c>
      <c r="AG374">
        <v>3363</v>
      </c>
    </row>
    <row r="375" spans="32:33">
      <c r="AF375">
        <v>2364</v>
      </c>
      <c r="AG375">
        <v>3364</v>
      </c>
    </row>
    <row r="376" spans="32:33">
      <c r="AF376">
        <v>2365</v>
      </c>
      <c r="AG376">
        <v>3365</v>
      </c>
    </row>
    <row r="377" spans="32:33">
      <c r="AF377">
        <v>2366</v>
      </c>
      <c r="AG377">
        <v>3366</v>
      </c>
    </row>
    <row r="378" spans="32:33">
      <c r="AF378">
        <v>2367</v>
      </c>
      <c r="AG378">
        <v>3367</v>
      </c>
    </row>
    <row r="379" spans="32:33">
      <c r="AF379">
        <v>2368</v>
      </c>
      <c r="AG379">
        <v>3368</v>
      </c>
    </row>
    <row r="380" spans="32:33">
      <c r="AF380">
        <v>2369</v>
      </c>
      <c r="AG380">
        <v>3369</v>
      </c>
    </row>
    <row r="381" spans="32:33">
      <c r="AF381">
        <v>2370</v>
      </c>
      <c r="AG381">
        <v>3370</v>
      </c>
    </row>
    <row r="382" spans="32:33">
      <c r="AF382">
        <v>2371</v>
      </c>
      <c r="AG382">
        <v>3371</v>
      </c>
    </row>
    <row r="383" spans="32:33">
      <c r="AF383">
        <v>2372</v>
      </c>
      <c r="AG383">
        <v>3372</v>
      </c>
    </row>
    <row r="384" spans="32:33">
      <c r="AF384">
        <v>2373</v>
      </c>
      <c r="AG384">
        <v>3373</v>
      </c>
    </row>
    <row r="385" spans="32:33">
      <c r="AF385">
        <v>2374</v>
      </c>
      <c r="AG385">
        <v>3374</v>
      </c>
    </row>
    <row r="386" spans="32:33">
      <c r="AF386">
        <v>2375</v>
      </c>
      <c r="AG386">
        <v>3375</v>
      </c>
    </row>
    <row r="387" spans="32:33">
      <c r="AF387">
        <v>2376</v>
      </c>
      <c r="AG387">
        <v>3376</v>
      </c>
    </row>
    <row r="388" spans="32:33">
      <c r="AF388">
        <v>2377</v>
      </c>
      <c r="AG388">
        <v>3377</v>
      </c>
    </row>
    <row r="389" spans="32:33">
      <c r="AF389">
        <v>2378</v>
      </c>
      <c r="AG389">
        <v>3378</v>
      </c>
    </row>
    <row r="390" spans="32:33">
      <c r="AF390">
        <v>2379</v>
      </c>
      <c r="AG390">
        <v>3379</v>
      </c>
    </row>
    <row r="391" spans="32:33">
      <c r="AF391">
        <v>2380</v>
      </c>
      <c r="AG391">
        <v>3380</v>
      </c>
    </row>
    <row r="392" spans="32:33">
      <c r="AF392">
        <v>2381</v>
      </c>
      <c r="AG392">
        <v>3381</v>
      </c>
    </row>
    <row r="393" spans="32:33">
      <c r="AF393">
        <v>2382</v>
      </c>
      <c r="AG393">
        <v>3382</v>
      </c>
    </row>
    <row r="394" spans="32:33">
      <c r="AF394">
        <v>2383</v>
      </c>
      <c r="AG394">
        <v>3383</v>
      </c>
    </row>
    <row r="395" spans="32:33">
      <c r="AF395">
        <v>2384</v>
      </c>
      <c r="AG395">
        <v>3384</v>
      </c>
    </row>
    <row r="396" spans="32:33">
      <c r="AF396">
        <v>2385</v>
      </c>
      <c r="AG396">
        <v>3385</v>
      </c>
    </row>
    <row r="397" spans="32:33">
      <c r="AF397">
        <v>2386</v>
      </c>
      <c r="AG397">
        <v>3386</v>
      </c>
    </row>
    <row r="398" spans="32:33">
      <c r="AF398">
        <v>2387</v>
      </c>
      <c r="AG398">
        <v>3387</v>
      </c>
    </row>
    <row r="399" spans="32:33">
      <c r="AF399">
        <v>2388</v>
      </c>
      <c r="AG399">
        <v>3388</v>
      </c>
    </row>
    <row r="400" spans="32:33">
      <c r="AF400">
        <v>2389</v>
      </c>
      <c r="AG400">
        <v>3389</v>
      </c>
    </row>
    <row r="401" spans="32:33">
      <c r="AF401">
        <v>2390</v>
      </c>
      <c r="AG401">
        <v>3390</v>
      </c>
    </row>
    <row r="402" spans="32:33">
      <c r="AF402">
        <v>2391</v>
      </c>
      <c r="AG402">
        <v>3391</v>
      </c>
    </row>
    <row r="403" spans="32:33">
      <c r="AF403">
        <v>2392</v>
      </c>
      <c r="AG403">
        <v>3392</v>
      </c>
    </row>
    <row r="404" spans="32:33">
      <c r="AF404">
        <v>2393</v>
      </c>
      <c r="AG404">
        <v>3393</v>
      </c>
    </row>
    <row r="405" spans="32:33">
      <c r="AF405">
        <v>2394</v>
      </c>
      <c r="AG405">
        <v>3394</v>
      </c>
    </row>
    <row r="406" spans="32:33">
      <c r="AF406">
        <v>2395</v>
      </c>
      <c r="AG406">
        <v>3395</v>
      </c>
    </row>
    <row r="407" spans="32:33">
      <c r="AF407">
        <v>2396</v>
      </c>
      <c r="AG407">
        <v>3396</v>
      </c>
    </row>
    <row r="408" spans="32:33">
      <c r="AF408">
        <v>2397</v>
      </c>
      <c r="AG408">
        <v>3397</v>
      </c>
    </row>
    <row r="409" spans="32:33">
      <c r="AF409">
        <v>2398</v>
      </c>
      <c r="AG409">
        <v>3398</v>
      </c>
    </row>
    <row r="410" spans="32:33">
      <c r="AF410">
        <v>2399</v>
      </c>
      <c r="AG410">
        <v>3399</v>
      </c>
    </row>
    <row r="411" spans="32:33">
      <c r="AF411">
        <v>2400</v>
      </c>
      <c r="AG411">
        <v>3400</v>
      </c>
    </row>
  </sheetData>
  <sheetProtection password="840D" sheet="1" objects="1" scenarios="1" selectLockedCells="1" selectUnlockedCells="1"/>
  <phoneticPr fontId="5" type="noConversion"/>
  <dataValidations count="3">
    <dataValidation type="list" allowBlank="1" showInputMessage="1" showErrorMessage="1" sqref="B6" xr:uid="{00000000-0002-0000-0A00-000000000000}">
      <formula1>"CPCI,PCI,NPCA"</formula1>
    </dataValidation>
    <dataValidation type="list" allowBlank="1" showInputMessage="1" showErrorMessage="1" sqref="C1" xr:uid="{00000000-0002-0000-0A00-000001000000}">
      <formula1>"CPCI Sustainable Plant Tool,North American  Precast Concrete Sustainable Plant Tool"</formula1>
    </dataValidation>
    <dataValidation type="list" allowBlank="1" showInputMessage="1" showErrorMessage="1" sqref="B9" xr:uid="{00000000-0002-0000-0A00-000002000000}">
      <formula1>"Reporting,Survey"</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678432" r:id="rId4" name="Button 32">
              <controlPr defaultSize="0" print="0" autoFill="0" autoPict="0" macro="[0]!VersionPrep">
                <anchor moveWithCells="1" sizeWithCells="1">
                  <from>
                    <xdr:col>0</xdr:col>
                    <xdr:colOff>190500</xdr:colOff>
                    <xdr:row>10</xdr:row>
                    <xdr:rowOff>12700</xdr:rowOff>
                  </from>
                  <to>
                    <xdr:col>1</xdr:col>
                    <xdr:colOff>1143000</xdr:colOff>
                    <xdr:row>12</xdr:row>
                    <xdr:rowOff>101600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dimension ref="B1:BY378"/>
  <sheetViews>
    <sheetView topLeftCell="A7" zoomScale="80" zoomScaleNormal="80" workbookViewId="0">
      <selection activeCell="I6" sqref="I6"/>
    </sheetView>
  </sheetViews>
  <sheetFormatPr baseColWidth="10" defaultColWidth="9.1640625" defaultRowHeight="13"/>
  <cols>
    <col min="1" max="1" width="4" style="249" customWidth="1"/>
    <col min="2" max="2" width="4.6640625" style="249" customWidth="1"/>
    <col min="3" max="3" width="36" style="249" customWidth="1"/>
    <col min="4" max="4" width="22.6640625" style="249" bestFit="1" customWidth="1"/>
    <col min="5" max="5" width="24.83203125" style="249" customWidth="1"/>
    <col min="6" max="6" width="24.5" style="249" bestFit="1" customWidth="1"/>
    <col min="7" max="7" width="25" style="249" bestFit="1" customWidth="1"/>
    <col min="8" max="8" width="25.6640625" style="249" bestFit="1" customWidth="1"/>
    <col min="9" max="10" width="25.6640625" style="249" customWidth="1"/>
    <col min="11" max="11" width="23.5" style="249" bestFit="1" customWidth="1"/>
    <col min="12" max="12" width="25" style="249" bestFit="1" customWidth="1"/>
    <col min="13" max="13" width="16" style="249" bestFit="1" customWidth="1"/>
    <col min="14" max="26" width="9.1640625" style="250" customWidth="1"/>
    <col min="27" max="27" width="9.1640625" style="379" customWidth="1"/>
    <col min="28" max="28" width="9.1640625" style="380" customWidth="1"/>
    <col min="29" max="29" width="9.5" style="380" customWidth="1"/>
    <col min="30" max="30" width="19.6640625" style="380" customWidth="1"/>
    <col min="31" max="32" width="9.1640625" style="380" customWidth="1"/>
    <col min="33" max="33" width="11.1640625" style="380" customWidth="1"/>
    <col min="34" max="34" width="14.5" style="380" customWidth="1"/>
    <col min="35" max="35" width="14.1640625" style="380" customWidth="1"/>
    <col min="36" max="36" width="9.1640625" style="380" customWidth="1"/>
    <col min="37" max="37" width="13.1640625" style="380" customWidth="1"/>
    <col min="38" max="42" width="9.1640625" style="380" customWidth="1"/>
    <col min="43" max="43" width="10.33203125" style="380" customWidth="1"/>
    <col min="44" max="46" width="9.1640625" style="380" customWidth="1"/>
    <col min="47" max="47" width="13.83203125" style="380" customWidth="1"/>
    <col min="48" max="49" width="9.1640625" style="380" customWidth="1"/>
    <col min="50" max="58" width="9.1640625" style="379" customWidth="1"/>
    <col min="59" max="77" width="9.1640625" style="64"/>
    <col min="78" max="16384" width="9.1640625" style="249"/>
  </cols>
  <sheetData>
    <row r="1" spans="2:11" ht="138.75" customHeight="1" thickBot="1"/>
    <row r="2" spans="2:11" ht="21" thickBot="1">
      <c r="B2" s="83" t="s">
        <v>117</v>
      </c>
      <c r="C2" s="84"/>
      <c r="D2" s="84"/>
      <c r="E2" s="84"/>
      <c r="F2" s="84"/>
      <c r="G2" s="84"/>
      <c r="H2" s="85"/>
      <c r="J2" s="3"/>
    </row>
    <row r="3" spans="2:11" ht="20">
      <c r="B3" s="14"/>
      <c r="C3" s="14"/>
      <c r="D3" s="14"/>
      <c r="E3" s="697" t="s">
        <v>71</v>
      </c>
      <c r="F3" s="698"/>
      <c r="G3" s="115"/>
      <c r="H3" s="117"/>
      <c r="J3" s="3"/>
    </row>
    <row r="4" spans="2:11" ht="20">
      <c r="B4" s="14"/>
      <c r="C4" s="14"/>
      <c r="D4" s="14"/>
      <c r="E4" s="699" t="s">
        <v>147</v>
      </c>
      <c r="F4" s="700"/>
      <c r="G4" s="116"/>
      <c r="H4" s="118"/>
      <c r="J4" s="3"/>
    </row>
    <row r="5" spans="2:11" ht="21" thickBot="1">
      <c r="B5" s="658" t="str">
        <f>'Plant Inputs'!C6</f>
        <v>Data Input is 0% Complete</v>
      </c>
      <c r="C5" s="658"/>
      <c r="D5" s="658"/>
      <c r="E5" s="705" t="str">
        <f ca="1">'Welcome and How-to'!B8 &amp; " " &amp; 'Welcome and How-to'!C8 &amp;" " &amp;  'Welcome and How-to'!D8</f>
        <v>2000 Annual 2014</v>
      </c>
      <c r="F5" s="706"/>
      <c r="G5" s="364">
        <f>'Plant Inputs'!G5</f>
        <v>0</v>
      </c>
      <c r="H5" s="365" t="str">
        <f>"Per "&amp;PROPER(MassDisplayUnit)
&amp;" of Precast"</f>
        <v>Per Short Ton of Precast</v>
      </c>
    </row>
    <row r="6" spans="2:11" ht="27.75" customHeight="1">
      <c r="B6" s="54"/>
      <c r="C6" s="54"/>
      <c r="D6" s="54"/>
      <c r="E6" s="707" t="s">
        <v>208</v>
      </c>
      <c r="F6" s="708"/>
      <c r="G6" s="137">
        <f>'Plant Inputs'!G6</f>
        <v>0</v>
      </c>
      <c r="H6" s="138">
        <f>'Plant Inputs'!I6</f>
        <v>0</v>
      </c>
    </row>
    <row r="7" spans="2:11" ht="27.75" customHeight="1">
      <c r="B7" s="54"/>
      <c r="C7" s="54"/>
      <c r="D7" s="54"/>
      <c r="E7" s="701" t="s">
        <v>262</v>
      </c>
      <c r="F7" s="702"/>
      <c r="G7" s="139">
        <f>'Plant Inputs'!G7</f>
        <v>0</v>
      </c>
      <c r="H7" s="138">
        <f>'Plant Inputs'!I7</f>
        <v>0</v>
      </c>
    </row>
    <row r="8" spans="2:11" ht="26.25" customHeight="1" thickBot="1">
      <c r="B8" s="251"/>
      <c r="C8" s="251"/>
      <c r="D8" s="251"/>
      <c r="E8" s="703" t="s">
        <v>80</v>
      </c>
      <c r="F8" s="704"/>
      <c r="G8" s="179">
        <f>'Plant Inputs'!G8</f>
        <v>0</v>
      </c>
      <c r="H8" s="187">
        <f>'Plant Inputs'!I8</f>
        <v>0</v>
      </c>
      <c r="I8" s="251"/>
      <c r="J8" s="251"/>
    </row>
    <row r="9" spans="2:11" ht="26.25" customHeight="1">
      <c r="B9" s="251"/>
      <c r="C9" s="251"/>
      <c r="D9" s="251"/>
      <c r="E9" s="3"/>
      <c r="F9" s="3"/>
      <c r="G9" s="3"/>
      <c r="H9" s="3"/>
      <c r="I9" s="251"/>
      <c r="J9" s="251"/>
    </row>
    <row r="10" spans="2:11" ht="26.25" customHeight="1">
      <c r="B10" s="251"/>
      <c r="C10" s="251"/>
      <c r="D10" s="251"/>
      <c r="E10" s="251"/>
      <c r="F10" s="251"/>
      <c r="G10" s="251"/>
      <c r="H10" s="251"/>
      <c r="I10" s="251"/>
      <c r="J10" s="251"/>
    </row>
    <row r="11" spans="2:11" ht="14" thickBot="1"/>
    <row r="12" spans="2:11" ht="16.5" customHeight="1">
      <c r="B12" s="709" t="s">
        <v>333</v>
      </c>
      <c r="C12" s="710"/>
      <c r="D12" s="710"/>
      <c r="E12" s="710"/>
      <c r="F12" s="710"/>
      <c r="G12" s="710"/>
      <c r="H12" s="710"/>
      <c r="I12" s="710"/>
      <c r="J12" s="711"/>
      <c r="K12" s="252"/>
    </row>
    <row r="13" spans="2:11" ht="16.5" customHeight="1">
      <c r="B13" s="693"/>
      <c r="C13" s="694"/>
      <c r="D13" s="694"/>
      <c r="E13" s="694"/>
      <c r="F13" s="694"/>
      <c r="G13" s="694"/>
      <c r="H13" s="694"/>
      <c r="I13" s="694"/>
      <c r="J13" s="695"/>
      <c r="K13" s="252"/>
    </row>
    <row r="14" spans="2:11" ht="16.5" customHeight="1">
      <c r="B14" s="253"/>
      <c r="C14" s="254"/>
      <c r="D14" s="254"/>
      <c r="E14" s="254"/>
      <c r="F14" s="254"/>
      <c r="G14" s="254"/>
      <c r="H14" s="254"/>
      <c r="I14" s="254"/>
      <c r="J14" s="255"/>
      <c r="K14" s="252"/>
    </row>
    <row r="15" spans="2:11" ht="16.5" customHeight="1">
      <c r="B15" s="693" t="s">
        <v>234</v>
      </c>
      <c r="C15" s="694"/>
      <c r="D15" s="694"/>
      <c r="E15" s="694"/>
      <c r="F15" s="694"/>
      <c r="G15" s="694"/>
      <c r="H15" s="694"/>
      <c r="I15" s="694"/>
      <c r="J15" s="695"/>
      <c r="K15" s="252"/>
    </row>
    <row r="16" spans="2:11" ht="16.5" customHeight="1">
      <c r="B16" s="693" t="s">
        <v>235</v>
      </c>
      <c r="C16" s="694"/>
      <c r="D16" s="694"/>
      <c r="E16" s="694"/>
      <c r="F16" s="694"/>
      <c r="G16" s="694"/>
      <c r="H16" s="694"/>
      <c r="I16" s="694"/>
      <c r="J16" s="695"/>
      <c r="K16" s="252"/>
    </row>
    <row r="17" spans="2:77" ht="16.5" customHeight="1">
      <c r="B17" s="693" t="s">
        <v>236</v>
      </c>
      <c r="C17" s="694"/>
      <c r="D17" s="694"/>
      <c r="E17" s="694"/>
      <c r="F17" s="694"/>
      <c r="G17" s="694"/>
      <c r="H17" s="694"/>
      <c r="I17" s="694"/>
      <c r="J17" s="695"/>
      <c r="K17" s="252"/>
    </row>
    <row r="18" spans="2:77" ht="16.5" customHeight="1">
      <c r="B18" s="693" t="s">
        <v>237</v>
      </c>
      <c r="C18" s="694"/>
      <c r="D18" s="694"/>
      <c r="E18" s="694"/>
      <c r="F18" s="694"/>
      <c r="G18" s="694"/>
      <c r="H18" s="694"/>
      <c r="I18" s="694"/>
      <c r="J18" s="695"/>
      <c r="K18" s="252"/>
    </row>
    <row r="19" spans="2:77" ht="16.5" customHeight="1">
      <c r="B19" s="693"/>
      <c r="C19" s="694"/>
      <c r="D19" s="694"/>
      <c r="E19" s="694"/>
      <c r="F19" s="694"/>
      <c r="G19" s="694"/>
      <c r="H19" s="694"/>
      <c r="I19" s="694"/>
      <c r="J19" s="695"/>
      <c r="K19" s="252"/>
    </row>
    <row r="20" spans="2:77" ht="16.5" customHeight="1">
      <c r="B20" s="693"/>
      <c r="C20" s="694"/>
      <c r="D20" s="694"/>
      <c r="E20" s="694"/>
      <c r="F20" s="694"/>
      <c r="G20" s="694"/>
      <c r="H20" s="694"/>
      <c r="I20" s="694"/>
      <c r="J20" s="695"/>
      <c r="K20" s="252"/>
    </row>
    <row r="21" spans="2:77" ht="16.5" customHeight="1">
      <c r="B21" s="693" t="s">
        <v>238</v>
      </c>
      <c r="C21" s="694"/>
      <c r="D21" s="694"/>
      <c r="E21" s="694"/>
      <c r="F21" s="694"/>
      <c r="G21" s="694"/>
      <c r="H21" s="694"/>
      <c r="I21" s="694"/>
      <c r="J21" s="695"/>
      <c r="K21" s="252"/>
    </row>
    <row r="22" spans="2:77" ht="16.5" customHeight="1">
      <c r="B22" s="693"/>
      <c r="C22" s="694"/>
      <c r="D22" s="694"/>
      <c r="E22" s="694"/>
      <c r="F22" s="694"/>
      <c r="G22" s="694"/>
      <c r="H22" s="694"/>
      <c r="I22" s="694"/>
      <c r="J22" s="695"/>
      <c r="K22" s="252"/>
    </row>
    <row r="23" spans="2:77" ht="16.5" customHeight="1">
      <c r="B23" s="693"/>
      <c r="C23" s="694"/>
      <c r="D23" s="694"/>
      <c r="E23" s="694"/>
      <c r="F23" s="694"/>
      <c r="G23" s="694"/>
      <c r="H23" s="694"/>
      <c r="I23" s="694"/>
      <c r="J23" s="695"/>
      <c r="K23" s="252"/>
    </row>
    <row r="24" spans="2:77" ht="16.5" customHeight="1">
      <c r="B24" s="693" t="s">
        <v>334</v>
      </c>
      <c r="C24" s="694"/>
      <c r="D24" s="694"/>
      <c r="E24" s="694"/>
      <c r="F24" s="694"/>
      <c r="G24" s="694"/>
      <c r="H24" s="694"/>
      <c r="I24" s="694"/>
      <c r="J24" s="695"/>
      <c r="K24" s="252"/>
    </row>
    <row r="25" spans="2:77" ht="16.5" customHeight="1" thickBot="1">
      <c r="B25" s="256"/>
      <c r="C25" s="257"/>
      <c r="D25" s="257"/>
      <c r="E25" s="257"/>
      <c r="F25" s="257"/>
      <c r="G25" s="257"/>
      <c r="H25" s="257"/>
      <c r="I25" s="257"/>
      <c r="J25" s="258"/>
      <c r="K25" s="252"/>
    </row>
    <row r="26" spans="2:77" ht="12.75" customHeight="1">
      <c r="B26" s="366"/>
      <c r="C26" s="366"/>
      <c r="D26" s="366"/>
      <c r="E26" s="366"/>
      <c r="F26" s="366"/>
      <c r="G26" s="366"/>
      <c r="H26" s="366"/>
      <c r="I26" s="366"/>
      <c r="J26" s="366"/>
      <c r="K26" s="252"/>
    </row>
    <row r="27" spans="2:77" ht="16">
      <c r="B27" s="696" t="s">
        <v>74</v>
      </c>
      <c r="C27" s="696"/>
      <c r="D27" s="696"/>
      <c r="E27" s="696"/>
      <c r="F27" s="696"/>
      <c r="G27" s="696"/>
      <c r="H27" s="696"/>
      <c r="I27" s="696"/>
      <c r="J27" s="696"/>
      <c r="K27" s="252"/>
    </row>
    <row r="28" spans="2:77" ht="13.5" customHeight="1">
      <c r="B28" s="366"/>
      <c r="C28" s="366"/>
      <c r="D28" s="366"/>
      <c r="E28" s="366"/>
      <c r="F28" s="366"/>
      <c r="G28" s="366"/>
      <c r="H28" s="366"/>
      <c r="I28" s="366"/>
      <c r="J28" s="366"/>
      <c r="K28" s="252"/>
    </row>
    <row r="29" spans="2:77" ht="15.75" customHeight="1"/>
    <row r="30" spans="2:77" ht="14" thickBot="1"/>
    <row r="31" spans="2:77" s="11" customFormat="1" ht="19" thickBot="1">
      <c r="B31" s="259" t="s">
        <v>571</v>
      </c>
      <c r="C31" s="260"/>
      <c r="D31" s="260"/>
      <c r="E31" s="260"/>
      <c r="F31" s="260"/>
      <c r="G31" s="260"/>
      <c r="H31" s="260"/>
      <c r="I31" s="260"/>
      <c r="J31" s="260"/>
      <c r="K31" s="260"/>
      <c r="L31" s="261"/>
      <c r="M31" s="249"/>
      <c r="N31" s="262"/>
      <c r="O31" s="262"/>
      <c r="P31" s="262"/>
      <c r="Q31" s="262"/>
      <c r="R31" s="262"/>
      <c r="S31" s="262"/>
      <c r="T31" s="262"/>
      <c r="U31" s="262"/>
      <c r="V31" s="262"/>
      <c r="W31" s="262"/>
      <c r="X31" s="262"/>
      <c r="Y31" s="262"/>
      <c r="Z31" s="262"/>
      <c r="AA31" s="381"/>
      <c r="AB31" s="382"/>
      <c r="AC31" s="382"/>
      <c r="AD31" s="382"/>
      <c r="AE31" s="382"/>
      <c r="AF31" s="382"/>
      <c r="AG31" s="382"/>
      <c r="AH31" s="382"/>
      <c r="AI31" s="382"/>
      <c r="AJ31" s="382"/>
      <c r="AK31" s="382"/>
      <c r="AL31" s="382"/>
      <c r="AM31" s="382"/>
      <c r="AN31" s="382"/>
      <c r="AO31" s="382"/>
      <c r="AP31" s="382"/>
      <c r="AQ31" s="382"/>
      <c r="AR31" s="382"/>
      <c r="AS31" s="382"/>
      <c r="AT31" s="382"/>
      <c r="AU31" s="382"/>
      <c r="AV31" s="382"/>
      <c r="AW31" s="382"/>
      <c r="AX31" s="381"/>
      <c r="AY31" s="381"/>
      <c r="AZ31" s="381"/>
      <c r="BA31" s="381"/>
      <c r="BB31" s="381"/>
      <c r="BC31" s="381"/>
      <c r="BD31" s="381"/>
      <c r="BE31" s="381"/>
      <c r="BF31" s="381"/>
      <c r="BG31" s="383"/>
      <c r="BH31" s="383"/>
      <c r="BI31" s="383"/>
      <c r="BJ31" s="383"/>
      <c r="BK31" s="383"/>
      <c r="BL31" s="383"/>
      <c r="BM31" s="383"/>
      <c r="BN31" s="383"/>
      <c r="BO31" s="383"/>
      <c r="BP31" s="383"/>
      <c r="BQ31" s="383"/>
      <c r="BR31" s="383"/>
      <c r="BS31" s="383"/>
      <c r="BT31" s="383"/>
      <c r="BU31" s="383"/>
      <c r="BV31" s="383"/>
      <c r="BW31" s="383"/>
      <c r="BX31" s="383"/>
      <c r="BY31" s="383"/>
    </row>
    <row r="33" spans="15:15" hidden="1"/>
    <row r="34" spans="15:15" hidden="1"/>
    <row r="35" spans="15:15" hidden="1">
      <c r="O35" s="263"/>
    </row>
    <row r="36" spans="15:15" hidden="1"/>
    <row r="37" spans="15:15" hidden="1"/>
    <row r="38" spans="15:15" hidden="1"/>
    <row r="39" spans="15:15" hidden="1"/>
    <row r="40" spans="15:15" hidden="1"/>
    <row r="41" spans="15:15" hidden="1"/>
    <row r="42" spans="15:15" hidden="1"/>
    <row r="43" spans="15:15" hidden="1"/>
    <row r="44" spans="15:15" hidden="1"/>
    <row r="45" spans="15:15" hidden="1"/>
    <row r="46" spans="15:15" hidden="1"/>
    <row r="47" spans="15:15" hidden="1"/>
    <row r="48" spans="15:15" hidden="1"/>
    <row r="49" spans="3:8" hidden="1"/>
    <row r="50" spans="3:8" hidden="1"/>
    <row r="51" spans="3:8" hidden="1"/>
    <row r="52" spans="3:8" hidden="1"/>
    <row r="53" spans="3:8" hidden="1"/>
    <row r="54" spans="3:8" hidden="1"/>
    <row r="55" spans="3:8" hidden="1"/>
    <row r="56" spans="3:8" hidden="1"/>
    <row r="57" spans="3:8" hidden="1"/>
    <row r="58" spans="3:8" hidden="1"/>
    <row r="59" spans="3:8" hidden="1"/>
    <row r="60" spans="3:8" hidden="1">
      <c r="D60" s="264"/>
    </row>
    <row r="62" spans="3:8" ht="15">
      <c r="D62" s="265"/>
      <c r="E62" s="266" t="s">
        <v>576</v>
      </c>
      <c r="F62" s="267"/>
      <c r="H62" s="485" t="s">
        <v>667</v>
      </c>
    </row>
    <row r="63" spans="3:8">
      <c r="C63" s="265" t="s">
        <v>572</v>
      </c>
      <c r="D63" s="268" t="str">
        <f>"Total ("&amp;MassDisplayUnit&amp;")"</f>
        <v>Total (short ton)</v>
      </c>
      <c r="E63" s="269" t="str">
        <f>TRACIPerTonneDisplayUnit &amp; "/"&amp;MassDisplayUnit&amp;" precast"</f>
        <v>lbs/short ton precast</v>
      </c>
      <c r="F63" s="270" t="s">
        <v>67</v>
      </c>
      <c r="H63" s="249" t="str">
        <f>"CO₂e Emissions by Contribution 
("&amp;TRACIPerTonneDisplayUnit&amp;"/"&amp;MassDisplayUnit&amp;" precast)"</f>
        <v>CO₂e Emissions by Contribution 
(lbs/short ton precast)</v>
      </c>
    </row>
    <row r="64" spans="3:8">
      <c r="C64" s="271" t="s">
        <v>121</v>
      </c>
      <c r="D64" s="272">
        <f>'Plant Inputs'!$AX$68*INDEX(Conversion_Table,MATCH(TRACICalcUnit,Conversion_Rows,0),MATCH(TRACITotalDisplayUnit,Conversion_Columns,0))</f>
        <v>0</v>
      </c>
      <c r="E64" s="273">
        <f>IF('Plant Inputs'!$AR$22=0,0,'Plant Inputs'!$AX$68*INDEX(Conversion_Table,MATCH(TRACICalcUnit,Conversion_Rows,0),MATCH(TRACIPerTonneDisplayUnit,Conversion_Columns,0))/'Plant Inputs'!$AT$22)</f>
        <v>0</v>
      </c>
      <c r="F64" s="274">
        <f>IF($D$67=0,0,D64/$D$67)</f>
        <v>0</v>
      </c>
      <c r="H64" s="485" t="s">
        <v>668</v>
      </c>
    </row>
    <row r="65" spans="2:77">
      <c r="C65" s="271" t="s">
        <v>573</v>
      </c>
      <c r="D65" s="272">
        <f>'Plant Inputs'!$BM$71*INDEX(Conversion_Table,MATCH(TRACICalcUnit,Conversion_Rows,0),MATCH(TRACITotalDisplayUnit,Conversion_Columns,0))</f>
        <v>0</v>
      </c>
      <c r="E65" s="273">
        <f>IF('Plant Inputs'!$AR$22=0,0,'Plant Inputs'!$BM$71*INDEX(Conversion_Table,MATCH(TRACICalcUnit,Conversion_Rows,0),MATCH(TRACIPerTonneDisplayUnit,Conversion_Columns,0))/'Plant Inputs'!$AT$22)</f>
        <v>0</v>
      </c>
      <c r="F65" s="274">
        <f>IF($D$67=0,0,D65/$D$67)</f>
        <v>0</v>
      </c>
      <c r="H65" s="249" t="str">
        <f>TRACIPerTonneDisplayUnit&amp;"/"&amp;MassDisplayUnit</f>
        <v>lbs/short ton</v>
      </c>
    </row>
    <row r="66" spans="2:77">
      <c r="C66" s="271" t="s">
        <v>220</v>
      </c>
      <c r="D66" s="272">
        <f>'Plant Inputs'!$AU$87*INDEX(Conversion_Table,MATCH(TRACICalcUnit,Conversion_Rows,0),MATCH(TRACITotalDisplayUnit,Conversion_Columns,0))</f>
        <v>0</v>
      </c>
      <c r="E66" s="273">
        <f>IF('Plant Inputs'!$AR$22=0,0,'Plant Inputs'!$AU$87*INDEX(Conversion_Table,MATCH(TRACICalcUnit,Conversion_Rows,0),MATCH(TRACIPerTonneDisplayUnit,Conversion_Columns,0))/'Plant Inputs'!$AT$22)</f>
        <v>0</v>
      </c>
      <c r="F66" s="274">
        <f>IF($D$67=0,0,D66/$D$67)</f>
        <v>0</v>
      </c>
    </row>
    <row r="67" spans="2:77">
      <c r="C67" s="275" t="s">
        <v>19</v>
      </c>
      <c r="D67" s="276">
        <f>SUM(D64:D66)</f>
        <v>0</v>
      </c>
      <c r="E67" s="277">
        <f>SUM(E64:E66)</f>
        <v>0</v>
      </c>
      <c r="F67" s="278">
        <f>SUM(F64:F66)</f>
        <v>0</v>
      </c>
    </row>
    <row r="68" spans="2:77" ht="14" thickBot="1"/>
    <row r="69" spans="2:77" s="11" customFormat="1" ht="19" thickBot="1">
      <c r="B69" s="259" t="s">
        <v>226</v>
      </c>
      <c r="C69" s="260"/>
      <c r="D69" s="260"/>
      <c r="E69" s="260"/>
      <c r="F69" s="260"/>
      <c r="G69" s="260"/>
      <c r="H69" s="260"/>
      <c r="I69" s="260"/>
      <c r="J69" s="260"/>
      <c r="K69" s="260"/>
      <c r="L69" s="261"/>
      <c r="M69" s="249"/>
      <c r="N69" s="262"/>
      <c r="O69" s="262"/>
      <c r="P69" s="262"/>
      <c r="Q69" s="262"/>
      <c r="R69" s="262"/>
      <c r="S69" s="262"/>
      <c r="T69" s="262"/>
      <c r="U69" s="262"/>
      <c r="V69" s="262"/>
      <c r="W69" s="262"/>
      <c r="X69" s="262"/>
      <c r="Y69" s="262"/>
      <c r="Z69" s="262"/>
      <c r="AA69" s="381"/>
      <c r="AB69" s="382"/>
      <c r="AC69" s="382"/>
      <c r="AD69" s="382"/>
      <c r="AE69" s="382"/>
      <c r="AF69" s="382"/>
      <c r="AG69" s="382"/>
      <c r="AH69" s="382"/>
      <c r="AI69" s="382"/>
      <c r="AJ69" s="382"/>
      <c r="AK69" s="382"/>
      <c r="AL69" s="382"/>
      <c r="AM69" s="382"/>
      <c r="AN69" s="382"/>
      <c r="AO69" s="382"/>
      <c r="AP69" s="382"/>
      <c r="AQ69" s="382"/>
      <c r="AR69" s="382"/>
      <c r="AS69" s="382"/>
      <c r="AT69" s="382"/>
      <c r="AU69" s="382"/>
      <c r="AV69" s="382"/>
      <c r="AW69" s="382"/>
      <c r="AX69" s="381"/>
      <c r="AY69" s="381"/>
      <c r="AZ69" s="381"/>
      <c r="BA69" s="381"/>
      <c r="BB69" s="381"/>
      <c r="BC69" s="381"/>
      <c r="BD69" s="381"/>
      <c r="BE69" s="381"/>
      <c r="BF69" s="381"/>
      <c r="BG69" s="383"/>
      <c r="BH69" s="383"/>
      <c r="BI69" s="383"/>
      <c r="BJ69" s="383"/>
      <c r="BK69" s="383"/>
      <c r="BL69" s="383"/>
      <c r="BM69" s="383"/>
      <c r="BN69" s="383"/>
      <c r="BO69" s="383"/>
      <c r="BP69" s="383"/>
      <c r="BQ69" s="383"/>
      <c r="BR69" s="383"/>
      <c r="BS69" s="383"/>
      <c r="BT69" s="383"/>
      <c r="BU69" s="383"/>
      <c r="BV69" s="383"/>
      <c r="BW69" s="383"/>
      <c r="BX69" s="383"/>
      <c r="BY69" s="383"/>
    </row>
    <row r="71" spans="2:77" hidden="1"/>
    <row r="72" spans="2:77" hidden="1"/>
    <row r="73" spans="2:77" hidden="1"/>
    <row r="74" spans="2:77" hidden="1"/>
    <row r="75" spans="2:77" hidden="1"/>
    <row r="76" spans="2:77" hidden="1"/>
    <row r="77" spans="2:77" hidden="1"/>
    <row r="78" spans="2:77" hidden="1"/>
    <row r="79" spans="2:77" hidden="1"/>
    <row r="80" spans="2:77" hidden="1"/>
    <row r="81" hidden="1"/>
    <row r="82" hidden="1"/>
    <row r="83" hidden="1"/>
    <row r="84" hidden="1"/>
    <row r="85" hidden="1"/>
    <row r="86" hidden="1"/>
    <row r="87" hidden="1"/>
    <row r="88" hidden="1"/>
    <row r="89" hidden="1"/>
    <row r="90" hidden="1"/>
    <row r="91" hidden="1"/>
    <row r="92" hidden="1"/>
    <row r="93" hidden="1"/>
    <row r="94" hidden="1"/>
    <row r="95" hidden="1"/>
    <row r="96" hidden="1"/>
    <row r="97" spans="3:54" hidden="1"/>
    <row r="98" spans="3:54" hidden="1"/>
    <row r="99" spans="3:54" hidden="1"/>
    <row r="100" spans="3:54">
      <c r="H100" s="485" t="s">
        <v>667</v>
      </c>
    </row>
    <row r="101" spans="3:54">
      <c r="H101" s="249" t="str">
        <f>"CO₂e Emissions by Material 
("&amp;TRACITotalDisplayUnit&amp;"/"&amp;MassDisplayUnit&amp;" precast)"</f>
        <v>CO₂e Emissions by Material 
(short ton/short ton precast)</v>
      </c>
    </row>
    <row r="102" spans="3:54">
      <c r="D102" s="279" t="s">
        <v>233</v>
      </c>
      <c r="H102" s="485" t="s">
        <v>668</v>
      </c>
    </row>
    <row r="103" spans="3:54">
      <c r="D103" s="280">
        <f>'Principal Summary'!D103</f>
        <v>0.01</v>
      </c>
      <c r="H103" s="249" t="str">
        <f>TRACITotalDisplayUnit&amp;"/"&amp;MassDisplayUnit</f>
        <v>short ton/short ton</v>
      </c>
      <c r="AC103" s="384" t="s">
        <v>231</v>
      </c>
      <c r="AD103" s="385">
        <f>D103</f>
        <v>0.01</v>
      </c>
    </row>
    <row r="105" spans="3:54" ht="14.25" customHeight="1">
      <c r="AD105" s="724" t="s">
        <v>19</v>
      </c>
      <c r="AE105" s="724"/>
      <c r="AF105" s="724"/>
      <c r="AG105" s="724"/>
      <c r="AN105" s="724" t="str">
        <f>"Per " &amp;MassDisplayUnit</f>
        <v>Per short ton</v>
      </c>
      <c r="AO105" s="724"/>
      <c r="AP105" s="724"/>
      <c r="AQ105" s="724"/>
    </row>
    <row r="106" spans="3:54" ht="13.5" customHeight="1">
      <c r="D106" s="281"/>
      <c r="E106" s="282" t="str">
        <f>"Material Manufacturing &amp; Transportation GWP ("&amp;TRACITotalDisplayUnit&amp;" CO₂e)"</f>
        <v>Material Manufacturing &amp; Transportation GWP (short ton CO₂e)</v>
      </c>
      <c r="F106" s="283"/>
      <c r="G106" s="284"/>
      <c r="H106" s="285" t="str">
        <f>"Material Manufacturing &amp; Transportation GWP ("&amp;TRACIPerTonneDisplayUnit&amp;" CO₂e/"&amp;MassDisplayUnit&amp;" of precast)"</f>
        <v>Material Manufacturing &amp; Transportation GWP (lbs CO₂e/short ton of precast)</v>
      </c>
      <c r="I106" s="286"/>
      <c r="J106" s="287"/>
      <c r="K106" s="288" t="s">
        <v>67</v>
      </c>
      <c r="L106" s="289"/>
      <c r="AD106" s="380" t="s">
        <v>224</v>
      </c>
      <c r="AE106" s="380" t="s">
        <v>225</v>
      </c>
      <c r="AF106" s="380" t="s">
        <v>222</v>
      </c>
      <c r="AN106" s="380" t="s">
        <v>224</v>
      </c>
      <c r="AO106" s="380" t="s">
        <v>225</v>
      </c>
      <c r="AP106" s="380" t="s">
        <v>222</v>
      </c>
    </row>
    <row r="107" spans="3:54" ht="13.5" customHeight="1">
      <c r="C107" s="290" t="s">
        <v>5</v>
      </c>
      <c r="D107" s="291" t="s">
        <v>5</v>
      </c>
      <c r="E107" s="291" t="s">
        <v>38</v>
      </c>
      <c r="F107" s="291" t="s">
        <v>19</v>
      </c>
      <c r="G107" s="269" t="s">
        <v>5</v>
      </c>
      <c r="H107" s="269" t="s">
        <v>38</v>
      </c>
      <c r="I107" s="269" t="s">
        <v>19</v>
      </c>
      <c r="J107" s="270" t="s">
        <v>5</v>
      </c>
      <c r="K107" s="270" t="s">
        <v>38</v>
      </c>
      <c r="L107" s="270" t="s">
        <v>19</v>
      </c>
      <c r="AD107" s="380" t="str">
        <f>TRACITotalDisplayUnit</f>
        <v>short ton</v>
      </c>
      <c r="AE107" s="380" t="str">
        <f>TRACITotalDisplayUnit</f>
        <v>short ton</v>
      </c>
      <c r="AF107" s="380" t="str">
        <f>TRACITotalDisplayUnit</f>
        <v>short ton</v>
      </c>
      <c r="AG107" s="380" t="s">
        <v>153</v>
      </c>
      <c r="AH107" s="386"/>
      <c r="AI107" s="386"/>
      <c r="AK107" s="380" t="s">
        <v>227</v>
      </c>
      <c r="AL107" s="384"/>
      <c r="AN107" s="380" t="str">
        <f>TRACIPerTonneDisplayUnit&amp;"/"&amp;MassDisplayUnit</f>
        <v>lbs/short ton</v>
      </c>
      <c r="AO107" s="380" t="str">
        <f>TRACIPerTonneDisplayUnit&amp;"/"&amp;MassDisplayUnit</f>
        <v>lbs/short ton</v>
      </c>
      <c r="AP107" s="380" t="str">
        <f>TRACIPerTonneDisplayUnit&amp;"/"&amp;MassDisplayUnit</f>
        <v>lbs/short ton</v>
      </c>
      <c r="AQ107" s="380" t="s">
        <v>153</v>
      </c>
      <c r="AS107" s="386"/>
      <c r="AU107" s="380" t="s">
        <v>228</v>
      </c>
      <c r="AV107" s="384"/>
    </row>
    <row r="108" spans="3:54" ht="15">
      <c r="C108" s="292" t="str">
        <f>'Plant Inputs'!D30</f>
        <v>Portland Cement</v>
      </c>
      <c r="D108" s="293">
        <f>AD108</f>
        <v>0</v>
      </c>
      <c r="E108" s="293">
        <f>AE108</f>
        <v>0</v>
      </c>
      <c r="F108" s="293">
        <f>AF108</f>
        <v>0</v>
      </c>
      <c r="G108" s="294">
        <f>AN108</f>
        <v>0</v>
      </c>
      <c r="H108" s="294">
        <f>AO108</f>
        <v>0</v>
      </c>
      <c r="I108" s="294">
        <f>AP108</f>
        <v>0</v>
      </c>
      <c r="J108" s="295">
        <f t="shared" ref="J108:J142" si="0">IF(D$143=0,0,D108/D$143)</f>
        <v>0</v>
      </c>
      <c r="K108" s="295">
        <f t="shared" ref="K108:K142" si="1">IF(E$143=0,0,E108/E$143)</f>
        <v>0</v>
      </c>
      <c r="L108" s="295">
        <f t="shared" ref="L108:L142" si="2">IF(F$143=0,0,F108/F$143)</f>
        <v>0</v>
      </c>
      <c r="AB108" s="380">
        <f>'Plant Inputs'!C30</f>
        <v>1</v>
      </c>
      <c r="AC108" s="384" t="str">
        <f>'Plant Inputs'!D30</f>
        <v>Portland Cement</v>
      </c>
      <c r="AD108" s="380">
        <f>IF('Plant Inputs'!$AR$22=0,0,'Plant Inputs'!$AX30*INDEX(Conversion_Table,MATCH(TRACICalcUnit,Conversion_Rows,0),MATCH(AD$107,Conversion_Columns,0)))</f>
        <v>0</v>
      </c>
      <c r="AE108" s="380">
        <f>IF('Plant Inputs'!$AR$22=0,0,'Plant Inputs'!$DQ30*INDEX(Conversion_Table,MATCH(TRACICalcUnit,Conversion_Rows,0),MATCH(AE$107,Conversion_Columns,0)))</f>
        <v>0</v>
      </c>
      <c r="AF108" s="387">
        <f>AE108+AD108</f>
        <v>0</v>
      </c>
      <c r="AG108" s="388">
        <f t="shared" ref="AG108:AG142" si="3">IF($AF$143=0,0,AF108/$AF$143)</f>
        <v>0</v>
      </c>
      <c r="AH108" s="380" t="str">
        <f t="shared" ref="AH108:AH142" si="4">IF(AG108&gt;$AD$103,AC108,"")</f>
        <v/>
      </c>
      <c r="AI108" s="387" t="str">
        <f>IF(AG108&gt;=$AD$103,AF108-ROW()/1000000000000,"")</f>
        <v/>
      </c>
      <c r="AJ108" s="380">
        <f t="shared" ref="AJ108:AJ142" si="5">IF(AG108&lt;$AD$103,AF108,"")</f>
        <v>0</v>
      </c>
      <c r="AK108" s="380" t="str">
        <f t="shared" ref="AK108:AK142" si="6">IF($AL108="","",INDEX($AH$108:$AH$145,MATCH(AL108,$AI$108:$AI$145,0)))</f>
        <v/>
      </c>
      <c r="AL108" s="387" t="str">
        <f t="shared" ref="AL108:AL142" si="7">IFERROR(LARGE($AI$108:$AI$145,$AB108),"")</f>
        <v/>
      </c>
      <c r="AM108" s="389"/>
      <c r="AN108" s="390">
        <f>IF('Plant Inputs'!$AR$22=0,0,'Plant Inputs'!$AX30*INDEX(Conversion_Table,MATCH(TRACICalcUnit,Conversion_Rows,0),MATCH(TRACIPerTonneDisplayUnit,Conversion_Columns,0))/'Plant Inputs'!$AT$22)</f>
        <v>0</v>
      </c>
      <c r="AO108" s="390">
        <f>IF('Plant Inputs'!$AR$22=0,0,'Plant Inputs'!$DQ30*INDEX(Conversion_Table,MATCH(TRACICalcUnit,Conversion_Rows,0),MATCH(TRACIPerTonneDisplayUnit,Conversion_Columns,0))/'Plant Inputs'!$AT$22)</f>
        <v>0</v>
      </c>
      <c r="AP108" s="390">
        <f>AO108+AN108</f>
        <v>0</v>
      </c>
      <c r="AQ108" s="388">
        <f t="shared" ref="AQ108:AQ142" si="8">IF($AP$143=0,0,AP108/$AP$143)</f>
        <v>0</v>
      </c>
      <c r="AR108" s="380" t="str">
        <f>IF(AQ108&gt;$AD$103,$AC108,"")</f>
        <v/>
      </c>
      <c r="AS108" s="387" t="str">
        <f>IF(AQ108&gt;=$AD$103,AP108-ROW()/1000000000000,"")</f>
        <v/>
      </c>
      <c r="AT108" s="387">
        <f>IF(AQ108&lt;$AD$103,AP108,"")</f>
        <v>0</v>
      </c>
      <c r="AU108" s="380" t="str">
        <f t="shared" ref="AU108:AU142" si="9">IF($AV108="","",INDEX($AR$108:$AR$145,MATCH(AV108,$AS$108:$AS$145,0)))</f>
        <v/>
      </c>
      <c r="AV108" s="387" t="str">
        <f t="shared" ref="AV108:AV142" si="10">IFERROR(LARGE($AS$108:$AS$145,$AB108),"")</f>
        <v/>
      </c>
      <c r="AW108" s="389"/>
      <c r="AX108" s="391"/>
      <c r="AY108" s="391"/>
      <c r="AZ108" s="391"/>
      <c r="BA108" s="391"/>
      <c r="BB108" s="391"/>
    </row>
    <row r="109" spans="3:54" ht="15">
      <c r="C109" s="292" t="str">
        <f>'Plant Inputs'!D31</f>
        <v>Portland Limestone Cement (PLC)</v>
      </c>
      <c r="D109" s="293">
        <f t="shared" ref="D109:D142" si="11">AD109</f>
        <v>0</v>
      </c>
      <c r="E109" s="293">
        <f t="shared" ref="E109:E142" si="12">AE109</f>
        <v>0</v>
      </c>
      <c r="F109" s="293">
        <f t="shared" ref="F109:F142" si="13">AF109</f>
        <v>0</v>
      </c>
      <c r="G109" s="294">
        <f t="shared" ref="G109:G142" si="14">AN109</f>
        <v>0</v>
      </c>
      <c r="H109" s="294">
        <f t="shared" ref="H109:H142" si="15">AO109</f>
        <v>0</v>
      </c>
      <c r="I109" s="294">
        <f t="shared" ref="I109:I142" si="16">AP109</f>
        <v>0</v>
      </c>
      <c r="J109" s="295">
        <f t="shared" si="0"/>
        <v>0</v>
      </c>
      <c r="K109" s="295">
        <f t="shared" si="1"/>
        <v>0</v>
      </c>
      <c r="L109" s="295">
        <f t="shared" si="2"/>
        <v>0</v>
      </c>
      <c r="AB109" s="380">
        <f>'Plant Inputs'!C31</f>
        <v>2</v>
      </c>
      <c r="AC109" s="384" t="str">
        <f>'Plant Inputs'!D31</f>
        <v>Portland Limestone Cement (PLC)</v>
      </c>
      <c r="AD109" s="380">
        <f>IF('Plant Inputs'!$AR$22=0,0,'Plant Inputs'!$AX31*INDEX(Conversion_Table,MATCH(TRACICalcUnit,Conversion_Rows,0),MATCH(AD$107,Conversion_Columns,0)))</f>
        <v>0</v>
      </c>
      <c r="AE109" s="380">
        <f>IF('Plant Inputs'!$AR$22=0,0,'Plant Inputs'!$DQ31*INDEX(Conversion_Table,MATCH(TRACICalcUnit,Conversion_Rows,0),MATCH(AE$107,Conversion_Columns,0)))</f>
        <v>0</v>
      </c>
      <c r="AF109" s="387">
        <f t="shared" ref="AF109:AF142" si="17">AE109+AD109</f>
        <v>0</v>
      </c>
      <c r="AG109" s="388">
        <f t="shared" si="3"/>
        <v>0</v>
      </c>
      <c r="AH109" s="380" t="str">
        <f t="shared" si="4"/>
        <v/>
      </c>
      <c r="AI109" s="387" t="str">
        <f t="shared" ref="AI109:AI142" si="18">IF(AG109&gt;=$AD$103,AF109-ROW()/1000000000000,"")</f>
        <v/>
      </c>
      <c r="AJ109" s="380">
        <f t="shared" si="5"/>
        <v>0</v>
      </c>
      <c r="AK109" s="380" t="str">
        <f t="shared" si="6"/>
        <v/>
      </c>
      <c r="AL109" s="387" t="str">
        <f t="shared" si="7"/>
        <v/>
      </c>
      <c r="AM109" s="389"/>
      <c r="AN109" s="390">
        <f>IF('Plant Inputs'!$AR$22=0,0,'Plant Inputs'!$AX31*INDEX(Conversion_Table,MATCH(TRACICalcUnit,Conversion_Rows,0),MATCH(TRACIPerTonneDisplayUnit,Conversion_Columns,0))/'Plant Inputs'!$AT$22)</f>
        <v>0</v>
      </c>
      <c r="AO109" s="390">
        <f>IF('Plant Inputs'!$AR$22=0,0,'Plant Inputs'!$DQ31*INDEX(Conversion_Table,MATCH(TRACICalcUnit,Conversion_Rows,0),MATCH(TRACIPerTonneDisplayUnit,Conversion_Columns,0))/'Plant Inputs'!$AT$22)</f>
        <v>0</v>
      </c>
      <c r="AP109" s="390">
        <f t="shared" ref="AP109:AP142" si="19">AO109+AN109</f>
        <v>0</v>
      </c>
      <c r="AQ109" s="388">
        <f t="shared" si="8"/>
        <v>0</v>
      </c>
      <c r="AR109" s="380" t="str">
        <f t="shared" ref="AR109:AR142" si="20">IF(AQ109&gt;$AD$103,$AC109,"")</f>
        <v/>
      </c>
      <c r="AS109" s="387" t="str">
        <f t="shared" ref="AS109:AS142" si="21">IF(AQ109&gt;=$AD$103,AP109-ROW()/1000000000000,"")</f>
        <v/>
      </c>
      <c r="AT109" s="387">
        <f t="shared" ref="AT109:AT142" si="22">IF(AQ109&lt;$AD$103,AP109,"")</f>
        <v>0</v>
      </c>
      <c r="AU109" s="380" t="str">
        <f t="shared" si="9"/>
        <v/>
      </c>
      <c r="AV109" s="387" t="str">
        <f t="shared" si="10"/>
        <v/>
      </c>
      <c r="AW109" s="389"/>
      <c r="AX109" s="391"/>
      <c r="AY109" s="391"/>
      <c r="AZ109" s="391"/>
      <c r="BA109" s="391"/>
      <c r="BB109" s="391"/>
    </row>
    <row r="110" spans="3:54" ht="15">
      <c r="C110" s="292" t="str">
        <f>'Plant Inputs'!D32</f>
        <v>Pre-Blended Cement</v>
      </c>
      <c r="D110" s="293">
        <f t="shared" ref="D110" si="23">AD110</f>
        <v>0</v>
      </c>
      <c r="E110" s="293">
        <f t="shared" ref="E110" si="24">AE110</f>
        <v>0</v>
      </c>
      <c r="F110" s="293">
        <f t="shared" ref="F110" si="25">AF110</f>
        <v>0</v>
      </c>
      <c r="G110" s="294">
        <f t="shared" ref="G110" si="26">AN110</f>
        <v>0</v>
      </c>
      <c r="H110" s="294">
        <f t="shared" ref="H110" si="27">AO110</f>
        <v>0</v>
      </c>
      <c r="I110" s="294">
        <f t="shared" ref="I110" si="28">AP110</f>
        <v>0</v>
      </c>
      <c r="J110" s="295">
        <f t="shared" si="0"/>
        <v>0</v>
      </c>
      <c r="K110" s="295">
        <f t="shared" si="1"/>
        <v>0</v>
      </c>
      <c r="L110" s="295">
        <f t="shared" si="2"/>
        <v>0</v>
      </c>
      <c r="AB110" s="380">
        <f>'Plant Inputs'!C32</f>
        <v>3</v>
      </c>
      <c r="AC110" s="384" t="str">
        <f>'Plant Inputs'!D32</f>
        <v>Pre-Blended Cement</v>
      </c>
      <c r="AD110" s="380">
        <f>IF('Plant Inputs'!$AR$22=0,0,'Plant Inputs'!$AX32*INDEX(Conversion_Table,MATCH(TRACICalcUnit,Conversion_Rows,0),MATCH(AD$107,Conversion_Columns,0)))</f>
        <v>0</v>
      </c>
      <c r="AE110" s="380">
        <f>IF('Plant Inputs'!$AR$22=0,0,'Plant Inputs'!$DQ32*INDEX(Conversion_Table,MATCH(TRACICalcUnit,Conversion_Rows,0),MATCH(AE$107,Conversion_Columns,0)))</f>
        <v>0</v>
      </c>
      <c r="AF110" s="387">
        <f t="shared" ref="AF110" si="29">AE110+AD110</f>
        <v>0</v>
      </c>
      <c r="AG110" s="388">
        <f t="shared" si="3"/>
        <v>0</v>
      </c>
      <c r="AH110" s="380" t="str">
        <f t="shared" ref="AH110" si="30">IF(AG110&gt;$AD$103,AC110,"")</f>
        <v/>
      </c>
      <c r="AI110" s="387" t="str">
        <f t="shared" ref="AI110" si="31">IF(AG110&gt;=$AD$103,AF110-ROW()/1000000000000,"")</f>
        <v/>
      </c>
      <c r="AJ110" s="380">
        <f t="shared" ref="AJ110" si="32">IF(AG110&lt;$AD$103,AF110,"")</f>
        <v>0</v>
      </c>
      <c r="AK110" s="380" t="str">
        <f t="shared" si="6"/>
        <v/>
      </c>
      <c r="AL110" s="387" t="str">
        <f t="shared" si="7"/>
        <v/>
      </c>
      <c r="AM110" s="389"/>
      <c r="AN110" s="390">
        <f>IF('Plant Inputs'!$AR$22=0,0,'Plant Inputs'!$AX32*INDEX(Conversion_Table,MATCH(TRACICalcUnit,Conversion_Rows,0),MATCH(TRACIPerTonneDisplayUnit,Conversion_Columns,0))/'Plant Inputs'!$AT$22)</f>
        <v>0</v>
      </c>
      <c r="AO110" s="390">
        <f>IF('Plant Inputs'!$AR$22=0,0,'Plant Inputs'!$DQ32*INDEX(Conversion_Table,MATCH(TRACICalcUnit,Conversion_Rows,0),MATCH(TRACIPerTonneDisplayUnit,Conversion_Columns,0))/'Plant Inputs'!$AT$22)</f>
        <v>0</v>
      </c>
      <c r="AP110" s="390">
        <f t="shared" ref="AP110" si="33">AO110+AN110</f>
        <v>0</v>
      </c>
      <c r="AQ110" s="388">
        <f t="shared" si="8"/>
        <v>0</v>
      </c>
      <c r="AR110" s="380" t="str">
        <f t="shared" ref="AR110" si="34">IF(AQ110&gt;$AD$103,$AC110,"")</f>
        <v/>
      </c>
      <c r="AS110" s="387" t="str">
        <f t="shared" ref="AS110" si="35">IF(AQ110&gt;=$AD$103,AP110-ROW()/1000000000000,"")</f>
        <v/>
      </c>
      <c r="AT110" s="387">
        <f t="shared" ref="AT110" si="36">IF(AQ110&lt;$AD$103,AP110,"")</f>
        <v>0</v>
      </c>
      <c r="AU110" s="380" t="str">
        <f t="shared" si="9"/>
        <v/>
      </c>
      <c r="AV110" s="387" t="str">
        <f t="shared" si="10"/>
        <v/>
      </c>
      <c r="AW110" s="389"/>
      <c r="AX110" s="391"/>
      <c r="AY110" s="391"/>
      <c r="AZ110" s="391"/>
      <c r="BA110" s="391"/>
      <c r="BB110" s="391"/>
    </row>
    <row r="111" spans="3:54" ht="15">
      <c r="C111" s="292" t="str">
        <f>'Plant Inputs'!D33</f>
        <v>Fine Aggregate - natural sand</v>
      </c>
      <c r="D111" s="293">
        <f t="shared" si="11"/>
        <v>0</v>
      </c>
      <c r="E111" s="293">
        <f t="shared" si="12"/>
        <v>0</v>
      </c>
      <c r="F111" s="293">
        <f t="shared" si="13"/>
        <v>0</v>
      </c>
      <c r="G111" s="294">
        <f t="shared" si="14"/>
        <v>0</v>
      </c>
      <c r="H111" s="294">
        <f t="shared" si="15"/>
        <v>0</v>
      </c>
      <c r="I111" s="294">
        <f t="shared" si="16"/>
        <v>0</v>
      </c>
      <c r="J111" s="295">
        <f t="shared" si="0"/>
        <v>0</v>
      </c>
      <c r="K111" s="295">
        <f t="shared" si="1"/>
        <v>0</v>
      </c>
      <c r="L111" s="295">
        <f t="shared" si="2"/>
        <v>0</v>
      </c>
      <c r="AB111" s="380">
        <f>'Plant Inputs'!C33</f>
        <v>4</v>
      </c>
      <c r="AC111" s="384" t="str">
        <f>'Plant Inputs'!D33</f>
        <v>Fine Aggregate - natural sand</v>
      </c>
      <c r="AD111" s="380">
        <f>IF('Plant Inputs'!$AR$22=0,0,'Plant Inputs'!$AX33*INDEX(Conversion_Table,MATCH(TRACICalcUnit,Conversion_Rows,0),MATCH(AD$107,Conversion_Columns,0)))</f>
        <v>0</v>
      </c>
      <c r="AE111" s="380">
        <f>IF('Plant Inputs'!$AR$22=0,0,'Plant Inputs'!$DQ33*INDEX(Conversion_Table,MATCH(TRACICalcUnit,Conversion_Rows,0),MATCH(AE$107,Conversion_Columns,0)))</f>
        <v>0</v>
      </c>
      <c r="AF111" s="387">
        <f t="shared" si="17"/>
        <v>0</v>
      </c>
      <c r="AG111" s="388">
        <f t="shared" si="3"/>
        <v>0</v>
      </c>
      <c r="AH111" s="380" t="str">
        <f t="shared" si="4"/>
        <v/>
      </c>
      <c r="AI111" s="387" t="str">
        <f t="shared" si="18"/>
        <v/>
      </c>
      <c r="AJ111" s="380">
        <f t="shared" si="5"/>
        <v>0</v>
      </c>
      <c r="AK111" s="380" t="str">
        <f t="shared" si="6"/>
        <v/>
      </c>
      <c r="AL111" s="387" t="str">
        <f t="shared" si="7"/>
        <v/>
      </c>
      <c r="AM111" s="389"/>
      <c r="AN111" s="390">
        <f>IF('Plant Inputs'!$AR$22=0,0,'Plant Inputs'!$AX33*INDEX(Conversion_Table,MATCH(TRACICalcUnit,Conversion_Rows,0),MATCH(TRACIPerTonneDisplayUnit,Conversion_Columns,0))/'Plant Inputs'!$AT$22)</f>
        <v>0</v>
      </c>
      <c r="AO111" s="390">
        <f>IF('Plant Inputs'!$AR$22=0,0,'Plant Inputs'!$DQ33*INDEX(Conversion_Table,MATCH(TRACICalcUnit,Conversion_Rows,0),MATCH(TRACIPerTonneDisplayUnit,Conversion_Columns,0))/'Plant Inputs'!$AT$22)</f>
        <v>0</v>
      </c>
      <c r="AP111" s="390">
        <f t="shared" si="19"/>
        <v>0</v>
      </c>
      <c r="AQ111" s="388">
        <f t="shared" si="8"/>
        <v>0</v>
      </c>
      <c r="AR111" s="380" t="str">
        <f t="shared" si="20"/>
        <v/>
      </c>
      <c r="AS111" s="387" t="str">
        <f t="shared" si="21"/>
        <v/>
      </c>
      <c r="AT111" s="387">
        <f t="shared" si="22"/>
        <v>0</v>
      </c>
      <c r="AU111" s="380" t="str">
        <f t="shared" si="9"/>
        <v/>
      </c>
      <c r="AV111" s="387" t="str">
        <f t="shared" si="10"/>
        <v/>
      </c>
      <c r="AW111" s="389"/>
      <c r="AX111" s="391"/>
      <c r="AY111" s="391"/>
      <c r="AZ111" s="391"/>
      <c r="BA111" s="391"/>
      <c r="BB111" s="391"/>
    </row>
    <row r="112" spans="3:54" ht="15">
      <c r="C112" s="292" t="str">
        <f>'Plant Inputs'!D34</f>
        <v>Fine Aggregate - manufactured</v>
      </c>
      <c r="D112" s="293">
        <f t="shared" si="11"/>
        <v>0</v>
      </c>
      <c r="E112" s="293">
        <f t="shared" si="12"/>
        <v>0</v>
      </c>
      <c r="F112" s="293">
        <f t="shared" si="13"/>
        <v>0</v>
      </c>
      <c r="G112" s="294">
        <f t="shared" si="14"/>
        <v>0</v>
      </c>
      <c r="H112" s="294">
        <f t="shared" si="15"/>
        <v>0</v>
      </c>
      <c r="I112" s="294">
        <f t="shared" si="16"/>
        <v>0</v>
      </c>
      <c r="J112" s="295">
        <f t="shared" si="0"/>
        <v>0</v>
      </c>
      <c r="K112" s="295">
        <f t="shared" si="1"/>
        <v>0</v>
      </c>
      <c r="L112" s="295">
        <f t="shared" si="2"/>
        <v>0</v>
      </c>
      <c r="AB112" s="380">
        <f>'Plant Inputs'!C34</f>
        <v>5</v>
      </c>
      <c r="AC112" s="384" t="str">
        <f>'Plant Inputs'!D34</f>
        <v>Fine Aggregate - manufactured</v>
      </c>
      <c r="AD112" s="380">
        <f>IF('Plant Inputs'!$AR$22=0,0,'Plant Inputs'!$AX34*INDEX(Conversion_Table,MATCH(TRACICalcUnit,Conversion_Rows,0),MATCH(AD$107,Conversion_Columns,0)))</f>
        <v>0</v>
      </c>
      <c r="AE112" s="380">
        <f>IF('Plant Inputs'!$AR$22=0,0,'Plant Inputs'!$DQ34*INDEX(Conversion_Table,MATCH(TRACICalcUnit,Conversion_Rows,0),MATCH(AE$107,Conversion_Columns,0)))</f>
        <v>0</v>
      </c>
      <c r="AF112" s="387">
        <f t="shared" si="17"/>
        <v>0</v>
      </c>
      <c r="AG112" s="388">
        <f t="shared" si="3"/>
        <v>0</v>
      </c>
      <c r="AH112" s="380" t="str">
        <f t="shared" si="4"/>
        <v/>
      </c>
      <c r="AI112" s="387" t="str">
        <f t="shared" si="18"/>
        <v/>
      </c>
      <c r="AJ112" s="380">
        <f t="shared" si="5"/>
        <v>0</v>
      </c>
      <c r="AK112" s="380" t="str">
        <f t="shared" si="6"/>
        <v/>
      </c>
      <c r="AL112" s="387" t="str">
        <f t="shared" si="7"/>
        <v/>
      </c>
      <c r="AM112" s="389"/>
      <c r="AN112" s="390">
        <f>IF('Plant Inputs'!$AR$22=0,0,'Plant Inputs'!$AX34*INDEX(Conversion_Table,MATCH(TRACICalcUnit,Conversion_Rows,0),MATCH(TRACIPerTonneDisplayUnit,Conversion_Columns,0))/'Plant Inputs'!$AT$22)</f>
        <v>0</v>
      </c>
      <c r="AO112" s="390">
        <f>IF('Plant Inputs'!$AR$22=0,0,'Plant Inputs'!$DQ34*INDEX(Conversion_Table,MATCH(TRACICalcUnit,Conversion_Rows,0),MATCH(TRACIPerTonneDisplayUnit,Conversion_Columns,0))/'Plant Inputs'!$AT$22)</f>
        <v>0</v>
      </c>
      <c r="AP112" s="390">
        <f t="shared" si="19"/>
        <v>0</v>
      </c>
      <c r="AQ112" s="388">
        <f t="shared" si="8"/>
        <v>0</v>
      </c>
      <c r="AR112" s="380" t="str">
        <f t="shared" si="20"/>
        <v/>
      </c>
      <c r="AS112" s="387" t="str">
        <f t="shared" si="21"/>
        <v/>
      </c>
      <c r="AT112" s="387">
        <f t="shared" si="22"/>
        <v>0</v>
      </c>
      <c r="AU112" s="380" t="str">
        <f t="shared" si="9"/>
        <v/>
      </c>
      <c r="AV112" s="387" t="str">
        <f t="shared" si="10"/>
        <v/>
      </c>
      <c r="AW112" s="389"/>
      <c r="AX112" s="391"/>
      <c r="AY112" s="391"/>
      <c r="AZ112" s="391"/>
      <c r="BA112" s="391"/>
      <c r="BB112" s="391"/>
    </row>
    <row r="113" spans="3:54" ht="15">
      <c r="C113" s="292" t="str">
        <f>'Plant Inputs'!D35</f>
        <v>Coarse Aggregate - natural gravel</v>
      </c>
      <c r="D113" s="293">
        <f t="shared" si="11"/>
        <v>0</v>
      </c>
      <c r="E113" s="293">
        <f t="shared" si="12"/>
        <v>0</v>
      </c>
      <c r="F113" s="293">
        <f t="shared" si="13"/>
        <v>0</v>
      </c>
      <c r="G113" s="294">
        <f t="shared" si="14"/>
        <v>0</v>
      </c>
      <c r="H113" s="294">
        <f t="shared" si="15"/>
        <v>0</v>
      </c>
      <c r="I113" s="294">
        <f t="shared" si="16"/>
        <v>0</v>
      </c>
      <c r="J113" s="295">
        <f t="shared" si="0"/>
        <v>0</v>
      </c>
      <c r="K113" s="295">
        <f t="shared" si="1"/>
        <v>0</v>
      </c>
      <c r="L113" s="295">
        <f t="shared" si="2"/>
        <v>0</v>
      </c>
      <c r="AB113" s="380">
        <f>'Plant Inputs'!C35</f>
        <v>6</v>
      </c>
      <c r="AC113" s="384" t="str">
        <f>'Plant Inputs'!D35</f>
        <v>Coarse Aggregate - natural gravel</v>
      </c>
      <c r="AD113" s="380">
        <f>IF('Plant Inputs'!$AR$22=0,0,'Plant Inputs'!$AX35*INDEX(Conversion_Table,MATCH(TRACICalcUnit,Conversion_Rows,0),MATCH(AD$107,Conversion_Columns,0)))</f>
        <v>0</v>
      </c>
      <c r="AE113" s="380">
        <f>IF('Plant Inputs'!$AR$22=0,0,'Plant Inputs'!$DQ35*INDEX(Conversion_Table,MATCH(TRACICalcUnit,Conversion_Rows,0),MATCH(AE$107,Conversion_Columns,0)))</f>
        <v>0</v>
      </c>
      <c r="AF113" s="387">
        <f t="shared" si="17"/>
        <v>0</v>
      </c>
      <c r="AG113" s="388">
        <f t="shared" si="3"/>
        <v>0</v>
      </c>
      <c r="AH113" s="380" t="str">
        <f t="shared" si="4"/>
        <v/>
      </c>
      <c r="AI113" s="387" t="str">
        <f t="shared" si="18"/>
        <v/>
      </c>
      <c r="AJ113" s="380">
        <f t="shared" si="5"/>
        <v>0</v>
      </c>
      <c r="AK113" s="380" t="str">
        <f t="shared" si="6"/>
        <v/>
      </c>
      <c r="AL113" s="387" t="str">
        <f t="shared" si="7"/>
        <v/>
      </c>
      <c r="AM113" s="389"/>
      <c r="AN113" s="390">
        <f>IF('Plant Inputs'!$AR$22=0,0,'Plant Inputs'!$AX35*INDEX(Conversion_Table,MATCH(TRACICalcUnit,Conversion_Rows,0),MATCH(TRACIPerTonneDisplayUnit,Conversion_Columns,0))/'Plant Inputs'!$AT$22)</f>
        <v>0</v>
      </c>
      <c r="AO113" s="390">
        <f>IF('Plant Inputs'!$AR$22=0,0,'Plant Inputs'!$DQ35*INDEX(Conversion_Table,MATCH(TRACICalcUnit,Conversion_Rows,0),MATCH(TRACIPerTonneDisplayUnit,Conversion_Columns,0))/'Plant Inputs'!$AT$22)</f>
        <v>0</v>
      </c>
      <c r="AP113" s="390">
        <f t="shared" si="19"/>
        <v>0</v>
      </c>
      <c r="AQ113" s="388">
        <f t="shared" si="8"/>
        <v>0</v>
      </c>
      <c r="AR113" s="380" t="str">
        <f t="shared" si="20"/>
        <v/>
      </c>
      <c r="AS113" s="387" t="str">
        <f t="shared" si="21"/>
        <v/>
      </c>
      <c r="AT113" s="387">
        <f t="shared" si="22"/>
        <v>0</v>
      </c>
      <c r="AU113" s="380" t="str">
        <f t="shared" si="9"/>
        <v/>
      </c>
      <c r="AV113" s="387" t="str">
        <f t="shared" si="10"/>
        <v/>
      </c>
      <c r="AW113" s="389"/>
      <c r="AX113" s="391"/>
      <c r="AY113" s="391"/>
      <c r="AZ113" s="391"/>
      <c r="BA113" s="391"/>
      <c r="BB113" s="391"/>
    </row>
    <row r="114" spans="3:54" ht="15">
      <c r="C114" s="292" t="str">
        <f>'Plant Inputs'!D36</f>
        <v>Coarse Aggregate - crushed</v>
      </c>
      <c r="D114" s="293">
        <f t="shared" si="11"/>
        <v>0</v>
      </c>
      <c r="E114" s="293">
        <f t="shared" si="12"/>
        <v>0</v>
      </c>
      <c r="F114" s="293">
        <f t="shared" si="13"/>
        <v>0</v>
      </c>
      <c r="G114" s="294">
        <f t="shared" si="14"/>
        <v>0</v>
      </c>
      <c r="H114" s="294">
        <f t="shared" si="15"/>
        <v>0</v>
      </c>
      <c r="I114" s="294">
        <f t="shared" si="16"/>
        <v>0</v>
      </c>
      <c r="J114" s="295">
        <f t="shared" si="0"/>
        <v>0</v>
      </c>
      <c r="K114" s="295">
        <f t="shared" si="1"/>
        <v>0</v>
      </c>
      <c r="L114" s="295">
        <f t="shared" si="2"/>
        <v>0</v>
      </c>
      <c r="AB114" s="380">
        <f>'Plant Inputs'!C36</f>
        <v>7</v>
      </c>
      <c r="AC114" s="384" t="str">
        <f>'Plant Inputs'!D36</f>
        <v>Coarse Aggregate - crushed</v>
      </c>
      <c r="AD114" s="380">
        <f>IF('Plant Inputs'!$AR$22=0,0,'Plant Inputs'!$AX36*INDEX(Conversion_Table,MATCH(TRACICalcUnit,Conversion_Rows,0),MATCH(AD$107,Conversion_Columns,0)))</f>
        <v>0</v>
      </c>
      <c r="AE114" s="380">
        <f>IF('Plant Inputs'!$AR$22=0,0,'Plant Inputs'!$DQ36*INDEX(Conversion_Table,MATCH(TRACICalcUnit,Conversion_Rows,0),MATCH(AE$107,Conversion_Columns,0)))</f>
        <v>0</v>
      </c>
      <c r="AF114" s="387">
        <f t="shared" si="17"/>
        <v>0</v>
      </c>
      <c r="AG114" s="388">
        <f t="shared" si="3"/>
        <v>0</v>
      </c>
      <c r="AH114" s="380" t="str">
        <f t="shared" si="4"/>
        <v/>
      </c>
      <c r="AI114" s="387" t="str">
        <f t="shared" si="18"/>
        <v/>
      </c>
      <c r="AJ114" s="380">
        <f t="shared" si="5"/>
        <v>0</v>
      </c>
      <c r="AK114" s="380" t="str">
        <f t="shared" si="6"/>
        <v/>
      </c>
      <c r="AL114" s="387" t="str">
        <f t="shared" si="7"/>
        <v/>
      </c>
      <c r="AM114" s="389"/>
      <c r="AN114" s="390">
        <f>IF('Plant Inputs'!$AR$22=0,0,'Plant Inputs'!$AX36*INDEX(Conversion_Table,MATCH(TRACICalcUnit,Conversion_Rows,0),MATCH(TRACIPerTonneDisplayUnit,Conversion_Columns,0))/'Plant Inputs'!$AT$22)</f>
        <v>0</v>
      </c>
      <c r="AO114" s="390">
        <f>IF('Plant Inputs'!$AR$22=0,0,'Plant Inputs'!$DQ36*INDEX(Conversion_Table,MATCH(TRACICalcUnit,Conversion_Rows,0),MATCH(TRACIPerTonneDisplayUnit,Conversion_Columns,0))/'Plant Inputs'!$AT$22)</f>
        <v>0</v>
      </c>
      <c r="AP114" s="390">
        <f t="shared" si="19"/>
        <v>0</v>
      </c>
      <c r="AQ114" s="388">
        <f t="shared" si="8"/>
        <v>0</v>
      </c>
      <c r="AR114" s="380" t="str">
        <f t="shared" si="20"/>
        <v/>
      </c>
      <c r="AS114" s="387" t="str">
        <f t="shared" si="21"/>
        <v/>
      </c>
      <c r="AT114" s="387">
        <f t="shared" si="22"/>
        <v>0</v>
      </c>
      <c r="AU114" s="380" t="str">
        <f t="shared" si="9"/>
        <v/>
      </c>
      <c r="AV114" s="387" t="str">
        <f t="shared" si="10"/>
        <v/>
      </c>
      <c r="AW114" s="389"/>
      <c r="AX114" s="391"/>
      <c r="AY114" s="391"/>
      <c r="AZ114" s="391"/>
      <c r="BA114" s="391"/>
      <c r="BB114" s="391"/>
    </row>
    <row r="115" spans="3:54" ht="15">
      <c r="C115" s="292" t="str">
        <f>'Plant Inputs'!D37</f>
        <v>Manufactured Lightweight Aggregate</v>
      </c>
      <c r="D115" s="293">
        <f t="shared" si="11"/>
        <v>0</v>
      </c>
      <c r="E115" s="293">
        <f t="shared" si="12"/>
        <v>0</v>
      </c>
      <c r="F115" s="293">
        <f t="shared" si="13"/>
        <v>0</v>
      </c>
      <c r="G115" s="294">
        <f t="shared" si="14"/>
        <v>0</v>
      </c>
      <c r="H115" s="294">
        <f t="shared" si="15"/>
        <v>0</v>
      </c>
      <c r="I115" s="294">
        <f t="shared" si="16"/>
        <v>0</v>
      </c>
      <c r="J115" s="295">
        <f t="shared" si="0"/>
        <v>0</v>
      </c>
      <c r="K115" s="295">
        <f t="shared" si="1"/>
        <v>0</v>
      </c>
      <c r="L115" s="295">
        <f t="shared" si="2"/>
        <v>0</v>
      </c>
      <c r="AB115" s="380">
        <f>'Plant Inputs'!C37</f>
        <v>8</v>
      </c>
      <c r="AC115" s="384" t="str">
        <f>'Plant Inputs'!D37</f>
        <v>Manufactured Lightweight Aggregate</v>
      </c>
      <c r="AD115" s="380">
        <f>IF('Plant Inputs'!$AR$22=0,0,'Plant Inputs'!$AX37*INDEX(Conversion_Table,MATCH(TRACICalcUnit,Conversion_Rows,0),MATCH(AD$107,Conversion_Columns,0)))</f>
        <v>0</v>
      </c>
      <c r="AE115" s="380">
        <f>IF('Plant Inputs'!$AR$22=0,0,'Plant Inputs'!$DQ37*INDEX(Conversion_Table,MATCH(TRACICalcUnit,Conversion_Rows,0),MATCH(AE$107,Conversion_Columns,0)))</f>
        <v>0</v>
      </c>
      <c r="AF115" s="387">
        <f t="shared" si="17"/>
        <v>0</v>
      </c>
      <c r="AG115" s="388">
        <f t="shared" si="3"/>
        <v>0</v>
      </c>
      <c r="AH115" s="380" t="str">
        <f t="shared" si="4"/>
        <v/>
      </c>
      <c r="AI115" s="387" t="str">
        <f t="shared" si="18"/>
        <v/>
      </c>
      <c r="AJ115" s="380">
        <f t="shared" si="5"/>
        <v>0</v>
      </c>
      <c r="AK115" s="380" t="str">
        <f t="shared" si="6"/>
        <v/>
      </c>
      <c r="AL115" s="387" t="str">
        <f t="shared" si="7"/>
        <v/>
      </c>
      <c r="AM115" s="389"/>
      <c r="AN115" s="390">
        <f>IF('Plant Inputs'!$AR$22=0,0,'Plant Inputs'!$AX37*INDEX(Conversion_Table,MATCH(TRACICalcUnit,Conversion_Rows,0),MATCH(TRACIPerTonneDisplayUnit,Conversion_Columns,0))/'Plant Inputs'!$AT$22)</f>
        <v>0</v>
      </c>
      <c r="AO115" s="390">
        <f>IF('Plant Inputs'!$AR$22=0,0,'Plant Inputs'!$DQ37*INDEX(Conversion_Table,MATCH(TRACICalcUnit,Conversion_Rows,0),MATCH(TRACIPerTonneDisplayUnit,Conversion_Columns,0))/'Plant Inputs'!$AT$22)</f>
        <v>0</v>
      </c>
      <c r="AP115" s="390">
        <f t="shared" si="19"/>
        <v>0</v>
      </c>
      <c r="AQ115" s="388">
        <f t="shared" si="8"/>
        <v>0</v>
      </c>
      <c r="AR115" s="380" t="str">
        <f t="shared" si="20"/>
        <v/>
      </c>
      <c r="AS115" s="387" t="str">
        <f t="shared" si="21"/>
        <v/>
      </c>
      <c r="AT115" s="387">
        <f t="shared" si="22"/>
        <v>0</v>
      </c>
      <c r="AU115" s="380" t="str">
        <f t="shared" si="9"/>
        <v/>
      </c>
      <c r="AV115" s="387" t="str">
        <f t="shared" si="10"/>
        <v/>
      </c>
      <c r="AW115" s="389"/>
      <c r="AX115" s="391"/>
      <c r="AY115" s="391"/>
      <c r="AZ115" s="391"/>
      <c r="BA115" s="391"/>
      <c r="BB115" s="391"/>
    </row>
    <row r="116" spans="3:54" ht="15">
      <c r="C116" s="292" t="str">
        <f>'Plant Inputs'!D38</f>
        <v>Natural Lightweight Aggregate</v>
      </c>
      <c r="D116" s="293">
        <f t="shared" si="11"/>
        <v>0</v>
      </c>
      <c r="E116" s="293">
        <f t="shared" si="12"/>
        <v>0</v>
      </c>
      <c r="F116" s="293">
        <f t="shared" si="13"/>
        <v>0</v>
      </c>
      <c r="G116" s="294">
        <f t="shared" si="14"/>
        <v>0</v>
      </c>
      <c r="H116" s="294">
        <f t="shared" si="15"/>
        <v>0</v>
      </c>
      <c r="I116" s="294">
        <f t="shared" si="16"/>
        <v>0</v>
      </c>
      <c r="J116" s="295">
        <f t="shared" si="0"/>
        <v>0</v>
      </c>
      <c r="K116" s="295">
        <f t="shared" si="1"/>
        <v>0</v>
      </c>
      <c r="L116" s="295">
        <f t="shared" si="2"/>
        <v>0</v>
      </c>
      <c r="AB116" s="380">
        <f>'Plant Inputs'!C38</f>
        <v>9</v>
      </c>
      <c r="AC116" s="384" t="str">
        <f>'Plant Inputs'!D38</f>
        <v>Natural Lightweight Aggregate</v>
      </c>
      <c r="AD116" s="380">
        <f>IF('Plant Inputs'!$AR$22=0,0,'Plant Inputs'!$AX38*INDEX(Conversion_Table,MATCH(TRACICalcUnit,Conversion_Rows,0),MATCH(AD$107,Conversion_Columns,0)))</f>
        <v>0</v>
      </c>
      <c r="AE116" s="380">
        <f>IF('Plant Inputs'!$AR$22=0,0,'Plant Inputs'!$DQ38*INDEX(Conversion_Table,MATCH(TRACICalcUnit,Conversion_Rows,0),MATCH(AE$107,Conversion_Columns,0)))</f>
        <v>0</v>
      </c>
      <c r="AF116" s="387">
        <f t="shared" si="17"/>
        <v>0</v>
      </c>
      <c r="AG116" s="388">
        <f t="shared" si="3"/>
        <v>0</v>
      </c>
      <c r="AH116" s="380" t="str">
        <f t="shared" si="4"/>
        <v/>
      </c>
      <c r="AI116" s="387" t="str">
        <f t="shared" si="18"/>
        <v/>
      </c>
      <c r="AJ116" s="380">
        <f t="shared" si="5"/>
        <v>0</v>
      </c>
      <c r="AK116" s="380" t="str">
        <f t="shared" si="6"/>
        <v/>
      </c>
      <c r="AL116" s="387" t="str">
        <f t="shared" si="7"/>
        <v/>
      </c>
      <c r="AM116" s="389"/>
      <c r="AN116" s="390">
        <f>IF('Plant Inputs'!$AR$22=0,0,'Plant Inputs'!$AX38*INDEX(Conversion_Table,MATCH(TRACICalcUnit,Conversion_Rows,0),MATCH(TRACIPerTonneDisplayUnit,Conversion_Columns,0))/'Plant Inputs'!$AT$22)</f>
        <v>0</v>
      </c>
      <c r="AO116" s="390">
        <f>IF('Plant Inputs'!$AR$22=0,0,'Plant Inputs'!$DQ38*INDEX(Conversion_Table,MATCH(TRACICalcUnit,Conversion_Rows,0),MATCH(TRACIPerTonneDisplayUnit,Conversion_Columns,0))/'Plant Inputs'!$AT$22)</f>
        <v>0</v>
      </c>
      <c r="AP116" s="390">
        <f t="shared" si="19"/>
        <v>0</v>
      </c>
      <c r="AQ116" s="388">
        <f t="shared" si="8"/>
        <v>0</v>
      </c>
      <c r="AR116" s="380" t="str">
        <f t="shared" si="20"/>
        <v/>
      </c>
      <c r="AS116" s="387" t="str">
        <f t="shared" si="21"/>
        <v/>
      </c>
      <c r="AT116" s="387">
        <f t="shared" si="22"/>
        <v>0</v>
      </c>
      <c r="AU116" s="380" t="str">
        <f t="shared" si="9"/>
        <v/>
      </c>
      <c r="AV116" s="387" t="str">
        <f t="shared" si="10"/>
        <v/>
      </c>
      <c r="AW116" s="389"/>
      <c r="AX116" s="391"/>
      <c r="AY116" s="391"/>
      <c r="AZ116" s="391"/>
      <c r="BA116" s="391"/>
      <c r="BB116" s="391"/>
    </row>
    <row r="117" spans="3:54" ht="15">
      <c r="C117" s="292" t="str">
        <f>'Plant Inputs'!D39</f>
        <v>SCMs - Fly Ash</v>
      </c>
      <c r="D117" s="293">
        <f t="shared" si="11"/>
        <v>0</v>
      </c>
      <c r="E117" s="293">
        <f t="shared" si="12"/>
        <v>0</v>
      </c>
      <c r="F117" s="293">
        <f t="shared" si="13"/>
        <v>0</v>
      </c>
      <c r="G117" s="294">
        <f t="shared" si="14"/>
        <v>0</v>
      </c>
      <c r="H117" s="294">
        <f t="shared" si="15"/>
        <v>0</v>
      </c>
      <c r="I117" s="294">
        <f t="shared" si="16"/>
        <v>0</v>
      </c>
      <c r="J117" s="295">
        <f t="shared" si="0"/>
        <v>0</v>
      </c>
      <c r="K117" s="295">
        <f t="shared" si="1"/>
        <v>0</v>
      </c>
      <c r="L117" s="295">
        <f t="shared" si="2"/>
        <v>0</v>
      </c>
      <c r="AB117" s="380">
        <f>'Plant Inputs'!C39</f>
        <v>10</v>
      </c>
      <c r="AC117" s="384" t="str">
        <f>'Plant Inputs'!D39</f>
        <v>SCMs - Fly Ash</v>
      </c>
      <c r="AD117" s="380">
        <f>IF('Plant Inputs'!$AR$22=0,0,'Plant Inputs'!$AX39*INDEX(Conversion_Table,MATCH(TRACICalcUnit,Conversion_Rows,0),MATCH(AD$107,Conversion_Columns,0)))</f>
        <v>0</v>
      </c>
      <c r="AE117" s="380">
        <f>IF('Plant Inputs'!$AR$22=0,0,'Plant Inputs'!$DQ39*INDEX(Conversion_Table,MATCH(TRACICalcUnit,Conversion_Rows,0),MATCH(AE$107,Conversion_Columns,0)))</f>
        <v>0</v>
      </c>
      <c r="AF117" s="387">
        <f t="shared" si="17"/>
        <v>0</v>
      </c>
      <c r="AG117" s="388">
        <f t="shared" si="3"/>
        <v>0</v>
      </c>
      <c r="AH117" s="380" t="str">
        <f t="shared" si="4"/>
        <v/>
      </c>
      <c r="AI117" s="387" t="str">
        <f t="shared" si="18"/>
        <v/>
      </c>
      <c r="AJ117" s="380">
        <f t="shared" si="5"/>
        <v>0</v>
      </c>
      <c r="AK117" s="380" t="str">
        <f t="shared" si="6"/>
        <v/>
      </c>
      <c r="AL117" s="387" t="str">
        <f t="shared" si="7"/>
        <v/>
      </c>
      <c r="AM117" s="389"/>
      <c r="AN117" s="390">
        <f>IF('Plant Inputs'!$AR$22=0,0,'Plant Inputs'!$AX39*INDEX(Conversion_Table,MATCH(TRACICalcUnit,Conversion_Rows,0),MATCH(TRACIPerTonneDisplayUnit,Conversion_Columns,0))/'Plant Inputs'!$AT$22)</f>
        <v>0</v>
      </c>
      <c r="AO117" s="390">
        <f>IF('Plant Inputs'!$AR$22=0,0,'Plant Inputs'!$DQ39*INDEX(Conversion_Table,MATCH(TRACICalcUnit,Conversion_Rows,0),MATCH(TRACIPerTonneDisplayUnit,Conversion_Columns,0))/'Plant Inputs'!$AT$22)</f>
        <v>0</v>
      </c>
      <c r="AP117" s="390">
        <f t="shared" si="19"/>
        <v>0</v>
      </c>
      <c r="AQ117" s="388">
        <f t="shared" si="8"/>
        <v>0</v>
      </c>
      <c r="AR117" s="380" t="str">
        <f t="shared" si="20"/>
        <v/>
      </c>
      <c r="AS117" s="387" t="str">
        <f t="shared" si="21"/>
        <v/>
      </c>
      <c r="AT117" s="387">
        <f t="shared" si="22"/>
        <v>0</v>
      </c>
      <c r="AU117" s="380" t="str">
        <f t="shared" si="9"/>
        <v/>
      </c>
      <c r="AV117" s="387" t="str">
        <f t="shared" si="10"/>
        <v/>
      </c>
      <c r="AW117" s="389"/>
      <c r="AX117" s="391"/>
      <c r="AY117" s="391"/>
      <c r="AZ117" s="391"/>
      <c r="BA117" s="391"/>
      <c r="BB117" s="391"/>
    </row>
    <row r="118" spans="3:54" ht="15">
      <c r="C118" s="292" t="str">
        <f>'Plant Inputs'!D40</f>
        <v>SCMs - Silica Fume</v>
      </c>
      <c r="D118" s="293">
        <f t="shared" si="11"/>
        <v>0</v>
      </c>
      <c r="E118" s="293">
        <f t="shared" si="12"/>
        <v>0</v>
      </c>
      <c r="F118" s="293">
        <f t="shared" si="13"/>
        <v>0</v>
      </c>
      <c r="G118" s="294">
        <f t="shared" si="14"/>
        <v>0</v>
      </c>
      <c r="H118" s="294">
        <f t="shared" si="15"/>
        <v>0</v>
      </c>
      <c r="I118" s="294">
        <f t="shared" si="16"/>
        <v>0</v>
      </c>
      <c r="J118" s="295">
        <f t="shared" si="0"/>
        <v>0</v>
      </c>
      <c r="K118" s="295">
        <f t="shared" si="1"/>
        <v>0</v>
      </c>
      <c r="L118" s="295">
        <f t="shared" si="2"/>
        <v>0</v>
      </c>
      <c r="AB118" s="380">
        <f>'Plant Inputs'!C40</f>
        <v>11</v>
      </c>
      <c r="AC118" s="384" t="str">
        <f>'Plant Inputs'!D40</f>
        <v>SCMs - Silica Fume</v>
      </c>
      <c r="AD118" s="380">
        <f>IF('Plant Inputs'!$AR$22=0,0,'Plant Inputs'!$AX40*INDEX(Conversion_Table,MATCH(TRACICalcUnit,Conversion_Rows,0),MATCH(AD$107,Conversion_Columns,0)))</f>
        <v>0</v>
      </c>
      <c r="AE118" s="380">
        <f>IF('Plant Inputs'!$AR$22=0,0,'Plant Inputs'!$DQ40*INDEX(Conversion_Table,MATCH(TRACICalcUnit,Conversion_Rows,0),MATCH(AE$107,Conversion_Columns,0)))</f>
        <v>0</v>
      </c>
      <c r="AF118" s="387">
        <f t="shared" si="17"/>
        <v>0</v>
      </c>
      <c r="AG118" s="388">
        <f t="shared" si="3"/>
        <v>0</v>
      </c>
      <c r="AH118" s="380" t="str">
        <f t="shared" si="4"/>
        <v/>
      </c>
      <c r="AI118" s="387" t="str">
        <f t="shared" si="18"/>
        <v/>
      </c>
      <c r="AJ118" s="380">
        <f t="shared" si="5"/>
        <v>0</v>
      </c>
      <c r="AK118" s="380" t="str">
        <f t="shared" si="6"/>
        <v/>
      </c>
      <c r="AL118" s="387" t="str">
        <f t="shared" si="7"/>
        <v/>
      </c>
      <c r="AM118" s="389"/>
      <c r="AN118" s="390">
        <f>IF('Plant Inputs'!$AR$22=0,0,'Plant Inputs'!$AX40*INDEX(Conversion_Table,MATCH(TRACICalcUnit,Conversion_Rows,0),MATCH(TRACIPerTonneDisplayUnit,Conversion_Columns,0))/'Plant Inputs'!$AT$22)</f>
        <v>0</v>
      </c>
      <c r="AO118" s="390">
        <f>IF('Plant Inputs'!$AR$22=0,0,'Plant Inputs'!$DQ40*INDEX(Conversion_Table,MATCH(TRACICalcUnit,Conversion_Rows,0),MATCH(TRACIPerTonneDisplayUnit,Conversion_Columns,0))/'Plant Inputs'!$AT$22)</f>
        <v>0</v>
      </c>
      <c r="AP118" s="390">
        <f t="shared" si="19"/>
        <v>0</v>
      </c>
      <c r="AQ118" s="388">
        <f t="shared" si="8"/>
        <v>0</v>
      </c>
      <c r="AR118" s="380" t="str">
        <f t="shared" si="20"/>
        <v/>
      </c>
      <c r="AS118" s="387" t="str">
        <f t="shared" si="21"/>
        <v/>
      </c>
      <c r="AT118" s="387">
        <f t="shared" si="22"/>
        <v>0</v>
      </c>
      <c r="AU118" s="380" t="str">
        <f t="shared" si="9"/>
        <v/>
      </c>
      <c r="AV118" s="387" t="str">
        <f t="shared" si="10"/>
        <v/>
      </c>
      <c r="AW118" s="389"/>
      <c r="AX118" s="391"/>
      <c r="AY118" s="391"/>
      <c r="AZ118" s="391"/>
      <c r="BA118" s="391"/>
      <c r="BB118" s="391"/>
    </row>
    <row r="119" spans="3:54" ht="15">
      <c r="C119" s="292" t="str">
        <f>'Plant Inputs'!D41</f>
        <v>Slag Cement</v>
      </c>
      <c r="D119" s="293">
        <f t="shared" si="11"/>
        <v>0</v>
      </c>
      <c r="E119" s="293">
        <f t="shared" si="12"/>
        <v>0</v>
      </c>
      <c r="F119" s="293">
        <f t="shared" si="13"/>
        <v>0</v>
      </c>
      <c r="G119" s="294">
        <f t="shared" si="14"/>
        <v>0</v>
      </c>
      <c r="H119" s="294">
        <f t="shared" si="15"/>
        <v>0</v>
      </c>
      <c r="I119" s="294">
        <f t="shared" si="16"/>
        <v>0</v>
      </c>
      <c r="J119" s="295">
        <f t="shared" si="0"/>
        <v>0</v>
      </c>
      <c r="K119" s="295">
        <f t="shared" si="1"/>
        <v>0</v>
      </c>
      <c r="L119" s="295">
        <f t="shared" si="2"/>
        <v>0</v>
      </c>
      <c r="AB119" s="380">
        <f>'Plant Inputs'!C41</f>
        <v>12</v>
      </c>
      <c r="AC119" s="384" t="str">
        <f>'Plant Inputs'!D41</f>
        <v>Slag Cement</v>
      </c>
      <c r="AD119" s="380">
        <f>IF('Plant Inputs'!$AR$22=0,0,'Plant Inputs'!$AX41*INDEX(Conversion_Table,MATCH(TRACICalcUnit,Conversion_Rows,0),MATCH(AD$107,Conversion_Columns,0)))</f>
        <v>0</v>
      </c>
      <c r="AE119" s="380">
        <f>IF('Plant Inputs'!$AR$22=0,0,'Plant Inputs'!$DQ41*INDEX(Conversion_Table,MATCH(TRACICalcUnit,Conversion_Rows,0),MATCH(AE$107,Conversion_Columns,0)))</f>
        <v>0</v>
      </c>
      <c r="AF119" s="387">
        <f t="shared" si="17"/>
        <v>0</v>
      </c>
      <c r="AG119" s="388">
        <f t="shared" si="3"/>
        <v>0</v>
      </c>
      <c r="AH119" s="380" t="str">
        <f t="shared" si="4"/>
        <v/>
      </c>
      <c r="AI119" s="387" t="str">
        <f t="shared" si="18"/>
        <v/>
      </c>
      <c r="AJ119" s="380">
        <f t="shared" si="5"/>
        <v>0</v>
      </c>
      <c r="AK119" s="380" t="str">
        <f t="shared" si="6"/>
        <v/>
      </c>
      <c r="AL119" s="387" t="str">
        <f t="shared" si="7"/>
        <v/>
      </c>
      <c r="AM119" s="389"/>
      <c r="AN119" s="390">
        <f>IF('Plant Inputs'!$AR$22=0,0,'Plant Inputs'!$AX41*INDEX(Conversion_Table,MATCH(TRACICalcUnit,Conversion_Rows,0),MATCH(TRACIPerTonneDisplayUnit,Conversion_Columns,0))/'Plant Inputs'!$AT$22)</f>
        <v>0</v>
      </c>
      <c r="AO119" s="390">
        <f>IF('Plant Inputs'!$AR$22=0,0,'Plant Inputs'!$DQ41*INDEX(Conversion_Table,MATCH(TRACICalcUnit,Conversion_Rows,0),MATCH(TRACIPerTonneDisplayUnit,Conversion_Columns,0))/'Plant Inputs'!$AT$22)</f>
        <v>0</v>
      </c>
      <c r="AP119" s="390">
        <f t="shared" si="19"/>
        <v>0</v>
      </c>
      <c r="AQ119" s="388">
        <f t="shared" si="8"/>
        <v>0</v>
      </c>
      <c r="AR119" s="380" t="str">
        <f t="shared" si="20"/>
        <v/>
      </c>
      <c r="AS119" s="387" t="str">
        <f t="shared" si="21"/>
        <v/>
      </c>
      <c r="AT119" s="387">
        <f t="shared" si="22"/>
        <v>0</v>
      </c>
      <c r="AU119" s="380" t="str">
        <f t="shared" si="9"/>
        <v/>
      </c>
      <c r="AV119" s="387" t="str">
        <f t="shared" si="10"/>
        <v/>
      </c>
      <c r="AW119" s="389"/>
      <c r="AX119" s="391"/>
      <c r="AY119" s="391"/>
      <c r="AZ119" s="391"/>
      <c r="BA119" s="391"/>
      <c r="BB119" s="391"/>
    </row>
    <row r="120" spans="3:54" ht="15">
      <c r="C120" s="292" t="str">
        <f>'Plant Inputs'!D42</f>
        <v>Chemical Admixture - Air Entraining Agent</v>
      </c>
      <c r="D120" s="293">
        <f t="shared" si="11"/>
        <v>0</v>
      </c>
      <c r="E120" s="293">
        <f t="shared" si="12"/>
        <v>0</v>
      </c>
      <c r="F120" s="293">
        <f t="shared" si="13"/>
        <v>0</v>
      </c>
      <c r="G120" s="294">
        <f t="shared" si="14"/>
        <v>0</v>
      </c>
      <c r="H120" s="294">
        <f t="shared" si="15"/>
        <v>0</v>
      </c>
      <c r="I120" s="294">
        <f t="shared" si="16"/>
        <v>0</v>
      </c>
      <c r="J120" s="295">
        <f t="shared" si="0"/>
        <v>0</v>
      </c>
      <c r="K120" s="295">
        <f t="shared" si="1"/>
        <v>0</v>
      </c>
      <c r="L120" s="295">
        <f t="shared" si="2"/>
        <v>0</v>
      </c>
      <c r="AB120" s="380">
        <f>'Plant Inputs'!C42</f>
        <v>13</v>
      </c>
      <c r="AC120" s="384" t="str">
        <f>'Plant Inputs'!D42</f>
        <v>Chemical Admixture - Air Entraining Agent</v>
      </c>
      <c r="AD120" s="380">
        <f>IF('Plant Inputs'!$AR$22=0,0,'Plant Inputs'!$AX42*INDEX(Conversion_Table,MATCH(TRACICalcUnit,Conversion_Rows,0),MATCH(AD$107,Conversion_Columns,0)))</f>
        <v>0</v>
      </c>
      <c r="AE120" s="380">
        <f>IF('Plant Inputs'!$AR$22=0,0,'Plant Inputs'!$DQ42*INDEX(Conversion_Table,MATCH(TRACICalcUnit,Conversion_Rows,0),MATCH(AE$107,Conversion_Columns,0)))</f>
        <v>0</v>
      </c>
      <c r="AF120" s="387">
        <f t="shared" si="17"/>
        <v>0</v>
      </c>
      <c r="AG120" s="388">
        <f t="shared" si="3"/>
        <v>0</v>
      </c>
      <c r="AH120" s="380" t="str">
        <f t="shared" si="4"/>
        <v/>
      </c>
      <c r="AI120" s="387" t="str">
        <f t="shared" si="18"/>
        <v/>
      </c>
      <c r="AJ120" s="380">
        <f t="shared" si="5"/>
        <v>0</v>
      </c>
      <c r="AK120" s="380" t="str">
        <f t="shared" si="6"/>
        <v/>
      </c>
      <c r="AL120" s="387" t="str">
        <f t="shared" si="7"/>
        <v/>
      </c>
      <c r="AM120" s="389"/>
      <c r="AN120" s="390">
        <f>IF('Plant Inputs'!$AR$22=0,0,'Plant Inputs'!$AX42*INDEX(Conversion_Table,MATCH(TRACICalcUnit,Conversion_Rows,0),MATCH(TRACIPerTonneDisplayUnit,Conversion_Columns,0))/'Plant Inputs'!$AT$22)</f>
        <v>0</v>
      </c>
      <c r="AO120" s="390">
        <f>IF('Plant Inputs'!$AR$22=0,0,'Plant Inputs'!$DQ42*INDEX(Conversion_Table,MATCH(TRACICalcUnit,Conversion_Rows,0),MATCH(TRACIPerTonneDisplayUnit,Conversion_Columns,0))/'Plant Inputs'!$AT$22)</f>
        <v>0</v>
      </c>
      <c r="AP120" s="390">
        <f t="shared" si="19"/>
        <v>0</v>
      </c>
      <c r="AQ120" s="388">
        <f t="shared" si="8"/>
        <v>0</v>
      </c>
      <c r="AR120" s="380" t="str">
        <f t="shared" si="20"/>
        <v/>
      </c>
      <c r="AS120" s="387" t="str">
        <f t="shared" si="21"/>
        <v/>
      </c>
      <c r="AT120" s="387">
        <f t="shared" si="22"/>
        <v>0</v>
      </c>
      <c r="AU120" s="380" t="str">
        <f t="shared" si="9"/>
        <v/>
      </c>
      <c r="AV120" s="387" t="str">
        <f t="shared" si="10"/>
        <v/>
      </c>
      <c r="AW120" s="389"/>
      <c r="AX120" s="391"/>
      <c r="AY120" s="391"/>
      <c r="AZ120" s="391"/>
      <c r="BA120" s="391"/>
      <c r="BB120" s="391"/>
    </row>
    <row r="121" spans="3:54" ht="15">
      <c r="C121" s="292" t="str">
        <f>'Plant Inputs'!D43</f>
        <v>Chemical Admixture - Water Reducer/Plasticizer</v>
      </c>
      <c r="D121" s="293">
        <f t="shared" si="11"/>
        <v>0</v>
      </c>
      <c r="E121" s="293">
        <f t="shared" si="12"/>
        <v>0</v>
      </c>
      <c r="F121" s="293">
        <f t="shared" si="13"/>
        <v>0</v>
      </c>
      <c r="G121" s="294">
        <f t="shared" si="14"/>
        <v>0</v>
      </c>
      <c r="H121" s="294">
        <f t="shared" si="15"/>
        <v>0</v>
      </c>
      <c r="I121" s="294">
        <f t="shared" si="16"/>
        <v>0</v>
      </c>
      <c r="J121" s="295">
        <f t="shared" si="0"/>
        <v>0</v>
      </c>
      <c r="K121" s="295">
        <f t="shared" si="1"/>
        <v>0</v>
      </c>
      <c r="L121" s="295">
        <f t="shared" si="2"/>
        <v>0</v>
      </c>
      <c r="AB121" s="380">
        <f>'Plant Inputs'!C43</f>
        <v>14</v>
      </c>
      <c r="AC121" s="384" t="str">
        <f>'Plant Inputs'!D43</f>
        <v>Chemical Admixture - Water Reducer/Plasticizer</v>
      </c>
      <c r="AD121" s="380">
        <f>IF('Plant Inputs'!$AR$22=0,0,'Plant Inputs'!$AX43*INDEX(Conversion_Table,MATCH(TRACICalcUnit,Conversion_Rows,0),MATCH(AD$107,Conversion_Columns,0)))</f>
        <v>0</v>
      </c>
      <c r="AE121" s="380">
        <f>IF('Plant Inputs'!$AR$22=0,0,'Plant Inputs'!$DQ43*INDEX(Conversion_Table,MATCH(TRACICalcUnit,Conversion_Rows,0),MATCH(AE$107,Conversion_Columns,0)))</f>
        <v>0</v>
      </c>
      <c r="AF121" s="387">
        <f t="shared" si="17"/>
        <v>0</v>
      </c>
      <c r="AG121" s="388">
        <f t="shared" si="3"/>
        <v>0</v>
      </c>
      <c r="AH121" s="380" t="str">
        <f t="shared" si="4"/>
        <v/>
      </c>
      <c r="AI121" s="387" t="str">
        <f t="shared" si="18"/>
        <v/>
      </c>
      <c r="AJ121" s="380">
        <f t="shared" si="5"/>
        <v>0</v>
      </c>
      <c r="AK121" s="380" t="str">
        <f t="shared" si="6"/>
        <v/>
      </c>
      <c r="AL121" s="387" t="str">
        <f t="shared" si="7"/>
        <v/>
      </c>
      <c r="AM121" s="389"/>
      <c r="AN121" s="390">
        <f>IF('Plant Inputs'!$AR$22=0,0,'Plant Inputs'!$AX43*INDEX(Conversion_Table,MATCH(TRACICalcUnit,Conversion_Rows,0),MATCH(TRACIPerTonneDisplayUnit,Conversion_Columns,0))/'Plant Inputs'!$AT$22)</f>
        <v>0</v>
      </c>
      <c r="AO121" s="390">
        <f>IF('Plant Inputs'!$AR$22=0,0,'Plant Inputs'!$DQ43*INDEX(Conversion_Table,MATCH(TRACICalcUnit,Conversion_Rows,0),MATCH(TRACIPerTonneDisplayUnit,Conversion_Columns,0))/'Plant Inputs'!$AT$22)</f>
        <v>0</v>
      </c>
      <c r="AP121" s="390">
        <f t="shared" si="19"/>
        <v>0</v>
      </c>
      <c r="AQ121" s="388">
        <f t="shared" si="8"/>
        <v>0</v>
      </c>
      <c r="AR121" s="380" t="str">
        <f t="shared" si="20"/>
        <v/>
      </c>
      <c r="AS121" s="387" t="str">
        <f t="shared" si="21"/>
        <v/>
      </c>
      <c r="AT121" s="387">
        <f t="shared" si="22"/>
        <v>0</v>
      </c>
      <c r="AU121" s="380" t="str">
        <f t="shared" si="9"/>
        <v/>
      </c>
      <c r="AV121" s="387" t="str">
        <f t="shared" si="10"/>
        <v/>
      </c>
      <c r="AW121" s="389"/>
      <c r="AX121" s="391"/>
      <c r="AY121" s="391"/>
      <c r="AZ121" s="391"/>
      <c r="BA121" s="391"/>
      <c r="BB121" s="391"/>
    </row>
    <row r="122" spans="3:54" ht="15">
      <c r="C122" s="292" t="str">
        <f>'Plant Inputs'!D44</f>
        <v>Chemical Admixture - Accelerator</v>
      </c>
      <c r="D122" s="293">
        <f t="shared" si="11"/>
        <v>0</v>
      </c>
      <c r="E122" s="293">
        <f t="shared" si="12"/>
        <v>0</v>
      </c>
      <c r="F122" s="293">
        <f t="shared" si="13"/>
        <v>0</v>
      </c>
      <c r="G122" s="294">
        <f t="shared" si="14"/>
        <v>0</v>
      </c>
      <c r="H122" s="294">
        <f t="shared" si="15"/>
        <v>0</v>
      </c>
      <c r="I122" s="294">
        <f t="shared" si="16"/>
        <v>0</v>
      </c>
      <c r="J122" s="295">
        <f t="shared" si="0"/>
        <v>0</v>
      </c>
      <c r="K122" s="295">
        <f t="shared" si="1"/>
        <v>0</v>
      </c>
      <c r="L122" s="295">
        <f t="shared" si="2"/>
        <v>0</v>
      </c>
      <c r="AB122" s="380">
        <f>'Plant Inputs'!C44</f>
        <v>15</v>
      </c>
      <c r="AC122" s="384" t="str">
        <f>'Plant Inputs'!D44</f>
        <v>Chemical Admixture - Accelerator</v>
      </c>
      <c r="AD122" s="380">
        <f>IF('Plant Inputs'!$AR$22=0,0,'Plant Inputs'!$AX44*INDEX(Conversion_Table,MATCH(TRACICalcUnit,Conversion_Rows,0),MATCH(AD$107,Conversion_Columns,0)))</f>
        <v>0</v>
      </c>
      <c r="AE122" s="380">
        <f>IF('Plant Inputs'!$AR$22=0,0,'Plant Inputs'!$DQ44*INDEX(Conversion_Table,MATCH(TRACICalcUnit,Conversion_Rows,0),MATCH(AE$107,Conversion_Columns,0)))</f>
        <v>0</v>
      </c>
      <c r="AF122" s="387">
        <f t="shared" si="17"/>
        <v>0</v>
      </c>
      <c r="AG122" s="388">
        <f t="shared" si="3"/>
        <v>0</v>
      </c>
      <c r="AH122" s="380" t="str">
        <f t="shared" si="4"/>
        <v/>
      </c>
      <c r="AI122" s="387" t="str">
        <f t="shared" si="18"/>
        <v/>
      </c>
      <c r="AJ122" s="380">
        <f t="shared" si="5"/>
        <v>0</v>
      </c>
      <c r="AK122" s="380" t="str">
        <f t="shared" si="6"/>
        <v/>
      </c>
      <c r="AL122" s="387" t="str">
        <f t="shared" si="7"/>
        <v/>
      </c>
      <c r="AM122" s="389"/>
      <c r="AN122" s="390">
        <f>IF('Plant Inputs'!$AR$22=0,0,'Plant Inputs'!$AX44*INDEX(Conversion_Table,MATCH(TRACICalcUnit,Conversion_Rows,0),MATCH(TRACIPerTonneDisplayUnit,Conversion_Columns,0))/'Plant Inputs'!$AT$22)</f>
        <v>0</v>
      </c>
      <c r="AO122" s="390">
        <f>IF('Plant Inputs'!$AR$22=0,0,'Plant Inputs'!$DQ44*INDEX(Conversion_Table,MATCH(TRACICalcUnit,Conversion_Rows,0),MATCH(TRACIPerTonneDisplayUnit,Conversion_Columns,0))/'Plant Inputs'!$AT$22)</f>
        <v>0</v>
      </c>
      <c r="AP122" s="390">
        <f t="shared" si="19"/>
        <v>0</v>
      </c>
      <c r="AQ122" s="388">
        <f t="shared" si="8"/>
        <v>0</v>
      </c>
      <c r="AR122" s="380" t="str">
        <f t="shared" si="20"/>
        <v/>
      </c>
      <c r="AS122" s="387" t="str">
        <f t="shared" si="21"/>
        <v/>
      </c>
      <c r="AT122" s="387">
        <f t="shared" si="22"/>
        <v>0</v>
      </c>
      <c r="AU122" s="380" t="str">
        <f t="shared" si="9"/>
        <v/>
      </c>
      <c r="AV122" s="387" t="str">
        <f t="shared" si="10"/>
        <v/>
      </c>
      <c r="AW122" s="389"/>
      <c r="AX122" s="391"/>
      <c r="AY122" s="391"/>
      <c r="AZ122" s="391"/>
      <c r="BA122" s="391"/>
      <c r="BB122" s="391"/>
    </row>
    <row r="123" spans="3:54" ht="15">
      <c r="C123" s="292" t="str">
        <f>'Plant Inputs'!D45</f>
        <v>Chemical Admixture - High Range Water Reducer (HRWR)/Super Plasticizer</v>
      </c>
      <c r="D123" s="293">
        <f t="shared" si="11"/>
        <v>0</v>
      </c>
      <c r="E123" s="293">
        <f t="shared" si="12"/>
        <v>0</v>
      </c>
      <c r="F123" s="293">
        <f t="shared" si="13"/>
        <v>0</v>
      </c>
      <c r="G123" s="294">
        <f t="shared" si="14"/>
        <v>0</v>
      </c>
      <c r="H123" s="294">
        <f t="shared" si="15"/>
        <v>0</v>
      </c>
      <c r="I123" s="294">
        <f t="shared" si="16"/>
        <v>0</v>
      </c>
      <c r="J123" s="295">
        <f t="shared" si="0"/>
        <v>0</v>
      </c>
      <c r="K123" s="295">
        <f t="shared" si="1"/>
        <v>0</v>
      </c>
      <c r="L123" s="295">
        <f t="shared" si="2"/>
        <v>0</v>
      </c>
      <c r="AB123" s="380">
        <f>'Plant Inputs'!C45</f>
        <v>16</v>
      </c>
      <c r="AC123" s="384" t="str">
        <f>'Plant Inputs'!D45</f>
        <v>Chemical Admixture - High Range Water Reducer (HRWR)/Super Plasticizer</v>
      </c>
      <c r="AD123" s="380">
        <f>IF('Plant Inputs'!$AR$22=0,0,'Plant Inputs'!$AX45*INDEX(Conversion_Table,MATCH(TRACICalcUnit,Conversion_Rows,0),MATCH(AD$107,Conversion_Columns,0)))</f>
        <v>0</v>
      </c>
      <c r="AE123" s="380">
        <f>IF('Plant Inputs'!$AR$22=0,0,'Plant Inputs'!$DQ45*INDEX(Conversion_Table,MATCH(TRACICalcUnit,Conversion_Rows,0),MATCH(AE$107,Conversion_Columns,0)))</f>
        <v>0</v>
      </c>
      <c r="AF123" s="387">
        <f t="shared" si="17"/>
        <v>0</v>
      </c>
      <c r="AG123" s="388">
        <f t="shared" si="3"/>
        <v>0</v>
      </c>
      <c r="AH123" s="380" t="str">
        <f t="shared" si="4"/>
        <v/>
      </c>
      <c r="AI123" s="387" t="str">
        <f t="shared" si="18"/>
        <v/>
      </c>
      <c r="AJ123" s="380">
        <f t="shared" si="5"/>
        <v>0</v>
      </c>
      <c r="AK123" s="380" t="str">
        <f t="shared" si="6"/>
        <v/>
      </c>
      <c r="AL123" s="387" t="str">
        <f t="shared" si="7"/>
        <v/>
      </c>
      <c r="AM123" s="389"/>
      <c r="AN123" s="390">
        <f>IF('Plant Inputs'!$AR$22=0,0,'Plant Inputs'!$AX45*INDEX(Conversion_Table,MATCH(TRACICalcUnit,Conversion_Rows,0),MATCH(TRACIPerTonneDisplayUnit,Conversion_Columns,0))/'Plant Inputs'!$AT$22)</f>
        <v>0</v>
      </c>
      <c r="AO123" s="390">
        <f>IF('Plant Inputs'!$AR$22=0,0,'Plant Inputs'!$DQ45*INDEX(Conversion_Table,MATCH(TRACICalcUnit,Conversion_Rows,0),MATCH(TRACIPerTonneDisplayUnit,Conversion_Columns,0))/'Plant Inputs'!$AT$22)</f>
        <v>0</v>
      </c>
      <c r="AP123" s="390">
        <f t="shared" si="19"/>
        <v>0</v>
      </c>
      <c r="AQ123" s="388">
        <f t="shared" si="8"/>
        <v>0</v>
      </c>
      <c r="AR123" s="380" t="str">
        <f t="shared" si="20"/>
        <v/>
      </c>
      <c r="AS123" s="387" t="str">
        <f t="shared" si="21"/>
        <v/>
      </c>
      <c r="AT123" s="387">
        <f t="shared" si="22"/>
        <v>0</v>
      </c>
      <c r="AU123" s="380" t="str">
        <f t="shared" si="9"/>
        <v/>
      </c>
      <c r="AV123" s="387" t="str">
        <f t="shared" si="10"/>
        <v/>
      </c>
      <c r="AW123" s="389"/>
      <c r="AX123" s="391"/>
      <c r="AY123" s="391"/>
      <c r="AZ123" s="391"/>
      <c r="BA123" s="391"/>
      <c r="BB123" s="391"/>
    </row>
    <row r="124" spans="3:54" ht="15">
      <c r="C124" s="292" t="str">
        <f>'Plant Inputs'!D46</f>
        <v>Chemical Admixture - Corrosion Inhibiting</v>
      </c>
      <c r="D124" s="293">
        <f>AD124</f>
        <v>0</v>
      </c>
      <c r="E124" s="293">
        <f>AE124</f>
        <v>0</v>
      </c>
      <c r="F124" s="293">
        <f>AF124</f>
        <v>0</v>
      </c>
      <c r="G124" s="294">
        <f>AN124</f>
        <v>0</v>
      </c>
      <c r="H124" s="294">
        <f>AO124</f>
        <v>0</v>
      </c>
      <c r="I124" s="294">
        <f>AP124</f>
        <v>0</v>
      </c>
      <c r="J124" s="295">
        <f t="shared" si="0"/>
        <v>0</v>
      </c>
      <c r="K124" s="295">
        <f t="shared" si="1"/>
        <v>0</v>
      </c>
      <c r="L124" s="295">
        <f t="shared" si="2"/>
        <v>0</v>
      </c>
      <c r="AB124" s="380">
        <f>'Plant Inputs'!C46</f>
        <v>17</v>
      </c>
      <c r="AC124" s="384" t="str">
        <f>'Plant Inputs'!D46</f>
        <v>Chemical Admixture - Corrosion Inhibiting</v>
      </c>
      <c r="AD124" s="380">
        <f>IF('Plant Inputs'!$AR$22=0,0,'Plant Inputs'!$AX46*INDEX(Conversion_Table,MATCH(TRACICalcUnit,Conversion_Rows,0),MATCH(AD$107,Conversion_Columns,0)))</f>
        <v>0</v>
      </c>
      <c r="AE124" s="380">
        <f>IF('Plant Inputs'!$AR$22=0,0,'Plant Inputs'!$DQ46*INDEX(Conversion_Table,MATCH(TRACICalcUnit,Conversion_Rows,0),MATCH(AE$107,Conversion_Columns,0)))</f>
        <v>0</v>
      </c>
      <c r="AF124" s="387">
        <f>AE124+AD124</f>
        <v>0</v>
      </c>
      <c r="AG124" s="388">
        <f t="shared" si="3"/>
        <v>0</v>
      </c>
      <c r="AH124" s="380" t="str">
        <f>IF(AG124&gt;$AD$103,AC124,"")</f>
        <v/>
      </c>
      <c r="AI124" s="387" t="str">
        <f t="shared" si="18"/>
        <v/>
      </c>
      <c r="AJ124" s="380">
        <f>IF(AG124&lt;$AD$103,AF124,"")</f>
        <v>0</v>
      </c>
      <c r="AK124" s="380" t="str">
        <f t="shared" si="6"/>
        <v/>
      </c>
      <c r="AL124" s="387" t="str">
        <f t="shared" si="7"/>
        <v/>
      </c>
      <c r="AM124" s="389"/>
      <c r="AN124" s="390">
        <f>IF('Plant Inputs'!$AR$22=0,0,'Plant Inputs'!$AX46*INDEX(Conversion_Table,MATCH(TRACICalcUnit,Conversion_Rows,0),MATCH(TRACIPerTonneDisplayUnit,Conversion_Columns,0))/'Plant Inputs'!$AT$22)</f>
        <v>0</v>
      </c>
      <c r="AO124" s="390">
        <f>IF('Plant Inputs'!$AR$22=0,0,'Plant Inputs'!$DQ46*INDEX(Conversion_Table,MATCH(TRACICalcUnit,Conversion_Rows,0),MATCH(TRACIPerTonneDisplayUnit,Conversion_Columns,0))/'Plant Inputs'!$AT$22)</f>
        <v>0</v>
      </c>
      <c r="AP124" s="390">
        <f>AO124+AN124</f>
        <v>0</v>
      </c>
      <c r="AQ124" s="388">
        <f t="shared" si="8"/>
        <v>0</v>
      </c>
      <c r="AR124" s="380" t="str">
        <f>IF(AQ124&gt;$AD$103,$AC124,"")</f>
        <v/>
      </c>
      <c r="AS124" s="387" t="str">
        <f t="shared" si="21"/>
        <v/>
      </c>
      <c r="AT124" s="387">
        <f>IF(AQ124&lt;$AD$103,AP124,"")</f>
        <v>0</v>
      </c>
      <c r="AU124" s="380" t="str">
        <f t="shared" si="9"/>
        <v/>
      </c>
      <c r="AV124" s="387" t="str">
        <f t="shared" si="10"/>
        <v/>
      </c>
      <c r="AW124" s="389"/>
      <c r="AX124" s="391"/>
      <c r="AY124" s="391"/>
      <c r="AZ124" s="391"/>
      <c r="BA124" s="391"/>
      <c r="BB124" s="391"/>
    </row>
    <row r="125" spans="3:54" ht="15">
      <c r="C125" s="292" t="str">
        <f>'Plant Inputs'!D47</f>
        <v>Chemical Admixture - Viscosity Modifying Admixture (VMA)</v>
      </c>
      <c r="D125" s="293">
        <f t="shared" si="11"/>
        <v>0</v>
      </c>
      <c r="E125" s="293">
        <f t="shared" si="12"/>
        <v>0</v>
      </c>
      <c r="F125" s="293">
        <f t="shared" si="13"/>
        <v>0</v>
      </c>
      <c r="G125" s="294">
        <f t="shared" si="14"/>
        <v>0</v>
      </c>
      <c r="H125" s="294">
        <f t="shared" si="15"/>
        <v>0</v>
      </c>
      <c r="I125" s="294">
        <f t="shared" si="16"/>
        <v>0</v>
      </c>
      <c r="J125" s="295">
        <f t="shared" si="0"/>
        <v>0</v>
      </c>
      <c r="K125" s="295">
        <f t="shared" si="1"/>
        <v>0</v>
      </c>
      <c r="L125" s="295">
        <f t="shared" si="2"/>
        <v>0</v>
      </c>
      <c r="AB125" s="380">
        <f>'Plant Inputs'!C47</f>
        <v>18</v>
      </c>
      <c r="AC125" s="384" t="str">
        <f>'Plant Inputs'!D47</f>
        <v>Chemical Admixture - Viscosity Modifying Admixture (VMA)</v>
      </c>
      <c r="AD125" s="380">
        <f>IF('Plant Inputs'!$AR$22=0,0,'Plant Inputs'!$AX47*INDEX(Conversion_Table,MATCH(TRACICalcUnit,Conversion_Rows,0),MATCH(AD$107,Conversion_Columns,0)))</f>
        <v>0</v>
      </c>
      <c r="AE125" s="380">
        <f>IF('Plant Inputs'!$AR$22=0,0,'Plant Inputs'!$DQ47*INDEX(Conversion_Table,MATCH(TRACICalcUnit,Conversion_Rows,0),MATCH(AE$107,Conversion_Columns,0)))</f>
        <v>0</v>
      </c>
      <c r="AF125" s="387">
        <f t="shared" si="17"/>
        <v>0</v>
      </c>
      <c r="AG125" s="388">
        <f t="shared" si="3"/>
        <v>0</v>
      </c>
      <c r="AH125" s="380" t="str">
        <f t="shared" si="4"/>
        <v/>
      </c>
      <c r="AI125" s="387" t="str">
        <f t="shared" si="18"/>
        <v/>
      </c>
      <c r="AJ125" s="380">
        <f t="shared" si="5"/>
        <v>0</v>
      </c>
      <c r="AK125" s="380" t="str">
        <f t="shared" si="6"/>
        <v/>
      </c>
      <c r="AL125" s="387" t="str">
        <f t="shared" si="7"/>
        <v/>
      </c>
      <c r="AM125" s="389"/>
      <c r="AN125" s="390">
        <f>IF('Plant Inputs'!$AR$22=0,0,'Plant Inputs'!$AX47*INDEX(Conversion_Table,MATCH(TRACICalcUnit,Conversion_Rows,0),MATCH(TRACIPerTonneDisplayUnit,Conversion_Columns,0))/'Plant Inputs'!$AT$22)</f>
        <v>0</v>
      </c>
      <c r="AO125" s="390">
        <f>IF('Plant Inputs'!$AR$22=0,0,'Plant Inputs'!$DQ47*INDEX(Conversion_Table,MATCH(TRACICalcUnit,Conversion_Rows,0),MATCH(TRACIPerTonneDisplayUnit,Conversion_Columns,0))/'Plant Inputs'!$AT$22)</f>
        <v>0</v>
      </c>
      <c r="AP125" s="390">
        <f t="shared" si="19"/>
        <v>0</v>
      </c>
      <c r="AQ125" s="388">
        <f t="shared" si="8"/>
        <v>0</v>
      </c>
      <c r="AR125" s="380" t="str">
        <f t="shared" si="20"/>
        <v/>
      </c>
      <c r="AS125" s="387" t="str">
        <f t="shared" si="21"/>
        <v/>
      </c>
      <c r="AT125" s="387">
        <f t="shared" si="22"/>
        <v>0</v>
      </c>
      <c r="AU125" s="380" t="str">
        <f t="shared" si="9"/>
        <v/>
      </c>
      <c r="AV125" s="387" t="str">
        <f t="shared" si="10"/>
        <v/>
      </c>
      <c r="AW125" s="389"/>
      <c r="AX125" s="391"/>
      <c r="AY125" s="391"/>
      <c r="AZ125" s="391"/>
      <c r="BA125" s="391"/>
      <c r="BB125" s="391"/>
    </row>
    <row r="126" spans="3:54" ht="15">
      <c r="C126" s="292" t="str">
        <f>'Plant Inputs'!D48</f>
        <v>Form Release Agent</v>
      </c>
      <c r="D126" s="293">
        <f t="shared" si="11"/>
        <v>0</v>
      </c>
      <c r="E126" s="293">
        <f t="shared" si="12"/>
        <v>0</v>
      </c>
      <c r="F126" s="293">
        <f t="shared" si="13"/>
        <v>0</v>
      </c>
      <c r="G126" s="294">
        <f t="shared" si="14"/>
        <v>0</v>
      </c>
      <c r="H126" s="294">
        <f t="shared" si="15"/>
        <v>0</v>
      </c>
      <c r="I126" s="294">
        <f t="shared" si="16"/>
        <v>0</v>
      </c>
      <c r="J126" s="295">
        <f t="shared" si="0"/>
        <v>0</v>
      </c>
      <c r="K126" s="295">
        <f t="shared" si="1"/>
        <v>0</v>
      </c>
      <c r="L126" s="295">
        <f t="shared" si="2"/>
        <v>0</v>
      </c>
      <c r="AB126" s="380">
        <f>'Plant Inputs'!C48</f>
        <v>19</v>
      </c>
      <c r="AC126" s="384" t="str">
        <f>'Plant Inputs'!D48</f>
        <v>Form Release Agent</v>
      </c>
      <c r="AD126" s="380">
        <f>IF('Plant Inputs'!$AR$22=0,0,'Plant Inputs'!$AX48*INDEX(Conversion_Table,MATCH(TRACICalcUnit,Conversion_Rows,0),MATCH(AD$107,Conversion_Columns,0)))</f>
        <v>0</v>
      </c>
      <c r="AE126" s="380">
        <f>IF('Plant Inputs'!$AR$22=0,0,'Plant Inputs'!$DQ48*INDEX(Conversion_Table,MATCH(TRACICalcUnit,Conversion_Rows,0),MATCH(AE$107,Conversion_Columns,0)))</f>
        <v>0</v>
      </c>
      <c r="AF126" s="387">
        <f t="shared" si="17"/>
        <v>0</v>
      </c>
      <c r="AG126" s="388">
        <f t="shared" si="3"/>
        <v>0</v>
      </c>
      <c r="AH126" s="380" t="str">
        <f t="shared" si="4"/>
        <v/>
      </c>
      <c r="AI126" s="387" t="str">
        <f t="shared" si="18"/>
        <v/>
      </c>
      <c r="AJ126" s="380">
        <f t="shared" si="5"/>
        <v>0</v>
      </c>
      <c r="AK126" s="380" t="str">
        <f t="shared" si="6"/>
        <v/>
      </c>
      <c r="AL126" s="387" t="str">
        <f t="shared" si="7"/>
        <v/>
      </c>
      <c r="AM126" s="389"/>
      <c r="AN126" s="390">
        <f>IF('Plant Inputs'!$AR$22=0,0,'Plant Inputs'!$AX48*INDEX(Conversion_Table,MATCH(TRACICalcUnit,Conversion_Rows,0),MATCH(TRACIPerTonneDisplayUnit,Conversion_Columns,0))/'Plant Inputs'!$AT$22)</f>
        <v>0</v>
      </c>
      <c r="AO126" s="390">
        <f>IF('Plant Inputs'!$AR$22=0,0,'Plant Inputs'!$DQ48*INDEX(Conversion_Table,MATCH(TRACICalcUnit,Conversion_Rows,0),MATCH(TRACIPerTonneDisplayUnit,Conversion_Columns,0))/'Plant Inputs'!$AT$22)</f>
        <v>0</v>
      </c>
      <c r="AP126" s="390">
        <f t="shared" si="19"/>
        <v>0</v>
      </c>
      <c r="AQ126" s="388">
        <f t="shared" si="8"/>
        <v>0</v>
      </c>
      <c r="AR126" s="380" t="str">
        <f t="shared" si="20"/>
        <v/>
      </c>
      <c r="AS126" s="387" t="str">
        <f t="shared" si="21"/>
        <v/>
      </c>
      <c r="AT126" s="387">
        <f t="shared" si="22"/>
        <v>0</v>
      </c>
      <c r="AU126" s="380" t="str">
        <f t="shared" si="9"/>
        <v/>
      </c>
      <c r="AV126" s="387" t="str">
        <f t="shared" si="10"/>
        <v/>
      </c>
    </row>
    <row r="127" spans="3:54" ht="15">
      <c r="C127" s="292" t="str">
        <f>'Plant Inputs'!D49</f>
        <v>Rebar</v>
      </c>
      <c r="D127" s="293">
        <f t="shared" si="11"/>
        <v>0</v>
      </c>
      <c r="E127" s="293">
        <f t="shared" si="12"/>
        <v>0</v>
      </c>
      <c r="F127" s="293">
        <f t="shared" si="13"/>
        <v>0</v>
      </c>
      <c r="G127" s="294">
        <f t="shared" si="14"/>
        <v>0</v>
      </c>
      <c r="H127" s="294">
        <f t="shared" si="15"/>
        <v>0</v>
      </c>
      <c r="I127" s="294">
        <f t="shared" si="16"/>
        <v>0</v>
      </c>
      <c r="J127" s="295">
        <f t="shared" si="0"/>
        <v>0</v>
      </c>
      <c r="K127" s="295">
        <f t="shared" si="1"/>
        <v>0</v>
      </c>
      <c r="L127" s="295">
        <f t="shared" si="2"/>
        <v>0</v>
      </c>
      <c r="AB127" s="380">
        <f>'Plant Inputs'!C49</f>
        <v>20</v>
      </c>
      <c r="AC127" s="384" t="str">
        <f>'Plant Inputs'!D49</f>
        <v>Rebar</v>
      </c>
      <c r="AD127" s="380">
        <f>IF('Plant Inputs'!$AR$22=0,0,'Plant Inputs'!$AX49*INDEX(Conversion_Table,MATCH(TRACICalcUnit,Conversion_Rows,0),MATCH(AD$107,Conversion_Columns,0)))</f>
        <v>0</v>
      </c>
      <c r="AE127" s="380">
        <f>IF('Plant Inputs'!$AR$22=0,0,'Plant Inputs'!$DQ49*INDEX(Conversion_Table,MATCH(TRACICalcUnit,Conversion_Rows,0),MATCH(AE$107,Conversion_Columns,0)))</f>
        <v>0</v>
      </c>
      <c r="AF127" s="387">
        <f t="shared" si="17"/>
        <v>0</v>
      </c>
      <c r="AG127" s="388">
        <f t="shared" si="3"/>
        <v>0</v>
      </c>
      <c r="AH127" s="380" t="str">
        <f t="shared" si="4"/>
        <v/>
      </c>
      <c r="AI127" s="387" t="str">
        <f t="shared" si="18"/>
        <v/>
      </c>
      <c r="AJ127" s="380">
        <f t="shared" si="5"/>
        <v>0</v>
      </c>
      <c r="AK127" s="380" t="str">
        <f t="shared" si="6"/>
        <v/>
      </c>
      <c r="AL127" s="387" t="str">
        <f t="shared" si="7"/>
        <v/>
      </c>
      <c r="AM127" s="389"/>
      <c r="AN127" s="390">
        <f>IF('Plant Inputs'!$AR$22=0,0,'Plant Inputs'!$AX49*INDEX(Conversion_Table,MATCH(TRACICalcUnit,Conversion_Rows,0),MATCH(TRACIPerTonneDisplayUnit,Conversion_Columns,0))/'Plant Inputs'!$AT$22)</f>
        <v>0</v>
      </c>
      <c r="AO127" s="390">
        <f>IF('Plant Inputs'!$AR$22=0,0,'Plant Inputs'!$DQ49*INDEX(Conversion_Table,MATCH(TRACICalcUnit,Conversion_Rows,0),MATCH(TRACIPerTonneDisplayUnit,Conversion_Columns,0))/'Plant Inputs'!$AT$22)</f>
        <v>0</v>
      </c>
      <c r="AP127" s="390">
        <f t="shared" si="19"/>
        <v>0</v>
      </c>
      <c r="AQ127" s="388">
        <f t="shared" si="8"/>
        <v>0</v>
      </c>
      <c r="AR127" s="380" t="str">
        <f t="shared" si="20"/>
        <v/>
      </c>
      <c r="AS127" s="387" t="str">
        <f t="shared" si="21"/>
        <v/>
      </c>
      <c r="AT127" s="387">
        <f t="shared" si="22"/>
        <v>0</v>
      </c>
      <c r="AU127" s="380" t="str">
        <f t="shared" si="9"/>
        <v/>
      </c>
      <c r="AV127" s="387" t="str">
        <f t="shared" si="10"/>
        <v/>
      </c>
    </row>
    <row r="128" spans="3:54" ht="15">
      <c r="C128" s="292" t="str">
        <f>'Plant Inputs'!D50</f>
        <v>Welded Wire Reinforcement (WWR)</v>
      </c>
      <c r="D128" s="293">
        <f t="shared" si="11"/>
        <v>0</v>
      </c>
      <c r="E128" s="293">
        <f t="shared" si="12"/>
        <v>0</v>
      </c>
      <c r="F128" s="293">
        <f t="shared" si="13"/>
        <v>0</v>
      </c>
      <c r="G128" s="294">
        <f t="shared" si="14"/>
        <v>0</v>
      </c>
      <c r="H128" s="294">
        <f t="shared" si="15"/>
        <v>0</v>
      </c>
      <c r="I128" s="294">
        <f t="shared" si="16"/>
        <v>0</v>
      </c>
      <c r="J128" s="295">
        <f t="shared" si="0"/>
        <v>0</v>
      </c>
      <c r="K128" s="295">
        <f t="shared" si="1"/>
        <v>0</v>
      </c>
      <c r="L128" s="295">
        <f t="shared" si="2"/>
        <v>0</v>
      </c>
      <c r="AB128" s="380">
        <f>'Plant Inputs'!C50</f>
        <v>21</v>
      </c>
      <c r="AC128" s="384" t="str">
        <f>'Plant Inputs'!D50</f>
        <v>Welded Wire Reinforcement (WWR)</v>
      </c>
      <c r="AD128" s="380">
        <f>IF('Plant Inputs'!$AR$22=0,0,'Plant Inputs'!$AX50*INDEX(Conversion_Table,MATCH(TRACICalcUnit,Conversion_Rows,0),MATCH(AD$107,Conversion_Columns,0)))</f>
        <v>0</v>
      </c>
      <c r="AE128" s="380">
        <f>IF('Plant Inputs'!$AR$22=0,0,'Plant Inputs'!$DQ50*INDEX(Conversion_Table,MATCH(TRACICalcUnit,Conversion_Rows,0),MATCH(AE$107,Conversion_Columns,0)))</f>
        <v>0</v>
      </c>
      <c r="AF128" s="387">
        <f t="shared" ref="AF128:AF140" si="37">AE128+AD128</f>
        <v>0</v>
      </c>
      <c r="AG128" s="388">
        <f t="shared" si="3"/>
        <v>0</v>
      </c>
      <c r="AH128" s="380" t="str">
        <f t="shared" ref="AH128:AH140" si="38">IF(AG128&gt;$AD$103,AC128,"")</f>
        <v/>
      </c>
      <c r="AI128" s="387" t="str">
        <f t="shared" si="18"/>
        <v/>
      </c>
      <c r="AJ128" s="380">
        <f t="shared" ref="AJ128:AJ140" si="39">IF(AG128&lt;$AD$103,AF128,"")</f>
        <v>0</v>
      </c>
      <c r="AK128" s="380" t="str">
        <f t="shared" si="6"/>
        <v/>
      </c>
      <c r="AL128" s="387" t="str">
        <f t="shared" si="7"/>
        <v/>
      </c>
      <c r="AM128" s="389"/>
      <c r="AN128" s="390">
        <f>IF('Plant Inputs'!$AR$22=0,0,'Plant Inputs'!$AX50*INDEX(Conversion_Table,MATCH(TRACICalcUnit,Conversion_Rows,0),MATCH(TRACIPerTonneDisplayUnit,Conversion_Columns,0))/'Plant Inputs'!$AT$22)</f>
        <v>0</v>
      </c>
      <c r="AO128" s="390">
        <f>IF('Plant Inputs'!$AR$22=0,0,'Plant Inputs'!$DQ50*INDEX(Conversion_Table,MATCH(TRACICalcUnit,Conversion_Rows,0),MATCH(TRACIPerTonneDisplayUnit,Conversion_Columns,0))/'Plant Inputs'!$AT$22)</f>
        <v>0</v>
      </c>
      <c r="AP128" s="390">
        <f t="shared" si="19"/>
        <v>0</v>
      </c>
      <c r="AQ128" s="388">
        <f t="shared" si="8"/>
        <v>0</v>
      </c>
      <c r="AR128" s="380" t="str">
        <f t="shared" ref="AR128:AR140" si="40">IF(AQ128&gt;$AD$103,$AC128,"")</f>
        <v/>
      </c>
      <c r="AS128" s="387" t="str">
        <f t="shared" si="21"/>
        <v/>
      </c>
      <c r="AT128" s="387">
        <f t="shared" si="22"/>
        <v>0</v>
      </c>
      <c r="AU128" s="380" t="str">
        <f t="shared" si="9"/>
        <v/>
      </c>
      <c r="AV128" s="387" t="str">
        <f t="shared" si="10"/>
        <v/>
      </c>
      <c r="AW128" s="389"/>
      <c r="AX128" s="391"/>
      <c r="AY128" s="391"/>
      <c r="AZ128" s="391"/>
      <c r="BA128" s="391"/>
      <c r="BB128" s="391"/>
    </row>
    <row r="129" spans="3:54" ht="15">
      <c r="C129" s="292" t="str">
        <f>'Plant Inputs'!D51</f>
        <v>Steel Anchors</v>
      </c>
      <c r="D129" s="293">
        <f t="shared" si="11"/>
        <v>0</v>
      </c>
      <c r="E129" s="293">
        <f t="shared" si="12"/>
        <v>0</v>
      </c>
      <c r="F129" s="293">
        <f t="shared" si="13"/>
        <v>0</v>
      </c>
      <c r="G129" s="294">
        <f t="shared" si="14"/>
        <v>0</v>
      </c>
      <c r="H129" s="294">
        <f t="shared" si="15"/>
        <v>0</v>
      </c>
      <c r="I129" s="294">
        <f t="shared" si="16"/>
        <v>0</v>
      </c>
      <c r="J129" s="295">
        <f t="shared" si="0"/>
        <v>0</v>
      </c>
      <c r="K129" s="295">
        <f t="shared" si="1"/>
        <v>0</v>
      </c>
      <c r="L129" s="295">
        <f t="shared" si="2"/>
        <v>0</v>
      </c>
      <c r="AB129" s="380">
        <f>'Plant Inputs'!C51</f>
        <v>22</v>
      </c>
      <c r="AC129" s="384" t="str">
        <f>'Plant Inputs'!D51</f>
        <v>Steel Anchors</v>
      </c>
      <c r="AD129" s="380">
        <f>IF('Plant Inputs'!$AR$22=0,0,'Plant Inputs'!$AX51*INDEX(Conversion_Table,MATCH(TRACICalcUnit,Conversion_Rows,0),MATCH(AD$107,Conversion_Columns,0)))</f>
        <v>0</v>
      </c>
      <c r="AE129" s="380">
        <f>IF('Plant Inputs'!$AR$22=0,0,'Plant Inputs'!$DQ51*INDEX(Conversion_Table,MATCH(TRACICalcUnit,Conversion_Rows,0),MATCH(AE$107,Conversion_Columns,0)))</f>
        <v>0</v>
      </c>
      <c r="AF129" s="387">
        <f t="shared" si="37"/>
        <v>0</v>
      </c>
      <c r="AG129" s="388">
        <f t="shared" si="3"/>
        <v>0</v>
      </c>
      <c r="AH129" s="380" t="str">
        <f t="shared" si="38"/>
        <v/>
      </c>
      <c r="AI129" s="387" t="str">
        <f t="shared" si="18"/>
        <v/>
      </c>
      <c r="AJ129" s="380">
        <f t="shared" si="39"/>
        <v>0</v>
      </c>
      <c r="AK129" s="380" t="str">
        <f t="shared" si="6"/>
        <v/>
      </c>
      <c r="AL129" s="387" t="str">
        <f t="shared" si="7"/>
        <v/>
      </c>
      <c r="AM129" s="389"/>
      <c r="AN129" s="390">
        <f>IF('Plant Inputs'!$AR$22=0,0,'Plant Inputs'!$AX51*INDEX(Conversion_Table,MATCH(TRACICalcUnit,Conversion_Rows,0),MATCH(TRACIPerTonneDisplayUnit,Conversion_Columns,0))/'Plant Inputs'!$AT$22)</f>
        <v>0</v>
      </c>
      <c r="AO129" s="390">
        <f>IF('Plant Inputs'!$AR$22=0,0,'Plant Inputs'!$DQ51*INDEX(Conversion_Table,MATCH(TRACICalcUnit,Conversion_Rows,0),MATCH(TRACIPerTonneDisplayUnit,Conversion_Columns,0))/'Plant Inputs'!$AT$22)</f>
        <v>0</v>
      </c>
      <c r="AP129" s="390">
        <f t="shared" si="19"/>
        <v>0</v>
      </c>
      <c r="AQ129" s="388">
        <f t="shared" si="8"/>
        <v>0</v>
      </c>
      <c r="AR129" s="380" t="str">
        <f t="shared" si="40"/>
        <v/>
      </c>
      <c r="AS129" s="387" t="str">
        <f t="shared" si="21"/>
        <v/>
      </c>
      <c r="AT129" s="387">
        <f t="shared" si="22"/>
        <v>0</v>
      </c>
      <c r="AU129" s="380" t="str">
        <f t="shared" si="9"/>
        <v/>
      </c>
      <c r="AV129" s="387" t="str">
        <f t="shared" si="10"/>
        <v/>
      </c>
      <c r="AW129" s="389"/>
      <c r="AX129" s="391"/>
      <c r="AY129" s="391"/>
      <c r="AZ129" s="391"/>
      <c r="BA129" s="391"/>
      <c r="BB129" s="391"/>
    </row>
    <row r="130" spans="3:54" ht="15">
      <c r="C130" s="292" t="str">
        <f>'Plant Inputs'!D52</f>
        <v>Steel Stressing Strand</v>
      </c>
      <c r="D130" s="293">
        <f t="shared" si="11"/>
        <v>0</v>
      </c>
      <c r="E130" s="293">
        <f t="shared" si="12"/>
        <v>0</v>
      </c>
      <c r="F130" s="293">
        <f t="shared" si="13"/>
        <v>0</v>
      </c>
      <c r="G130" s="294">
        <f t="shared" si="14"/>
        <v>0</v>
      </c>
      <c r="H130" s="294">
        <f t="shared" si="15"/>
        <v>0</v>
      </c>
      <c r="I130" s="294">
        <f t="shared" si="16"/>
        <v>0</v>
      </c>
      <c r="J130" s="295">
        <f t="shared" si="0"/>
        <v>0</v>
      </c>
      <c r="K130" s="295">
        <f t="shared" si="1"/>
        <v>0</v>
      </c>
      <c r="L130" s="295">
        <f t="shared" si="2"/>
        <v>0</v>
      </c>
      <c r="AB130" s="380">
        <f>'Plant Inputs'!C52</f>
        <v>23</v>
      </c>
      <c r="AC130" s="384" t="str">
        <f>'Plant Inputs'!D52</f>
        <v>Steel Stressing Strand</v>
      </c>
      <c r="AD130" s="380">
        <f>IF('Plant Inputs'!$AR$22=0,0,'Plant Inputs'!$AX52*INDEX(Conversion_Table,MATCH(TRACICalcUnit,Conversion_Rows,0),MATCH(AD$107,Conversion_Columns,0)))</f>
        <v>0</v>
      </c>
      <c r="AE130" s="380">
        <f>IF('Plant Inputs'!$AR$22=0,0,'Plant Inputs'!$DQ52*INDEX(Conversion_Table,MATCH(TRACICalcUnit,Conversion_Rows,0),MATCH(AE$107,Conversion_Columns,0)))</f>
        <v>0</v>
      </c>
      <c r="AF130" s="387">
        <f t="shared" si="37"/>
        <v>0</v>
      </c>
      <c r="AG130" s="388">
        <f t="shared" si="3"/>
        <v>0</v>
      </c>
      <c r="AH130" s="380" t="str">
        <f t="shared" si="38"/>
        <v/>
      </c>
      <c r="AI130" s="387" t="str">
        <f t="shared" si="18"/>
        <v/>
      </c>
      <c r="AJ130" s="380">
        <f t="shared" si="39"/>
        <v>0</v>
      </c>
      <c r="AK130" s="380" t="str">
        <f t="shared" si="6"/>
        <v/>
      </c>
      <c r="AL130" s="387" t="str">
        <f t="shared" si="7"/>
        <v/>
      </c>
      <c r="AM130" s="389"/>
      <c r="AN130" s="390">
        <f>IF('Plant Inputs'!$AR$22=0,0,'Plant Inputs'!$AX52*INDEX(Conversion_Table,MATCH(TRACICalcUnit,Conversion_Rows,0),MATCH(TRACIPerTonneDisplayUnit,Conversion_Columns,0))/'Plant Inputs'!$AT$22)</f>
        <v>0</v>
      </c>
      <c r="AO130" s="390">
        <f>IF('Plant Inputs'!$AR$22=0,0,'Plant Inputs'!$DQ52*INDEX(Conversion_Table,MATCH(TRACICalcUnit,Conversion_Rows,0),MATCH(TRACIPerTonneDisplayUnit,Conversion_Columns,0))/'Plant Inputs'!$AT$22)</f>
        <v>0</v>
      </c>
      <c r="AP130" s="390">
        <f t="shared" si="19"/>
        <v>0</v>
      </c>
      <c r="AQ130" s="388">
        <f t="shared" si="8"/>
        <v>0</v>
      </c>
      <c r="AR130" s="380" t="str">
        <f t="shared" si="40"/>
        <v/>
      </c>
      <c r="AS130" s="387" t="str">
        <f t="shared" si="21"/>
        <v/>
      </c>
      <c r="AT130" s="387">
        <f t="shared" si="22"/>
        <v>0</v>
      </c>
      <c r="AU130" s="380" t="str">
        <f t="shared" si="9"/>
        <v/>
      </c>
      <c r="AV130" s="387" t="str">
        <f t="shared" si="10"/>
        <v/>
      </c>
      <c r="AW130" s="389"/>
      <c r="AX130" s="391"/>
      <c r="AY130" s="391"/>
      <c r="AZ130" s="391"/>
      <c r="BA130" s="391"/>
      <c r="BB130" s="391"/>
    </row>
    <row r="131" spans="3:54" ht="15">
      <c r="C131" s="292" t="str">
        <f>'Plant Inputs'!D53</f>
        <v>Carbon Fibre Reinforced Polymer (CFRP) strand</v>
      </c>
      <c r="D131" s="293">
        <f t="shared" si="11"/>
        <v>0</v>
      </c>
      <c r="E131" s="293">
        <f t="shared" si="12"/>
        <v>0</v>
      </c>
      <c r="F131" s="293">
        <f t="shared" si="13"/>
        <v>0</v>
      </c>
      <c r="G131" s="294">
        <f t="shared" si="14"/>
        <v>0</v>
      </c>
      <c r="H131" s="294">
        <f t="shared" si="15"/>
        <v>0</v>
      </c>
      <c r="I131" s="294">
        <f t="shared" si="16"/>
        <v>0</v>
      </c>
      <c r="J131" s="295">
        <f t="shared" si="0"/>
        <v>0</v>
      </c>
      <c r="K131" s="295">
        <f t="shared" si="1"/>
        <v>0</v>
      </c>
      <c r="L131" s="295">
        <f t="shared" si="2"/>
        <v>0</v>
      </c>
      <c r="AB131" s="380">
        <f>'Plant Inputs'!C53</f>
        <v>24</v>
      </c>
      <c r="AC131" s="384" t="str">
        <f>'Plant Inputs'!D53</f>
        <v>Carbon Fibre Reinforced Polymer (CFRP) strand</v>
      </c>
      <c r="AD131" s="380">
        <f>IF('Plant Inputs'!$AR$22=0,0,'Plant Inputs'!$AX53*INDEX(Conversion_Table,MATCH(TRACICalcUnit,Conversion_Rows,0),MATCH(AD$107,Conversion_Columns,0)))</f>
        <v>0</v>
      </c>
      <c r="AE131" s="380">
        <f>IF('Plant Inputs'!$AR$22=0,0,'Plant Inputs'!$DQ53*INDEX(Conversion_Table,MATCH(TRACICalcUnit,Conversion_Rows,0),MATCH(AE$107,Conversion_Columns,0)))</f>
        <v>0</v>
      </c>
      <c r="AF131" s="387">
        <f t="shared" si="37"/>
        <v>0</v>
      </c>
      <c r="AG131" s="388">
        <f t="shared" si="3"/>
        <v>0</v>
      </c>
      <c r="AH131" s="380" t="str">
        <f t="shared" si="38"/>
        <v/>
      </c>
      <c r="AI131" s="387" t="str">
        <f t="shared" si="18"/>
        <v/>
      </c>
      <c r="AJ131" s="380">
        <f t="shared" si="39"/>
        <v>0</v>
      </c>
      <c r="AK131" s="380" t="str">
        <f t="shared" si="6"/>
        <v/>
      </c>
      <c r="AL131" s="387" t="str">
        <f t="shared" si="7"/>
        <v/>
      </c>
      <c r="AM131" s="389"/>
      <c r="AN131" s="390">
        <f>IF('Plant Inputs'!$AR$22=0,0,'Plant Inputs'!$AX53*INDEX(Conversion_Table,MATCH(TRACICalcUnit,Conversion_Rows,0),MATCH(TRACIPerTonneDisplayUnit,Conversion_Columns,0))/'Plant Inputs'!$AT$22)</f>
        <v>0</v>
      </c>
      <c r="AO131" s="390">
        <f>IF('Plant Inputs'!$AR$22=0,0,'Plant Inputs'!$DQ53*INDEX(Conversion_Table,MATCH(TRACICalcUnit,Conversion_Rows,0),MATCH(TRACIPerTonneDisplayUnit,Conversion_Columns,0))/'Plant Inputs'!$AT$22)</f>
        <v>0</v>
      </c>
      <c r="AP131" s="390">
        <f t="shared" si="19"/>
        <v>0</v>
      </c>
      <c r="AQ131" s="388">
        <f t="shared" si="8"/>
        <v>0</v>
      </c>
      <c r="AR131" s="380" t="str">
        <f t="shared" si="40"/>
        <v/>
      </c>
      <c r="AS131" s="387" t="str">
        <f t="shared" si="21"/>
        <v/>
      </c>
      <c r="AT131" s="387">
        <f t="shared" si="22"/>
        <v>0</v>
      </c>
      <c r="AU131" s="380" t="str">
        <f t="shared" si="9"/>
        <v/>
      </c>
      <c r="AV131" s="387" t="str">
        <f t="shared" si="10"/>
        <v/>
      </c>
      <c r="AW131" s="389"/>
      <c r="AX131" s="391"/>
      <c r="AY131" s="391"/>
      <c r="AZ131" s="391"/>
      <c r="BA131" s="391"/>
      <c r="BB131" s="391"/>
    </row>
    <row r="132" spans="3:54" ht="15">
      <c r="C132" s="292" t="str">
        <f>'Plant Inputs'!D54</f>
        <v>Polypropylene Fibers</v>
      </c>
      <c r="D132" s="293">
        <f t="shared" si="11"/>
        <v>0</v>
      </c>
      <c r="E132" s="293">
        <f t="shared" si="12"/>
        <v>0</v>
      </c>
      <c r="F132" s="293">
        <f t="shared" si="13"/>
        <v>0</v>
      </c>
      <c r="G132" s="294">
        <f t="shared" si="14"/>
        <v>0</v>
      </c>
      <c r="H132" s="294">
        <f t="shared" si="15"/>
        <v>0</v>
      </c>
      <c r="I132" s="294">
        <f t="shared" si="16"/>
        <v>0</v>
      </c>
      <c r="J132" s="295">
        <f t="shared" si="0"/>
        <v>0</v>
      </c>
      <c r="K132" s="295">
        <f t="shared" si="1"/>
        <v>0</v>
      </c>
      <c r="L132" s="295">
        <f t="shared" si="2"/>
        <v>0</v>
      </c>
      <c r="AB132" s="380">
        <f>'Plant Inputs'!C54</f>
        <v>25</v>
      </c>
      <c r="AC132" s="384" t="str">
        <f>'Plant Inputs'!D54</f>
        <v>Polypropylene Fibers</v>
      </c>
      <c r="AD132" s="380">
        <f>IF('Plant Inputs'!$AR$22=0,0,'Plant Inputs'!$AX54*INDEX(Conversion_Table,MATCH(TRACICalcUnit,Conversion_Rows,0),MATCH(AD$107,Conversion_Columns,0)))</f>
        <v>0</v>
      </c>
      <c r="AE132" s="380">
        <f>IF('Plant Inputs'!$AR$22=0,0,'Plant Inputs'!$DQ54*INDEX(Conversion_Table,MATCH(TRACICalcUnit,Conversion_Rows,0),MATCH(AE$107,Conversion_Columns,0)))</f>
        <v>0</v>
      </c>
      <c r="AF132" s="387">
        <f t="shared" si="37"/>
        <v>0</v>
      </c>
      <c r="AG132" s="388">
        <f t="shared" si="3"/>
        <v>0</v>
      </c>
      <c r="AH132" s="380" t="str">
        <f t="shared" si="38"/>
        <v/>
      </c>
      <c r="AI132" s="387" t="str">
        <f t="shared" si="18"/>
        <v/>
      </c>
      <c r="AJ132" s="380">
        <f t="shared" si="39"/>
        <v>0</v>
      </c>
      <c r="AK132" s="380" t="str">
        <f t="shared" si="6"/>
        <v/>
      </c>
      <c r="AL132" s="387" t="str">
        <f t="shared" si="7"/>
        <v/>
      </c>
      <c r="AM132" s="389"/>
      <c r="AN132" s="390">
        <f>IF('Plant Inputs'!$AR$22=0,0,'Plant Inputs'!$AX54*INDEX(Conversion_Table,MATCH(TRACICalcUnit,Conversion_Rows,0),MATCH(TRACIPerTonneDisplayUnit,Conversion_Columns,0))/'Plant Inputs'!$AT$22)</f>
        <v>0</v>
      </c>
      <c r="AO132" s="390">
        <f>IF('Plant Inputs'!$AR$22=0,0,'Plant Inputs'!$DQ54*INDEX(Conversion_Table,MATCH(TRACICalcUnit,Conversion_Rows,0),MATCH(TRACIPerTonneDisplayUnit,Conversion_Columns,0))/'Plant Inputs'!$AT$22)</f>
        <v>0</v>
      </c>
      <c r="AP132" s="390">
        <f t="shared" si="19"/>
        <v>0</v>
      </c>
      <c r="AQ132" s="388">
        <f t="shared" si="8"/>
        <v>0</v>
      </c>
      <c r="AR132" s="380" t="str">
        <f t="shared" si="40"/>
        <v/>
      </c>
      <c r="AS132" s="387" t="str">
        <f t="shared" si="21"/>
        <v/>
      </c>
      <c r="AT132" s="387">
        <f t="shared" si="22"/>
        <v>0</v>
      </c>
      <c r="AU132" s="380" t="str">
        <f t="shared" si="9"/>
        <v/>
      </c>
      <c r="AV132" s="387" t="str">
        <f t="shared" si="10"/>
        <v/>
      </c>
      <c r="AW132" s="389"/>
      <c r="AX132" s="391"/>
      <c r="AY132" s="391"/>
      <c r="AZ132" s="391"/>
      <c r="BA132" s="391"/>
      <c r="BB132" s="391"/>
    </row>
    <row r="133" spans="3:54" ht="15">
      <c r="C133" s="292" t="str">
        <f>'Plant Inputs'!D55</f>
        <v>Steel Fibers</v>
      </c>
      <c r="D133" s="293">
        <f t="shared" si="11"/>
        <v>0</v>
      </c>
      <c r="E133" s="293">
        <f t="shared" si="12"/>
        <v>0</v>
      </c>
      <c r="F133" s="293">
        <f t="shared" si="13"/>
        <v>0</v>
      </c>
      <c r="G133" s="294">
        <f t="shared" si="14"/>
        <v>0</v>
      </c>
      <c r="H133" s="294">
        <f t="shared" si="15"/>
        <v>0</v>
      </c>
      <c r="I133" s="294">
        <f t="shared" si="16"/>
        <v>0</v>
      </c>
      <c r="J133" s="295">
        <f t="shared" si="0"/>
        <v>0</v>
      </c>
      <c r="K133" s="295">
        <f t="shared" si="1"/>
        <v>0</v>
      </c>
      <c r="L133" s="295">
        <f t="shared" si="2"/>
        <v>0</v>
      </c>
      <c r="AB133" s="380">
        <f>'Plant Inputs'!C55</f>
        <v>26</v>
      </c>
      <c r="AC133" s="384" t="str">
        <f>'Plant Inputs'!D55</f>
        <v>Steel Fibers</v>
      </c>
      <c r="AD133" s="380">
        <f>IF('Plant Inputs'!$AR$22=0,0,'Plant Inputs'!$AX55*INDEX(Conversion_Table,MATCH(TRACICalcUnit,Conversion_Rows,0),MATCH(AD$107,Conversion_Columns,0)))</f>
        <v>0</v>
      </c>
      <c r="AE133" s="380">
        <f>IF('Plant Inputs'!$AR$22=0,0,'Plant Inputs'!$DQ55*INDEX(Conversion_Table,MATCH(TRACICalcUnit,Conversion_Rows,0),MATCH(AE$107,Conversion_Columns,0)))</f>
        <v>0</v>
      </c>
      <c r="AF133" s="387">
        <f t="shared" si="37"/>
        <v>0</v>
      </c>
      <c r="AG133" s="388">
        <f t="shared" si="3"/>
        <v>0</v>
      </c>
      <c r="AH133" s="380" t="str">
        <f t="shared" si="38"/>
        <v/>
      </c>
      <c r="AI133" s="387" t="str">
        <f t="shared" si="18"/>
        <v/>
      </c>
      <c r="AJ133" s="380">
        <f t="shared" si="39"/>
        <v>0</v>
      </c>
      <c r="AK133" s="380" t="str">
        <f t="shared" si="6"/>
        <v/>
      </c>
      <c r="AL133" s="387" t="str">
        <f t="shared" si="7"/>
        <v/>
      </c>
      <c r="AM133" s="389"/>
      <c r="AN133" s="390">
        <f>IF('Plant Inputs'!$AR$22=0,0,'Plant Inputs'!$AX55*INDEX(Conversion_Table,MATCH(TRACICalcUnit,Conversion_Rows,0),MATCH(TRACIPerTonneDisplayUnit,Conversion_Columns,0))/'Plant Inputs'!$AT$22)</f>
        <v>0</v>
      </c>
      <c r="AO133" s="390">
        <f>IF('Plant Inputs'!$AR$22=0,0,'Plant Inputs'!$DQ55*INDEX(Conversion_Table,MATCH(TRACICalcUnit,Conversion_Rows,0),MATCH(TRACIPerTonneDisplayUnit,Conversion_Columns,0))/'Plant Inputs'!$AT$22)</f>
        <v>0</v>
      </c>
      <c r="AP133" s="390">
        <f t="shared" si="19"/>
        <v>0</v>
      </c>
      <c r="AQ133" s="388">
        <f t="shared" si="8"/>
        <v>0</v>
      </c>
      <c r="AR133" s="380" t="str">
        <f t="shared" si="40"/>
        <v/>
      </c>
      <c r="AS133" s="387" t="str">
        <f t="shared" si="21"/>
        <v/>
      </c>
      <c r="AT133" s="387">
        <f t="shared" si="22"/>
        <v>0</v>
      </c>
      <c r="AU133" s="380" t="str">
        <f t="shared" si="9"/>
        <v/>
      </c>
      <c r="AV133" s="387" t="str">
        <f t="shared" si="10"/>
        <v/>
      </c>
      <c r="AW133" s="389"/>
      <c r="AX133" s="391"/>
      <c r="AY133" s="391"/>
      <c r="AZ133" s="391"/>
      <c r="BA133" s="391"/>
      <c r="BB133" s="391"/>
    </row>
    <row r="134" spans="3:54" ht="15">
      <c r="C134" s="292" t="str">
        <f>'Plant Inputs'!D56</f>
        <v>Glass Fibre Reinforced Polymer (GFRP) reinforcing bars</v>
      </c>
      <c r="D134" s="293">
        <f t="shared" si="11"/>
        <v>0</v>
      </c>
      <c r="E134" s="293">
        <f t="shared" si="12"/>
        <v>0</v>
      </c>
      <c r="F134" s="293">
        <f t="shared" si="13"/>
        <v>0</v>
      </c>
      <c r="G134" s="294">
        <f t="shared" si="14"/>
        <v>0</v>
      </c>
      <c r="H134" s="294">
        <f t="shared" si="15"/>
        <v>0</v>
      </c>
      <c r="I134" s="294">
        <f t="shared" si="16"/>
        <v>0</v>
      </c>
      <c r="J134" s="295">
        <f t="shared" si="0"/>
        <v>0</v>
      </c>
      <c r="K134" s="295">
        <f t="shared" si="1"/>
        <v>0</v>
      </c>
      <c r="L134" s="295">
        <f t="shared" si="2"/>
        <v>0</v>
      </c>
      <c r="AB134" s="380">
        <f>'Plant Inputs'!C56</f>
        <v>27</v>
      </c>
      <c r="AC134" s="384" t="str">
        <f>'Plant Inputs'!D56</f>
        <v>Glass Fibre Reinforced Polymer (GFRP) reinforcing bars</v>
      </c>
      <c r="AD134" s="380">
        <f>IF('Plant Inputs'!$AR$22=0,0,'Plant Inputs'!$AX56*INDEX(Conversion_Table,MATCH(TRACICalcUnit,Conversion_Rows,0),MATCH(AD$107,Conversion_Columns,0)))</f>
        <v>0</v>
      </c>
      <c r="AE134" s="380">
        <f>IF('Plant Inputs'!$AR$22=0,0,'Plant Inputs'!$DQ56*INDEX(Conversion_Table,MATCH(TRACICalcUnit,Conversion_Rows,0),MATCH(AE$107,Conversion_Columns,0)))</f>
        <v>0</v>
      </c>
      <c r="AF134" s="387">
        <f t="shared" si="37"/>
        <v>0</v>
      </c>
      <c r="AG134" s="388">
        <f t="shared" si="3"/>
        <v>0</v>
      </c>
      <c r="AH134" s="380" t="str">
        <f t="shared" si="38"/>
        <v/>
      </c>
      <c r="AI134" s="387" t="str">
        <f t="shared" si="18"/>
        <v/>
      </c>
      <c r="AJ134" s="380">
        <f t="shared" si="39"/>
        <v>0</v>
      </c>
      <c r="AK134" s="380" t="str">
        <f t="shared" si="6"/>
        <v/>
      </c>
      <c r="AL134" s="387" t="str">
        <f t="shared" si="7"/>
        <v/>
      </c>
      <c r="AM134" s="389"/>
      <c r="AN134" s="390">
        <f>IF('Plant Inputs'!$AR$22=0,0,'Plant Inputs'!$AX56*INDEX(Conversion_Table,MATCH(TRACICalcUnit,Conversion_Rows,0),MATCH(TRACIPerTonneDisplayUnit,Conversion_Columns,0))/'Plant Inputs'!$AT$22)</f>
        <v>0</v>
      </c>
      <c r="AO134" s="390">
        <f>IF('Plant Inputs'!$AR$22=0,0,'Plant Inputs'!$DQ56*INDEX(Conversion_Table,MATCH(TRACICalcUnit,Conversion_Rows,0),MATCH(TRACIPerTonneDisplayUnit,Conversion_Columns,0))/'Plant Inputs'!$AT$22)</f>
        <v>0</v>
      </c>
      <c r="AP134" s="390">
        <f t="shared" si="19"/>
        <v>0</v>
      </c>
      <c r="AQ134" s="388">
        <f t="shared" si="8"/>
        <v>0</v>
      </c>
      <c r="AR134" s="380" t="str">
        <f t="shared" si="40"/>
        <v/>
      </c>
      <c r="AS134" s="387" t="str">
        <f t="shared" si="21"/>
        <v/>
      </c>
      <c r="AT134" s="387">
        <f t="shared" si="22"/>
        <v>0</v>
      </c>
      <c r="AU134" s="380" t="str">
        <f t="shared" si="9"/>
        <v/>
      </c>
      <c r="AV134" s="387" t="str">
        <f t="shared" si="10"/>
        <v/>
      </c>
      <c r="AW134" s="389"/>
      <c r="AX134" s="391"/>
      <c r="AY134" s="391"/>
      <c r="AZ134" s="391"/>
      <c r="BA134" s="391"/>
      <c r="BB134" s="391"/>
    </row>
    <row r="135" spans="3:54" ht="15">
      <c r="C135" s="292" t="str">
        <f>'Plant Inputs'!D57</f>
        <v>Carbon Fibre Reinforced Polymer (CFRP) reinforcing bars</v>
      </c>
      <c r="D135" s="293">
        <f t="shared" si="11"/>
        <v>0</v>
      </c>
      <c r="E135" s="293">
        <f t="shared" si="12"/>
        <v>0</v>
      </c>
      <c r="F135" s="293">
        <f t="shared" si="13"/>
        <v>0</v>
      </c>
      <c r="G135" s="294">
        <f t="shared" si="14"/>
        <v>0</v>
      </c>
      <c r="H135" s="294">
        <f t="shared" si="15"/>
        <v>0</v>
      </c>
      <c r="I135" s="294">
        <f t="shared" si="16"/>
        <v>0</v>
      </c>
      <c r="J135" s="295">
        <f t="shared" si="0"/>
        <v>0</v>
      </c>
      <c r="K135" s="295">
        <f t="shared" si="1"/>
        <v>0</v>
      </c>
      <c r="L135" s="295">
        <f t="shared" si="2"/>
        <v>0</v>
      </c>
      <c r="AB135" s="380">
        <f>'Plant Inputs'!C57</f>
        <v>28</v>
      </c>
      <c r="AC135" s="384" t="str">
        <f>'Plant Inputs'!D57</f>
        <v>Carbon Fibre Reinforced Polymer (CFRP) reinforcing bars</v>
      </c>
      <c r="AD135" s="380">
        <f>IF('Plant Inputs'!$AR$22=0,0,'Plant Inputs'!$AX57*INDEX(Conversion_Table,MATCH(TRACICalcUnit,Conversion_Rows,0),MATCH(AD$107,Conversion_Columns,0)))</f>
        <v>0</v>
      </c>
      <c r="AE135" s="380">
        <f>IF('Plant Inputs'!$AR$22=0,0,'Plant Inputs'!$DQ57*INDEX(Conversion_Table,MATCH(TRACICalcUnit,Conversion_Rows,0),MATCH(AE$107,Conversion_Columns,0)))</f>
        <v>0</v>
      </c>
      <c r="AF135" s="387">
        <f t="shared" si="37"/>
        <v>0</v>
      </c>
      <c r="AG135" s="388">
        <f t="shared" si="3"/>
        <v>0</v>
      </c>
      <c r="AH135" s="380" t="str">
        <f t="shared" si="38"/>
        <v/>
      </c>
      <c r="AI135" s="387" t="str">
        <f t="shared" si="18"/>
        <v/>
      </c>
      <c r="AJ135" s="380">
        <f t="shared" si="39"/>
        <v>0</v>
      </c>
      <c r="AK135" s="380" t="str">
        <f t="shared" si="6"/>
        <v/>
      </c>
      <c r="AL135" s="387" t="str">
        <f t="shared" si="7"/>
        <v/>
      </c>
      <c r="AM135" s="389"/>
      <c r="AN135" s="390">
        <f>IF('Plant Inputs'!$AR$22=0,0,'Plant Inputs'!$AX57*INDEX(Conversion_Table,MATCH(TRACICalcUnit,Conversion_Rows,0),MATCH(TRACIPerTonneDisplayUnit,Conversion_Columns,0))/'Plant Inputs'!$AT$22)</f>
        <v>0</v>
      </c>
      <c r="AO135" s="390">
        <f>IF('Plant Inputs'!$AR$22=0,0,'Plant Inputs'!$DQ57*INDEX(Conversion_Table,MATCH(TRACICalcUnit,Conversion_Rows,0),MATCH(TRACIPerTonneDisplayUnit,Conversion_Columns,0))/'Plant Inputs'!$AT$22)</f>
        <v>0</v>
      </c>
      <c r="AP135" s="390">
        <f t="shared" si="19"/>
        <v>0</v>
      </c>
      <c r="AQ135" s="388">
        <f t="shared" si="8"/>
        <v>0</v>
      </c>
      <c r="AR135" s="380" t="str">
        <f t="shared" si="40"/>
        <v/>
      </c>
      <c r="AS135" s="387" t="str">
        <f t="shared" si="21"/>
        <v/>
      </c>
      <c r="AT135" s="387">
        <f t="shared" si="22"/>
        <v>0</v>
      </c>
      <c r="AU135" s="380" t="str">
        <f t="shared" si="9"/>
        <v/>
      </c>
      <c r="AV135" s="387" t="str">
        <f t="shared" si="10"/>
        <v/>
      </c>
      <c r="AW135" s="389"/>
      <c r="AX135" s="391"/>
      <c r="AY135" s="391"/>
      <c r="AZ135" s="391"/>
      <c r="BA135" s="391"/>
      <c r="BB135" s="391"/>
    </row>
    <row r="136" spans="3:54" ht="15">
      <c r="C136" s="292" t="str">
        <f>'Plant Inputs'!D58</f>
        <v>Fibre Reinforced Polymer (FRP) wrap</v>
      </c>
      <c r="D136" s="293">
        <f t="shared" si="11"/>
        <v>0</v>
      </c>
      <c r="E136" s="293">
        <f t="shared" si="12"/>
        <v>0</v>
      </c>
      <c r="F136" s="293">
        <f t="shared" si="13"/>
        <v>0</v>
      </c>
      <c r="G136" s="294">
        <f t="shared" si="14"/>
        <v>0</v>
      </c>
      <c r="H136" s="294">
        <f t="shared" si="15"/>
        <v>0</v>
      </c>
      <c r="I136" s="294">
        <f t="shared" si="16"/>
        <v>0</v>
      </c>
      <c r="J136" s="295">
        <f t="shared" si="0"/>
        <v>0</v>
      </c>
      <c r="K136" s="295">
        <f t="shared" si="1"/>
        <v>0</v>
      </c>
      <c r="L136" s="295">
        <f t="shared" si="2"/>
        <v>0</v>
      </c>
      <c r="AB136" s="380">
        <f>'Plant Inputs'!C58</f>
        <v>29</v>
      </c>
      <c r="AC136" s="384" t="str">
        <f>'Plant Inputs'!D58</f>
        <v>Fibre Reinforced Polymer (FRP) wrap</v>
      </c>
      <c r="AD136" s="380">
        <f>IF('Plant Inputs'!$AR$22=0,0,'Plant Inputs'!$AX58*INDEX(Conversion_Table,MATCH(TRACICalcUnit,Conversion_Rows,0),MATCH(AD$107,Conversion_Columns,0)))</f>
        <v>0</v>
      </c>
      <c r="AE136" s="380">
        <f>IF('Plant Inputs'!$AR$22=0,0,'Plant Inputs'!$DQ58*INDEX(Conversion_Table,MATCH(TRACICalcUnit,Conversion_Rows,0),MATCH(AE$107,Conversion_Columns,0)))</f>
        <v>0</v>
      </c>
      <c r="AF136" s="387">
        <f t="shared" si="37"/>
        <v>0</v>
      </c>
      <c r="AG136" s="388">
        <f t="shared" si="3"/>
        <v>0</v>
      </c>
      <c r="AH136" s="380" t="str">
        <f t="shared" si="38"/>
        <v/>
      </c>
      <c r="AI136" s="387" t="str">
        <f t="shared" si="18"/>
        <v/>
      </c>
      <c r="AJ136" s="380">
        <f t="shared" si="39"/>
        <v>0</v>
      </c>
      <c r="AK136" s="380" t="str">
        <f t="shared" si="6"/>
        <v/>
      </c>
      <c r="AL136" s="387" t="str">
        <f t="shared" si="7"/>
        <v/>
      </c>
      <c r="AM136" s="389"/>
      <c r="AN136" s="390">
        <f>IF('Plant Inputs'!$AR$22=0,0,'Plant Inputs'!$AX58*INDEX(Conversion_Table,MATCH(TRACICalcUnit,Conversion_Rows,0),MATCH(TRACIPerTonneDisplayUnit,Conversion_Columns,0))/'Plant Inputs'!$AT$22)</f>
        <v>0</v>
      </c>
      <c r="AO136" s="390">
        <f>IF('Plant Inputs'!$AR$22=0,0,'Plant Inputs'!$DQ58*INDEX(Conversion_Table,MATCH(TRACICalcUnit,Conversion_Rows,0),MATCH(TRACIPerTonneDisplayUnit,Conversion_Columns,0))/'Plant Inputs'!$AT$22)</f>
        <v>0</v>
      </c>
      <c r="AP136" s="390">
        <f t="shared" si="19"/>
        <v>0</v>
      </c>
      <c r="AQ136" s="388">
        <f t="shared" si="8"/>
        <v>0</v>
      </c>
      <c r="AR136" s="380" t="str">
        <f t="shared" si="40"/>
        <v/>
      </c>
      <c r="AS136" s="387" t="str">
        <f t="shared" si="21"/>
        <v/>
      </c>
      <c r="AT136" s="387">
        <f t="shared" si="22"/>
        <v>0</v>
      </c>
      <c r="AU136" s="380" t="str">
        <f t="shared" si="9"/>
        <v/>
      </c>
      <c r="AV136" s="387" t="str">
        <f t="shared" si="10"/>
        <v/>
      </c>
      <c r="AW136" s="389"/>
      <c r="AX136" s="391"/>
      <c r="AY136" s="391"/>
      <c r="AZ136" s="391"/>
      <c r="BA136" s="391"/>
      <c r="BB136" s="391"/>
    </row>
    <row r="137" spans="3:54" ht="15">
      <c r="C137" s="292" t="str">
        <f>'Plant Inputs'!D59</f>
        <v>Expanded Polystyrene</v>
      </c>
      <c r="D137" s="293">
        <f t="shared" si="11"/>
        <v>0</v>
      </c>
      <c r="E137" s="293">
        <f t="shared" si="12"/>
        <v>0</v>
      </c>
      <c r="F137" s="293">
        <f t="shared" si="13"/>
        <v>0</v>
      </c>
      <c r="G137" s="294">
        <f t="shared" si="14"/>
        <v>0</v>
      </c>
      <c r="H137" s="294">
        <f t="shared" si="15"/>
        <v>0</v>
      </c>
      <c r="I137" s="294">
        <f t="shared" si="16"/>
        <v>0</v>
      </c>
      <c r="J137" s="295">
        <f t="shared" si="0"/>
        <v>0</v>
      </c>
      <c r="K137" s="295">
        <f t="shared" si="1"/>
        <v>0</v>
      </c>
      <c r="L137" s="295">
        <f t="shared" si="2"/>
        <v>0</v>
      </c>
      <c r="AB137" s="380">
        <f>'Plant Inputs'!C59</f>
        <v>30</v>
      </c>
      <c r="AC137" s="384" t="str">
        <f>'Plant Inputs'!D59</f>
        <v>Expanded Polystyrene</v>
      </c>
      <c r="AD137" s="380">
        <f>IF('Plant Inputs'!$AR$22=0,0,'Plant Inputs'!$AX59*INDEX(Conversion_Table,MATCH(TRACICalcUnit,Conversion_Rows,0),MATCH(AD$107,Conversion_Columns,0)))</f>
        <v>0</v>
      </c>
      <c r="AE137" s="380">
        <f>IF('Plant Inputs'!$AR$22=0,0,'Plant Inputs'!$DQ59*INDEX(Conversion_Table,MATCH(TRACICalcUnit,Conversion_Rows,0),MATCH(AE$107,Conversion_Columns,0)))</f>
        <v>0</v>
      </c>
      <c r="AF137" s="387">
        <f t="shared" si="37"/>
        <v>0</v>
      </c>
      <c r="AG137" s="388">
        <f t="shared" si="3"/>
        <v>0</v>
      </c>
      <c r="AH137" s="380" t="str">
        <f t="shared" si="38"/>
        <v/>
      </c>
      <c r="AI137" s="387" t="str">
        <f t="shared" si="18"/>
        <v/>
      </c>
      <c r="AJ137" s="380">
        <f t="shared" si="39"/>
        <v>0</v>
      </c>
      <c r="AK137" s="380" t="str">
        <f t="shared" si="6"/>
        <v/>
      </c>
      <c r="AL137" s="387" t="str">
        <f t="shared" si="7"/>
        <v/>
      </c>
      <c r="AM137" s="389"/>
      <c r="AN137" s="390">
        <f>IF('Plant Inputs'!$AR$22=0,0,'Plant Inputs'!$AX59*INDEX(Conversion_Table,MATCH(TRACICalcUnit,Conversion_Rows,0),MATCH(TRACIPerTonneDisplayUnit,Conversion_Columns,0))/'Plant Inputs'!$AT$22)</f>
        <v>0</v>
      </c>
      <c r="AO137" s="390">
        <f>IF('Plant Inputs'!$AR$22=0,0,'Plant Inputs'!$DQ59*INDEX(Conversion_Table,MATCH(TRACICalcUnit,Conversion_Rows,0),MATCH(TRACIPerTonneDisplayUnit,Conversion_Columns,0))/'Plant Inputs'!$AT$22)</f>
        <v>0</v>
      </c>
      <c r="AP137" s="390">
        <f t="shared" si="19"/>
        <v>0</v>
      </c>
      <c r="AQ137" s="388">
        <f t="shared" si="8"/>
        <v>0</v>
      </c>
      <c r="AR137" s="380" t="str">
        <f t="shared" si="40"/>
        <v/>
      </c>
      <c r="AS137" s="387" t="str">
        <f t="shared" si="21"/>
        <v/>
      </c>
      <c r="AT137" s="387">
        <f t="shared" si="22"/>
        <v>0</v>
      </c>
      <c r="AU137" s="380" t="str">
        <f t="shared" si="9"/>
        <v/>
      </c>
      <c r="AV137" s="387" t="str">
        <f t="shared" si="10"/>
        <v/>
      </c>
      <c r="AW137" s="389"/>
      <c r="AX137" s="391"/>
      <c r="AY137" s="391"/>
      <c r="AZ137" s="391"/>
      <c r="BA137" s="391"/>
      <c r="BB137" s="391"/>
    </row>
    <row r="138" spans="3:54" ht="15">
      <c r="C138" s="292" t="str">
        <f>'Plant Inputs'!D60</f>
        <v>Extruded Polystyrene</v>
      </c>
      <c r="D138" s="293">
        <f t="shared" si="11"/>
        <v>0</v>
      </c>
      <c r="E138" s="293">
        <f t="shared" si="12"/>
        <v>0</v>
      </c>
      <c r="F138" s="293">
        <f t="shared" si="13"/>
        <v>0</v>
      </c>
      <c r="G138" s="294">
        <f t="shared" si="14"/>
        <v>0</v>
      </c>
      <c r="H138" s="294">
        <f t="shared" si="15"/>
        <v>0</v>
      </c>
      <c r="I138" s="294">
        <f t="shared" si="16"/>
        <v>0</v>
      </c>
      <c r="J138" s="295">
        <f t="shared" si="0"/>
        <v>0</v>
      </c>
      <c r="K138" s="295">
        <f t="shared" si="1"/>
        <v>0</v>
      </c>
      <c r="L138" s="295">
        <f t="shared" si="2"/>
        <v>0</v>
      </c>
      <c r="AB138" s="380">
        <f>'Plant Inputs'!C60</f>
        <v>31</v>
      </c>
      <c r="AC138" s="384" t="str">
        <f>'Plant Inputs'!D60</f>
        <v>Extruded Polystyrene</v>
      </c>
      <c r="AD138" s="380">
        <f>IF('Plant Inputs'!$AR$22=0,0,'Plant Inputs'!$AX60*INDEX(Conversion_Table,MATCH(TRACICalcUnit,Conversion_Rows,0),MATCH(AD$107,Conversion_Columns,0)))</f>
        <v>0</v>
      </c>
      <c r="AE138" s="380">
        <f>IF('Plant Inputs'!$AR$22=0,0,'Plant Inputs'!$DQ60*INDEX(Conversion_Table,MATCH(TRACICalcUnit,Conversion_Rows,0),MATCH(AE$107,Conversion_Columns,0)))</f>
        <v>0</v>
      </c>
      <c r="AF138" s="387">
        <f t="shared" si="37"/>
        <v>0</v>
      </c>
      <c r="AG138" s="388">
        <f t="shared" si="3"/>
        <v>0</v>
      </c>
      <c r="AH138" s="380" t="str">
        <f t="shared" si="38"/>
        <v/>
      </c>
      <c r="AI138" s="387" t="str">
        <f t="shared" si="18"/>
        <v/>
      </c>
      <c r="AJ138" s="380">
        <f t="shared" si="39"/>
        <v>0</v>
      </c>
      <c r="AK138" s="380" t="str">
        <f t="shared" si="6"/>
        <v/>
      </c>
      <c r="AL138" s="387" t="str">
        <f t="shared" si="7"/>
        <v/>
      </c>
      <c r="AM138" s="389"/>
      <c r="AN138" s="390">
        <f>IF('Plant Inputs'!$AR$22=0,0,'Plant Inputs'!$AX60*INDEX(Conversion_Table,MATCH(TRACICalcUnit,Conversion_Rows,0),MATCH(TRACIPerTonneDisplayUnit,Conversion_Columns,0))/'Plant Inputs'!$AT$22)</f>
        <v>0</v>
      </c>
      <c r="AO138" s="390">
        <f>IF('Plant Inputs'!$AR$22=0,0,'Plant Inputs'!$DQ60*INDEX(Conversion_Table,MATCH(TRACICalcUnit,Conversion_Rows,0),MATCH(TRACIPerTonneDisplayUnit,Conversion_Columns,0))/'Plant Inputs'!$AT$22)</f>
        <v>0</v>
      </c>
      <c r="AP138" s="390">
        <f t="shared" si="19"/>
        <v>0</v>
      </c>
      <c r="AQ138" s="388">
        <f t="shared" si="8"/>
        <v>0</v>
      </c>
      <c r="AR138" s="380" t="str">
        <f t="shared" si="40"/>
        <v/>
      </c>
      <c r="AS138" s="387" t="str">
        <f t="shared" si="21"/>
        <v/>
      </c>
      <c r="AT138" s="387">
        <f t="shared" si="22"/>
        <v>0</v>
      </c>
      <c r="AU138" s="380" t="str">
        <f t="shared" si="9"/>
        <v/>
      </c>
      <c r="AV138" s="387" t="str">
        <f t="shared" si="10"/>
        <v/>
      </c>
      <c r="AW138" s="389"/>
      <c r="AX138" s="391"/>
      <c r="AY138" s="391"/>
      <c r="AZ138" s="391"/>
      <c r="BA138" s="391"/>
      <c r="BB138" s="391"/>
    </row>
    <row r="139" spans="3:54" ht="15">
      <c r="C139" s="292" t="str">
        <f>'Plant Inputs'!D61</f>
        <v>Brick</v>
      </c>
      <c r="D139" s="293">
        <f t="shared" si="11"/>
        <v>0</v>
      </c>
      <c r="E139" s="293">
        <f t="shared" si="12"/>
        <v>0</v>
      </c>
      <c r="F139" s="293">
        <f t="shared" si="13"/>
        <v>0</v>
      </c>
      <c r="G139" s="294">
        <f t="shared" si="14"/>
        <v>0</v>
      </c>
      <c r="H139" s="294">
        <f t="shared" si="15"/>
        <v>0</v>
      </c>
      <c r="I139" s="294">
        <f t="shared" si="16"/>
        <v>0</v>
      </c>
      <c r="J139" s="295">
        <f t="shared" si="0"/>
        <v>0</v>
      </c>
      <c r="K139" s="295">
        <f t="shared" si="1"/>
        <v>0</v>
      </c>
      <c r="L139" s="295">
        <f t="shared" si="2"/>
        <v>0</v>
      </c>
      <c r="AB139" s="380">
        <f>'Plant Inputs'!C61</f>
        <v>32</v>
      </c>
      <c r="AC139" s="384" t="str">
        <f>'Plant Inputs'!D61</f>
        <v>Brick</v>
      </c>
      <c r="AD139" s="380">
        <f>IF('Plant Inputs'!$AR$22=0,0,'Plant Inputs'!$AX61*INDEX(Conversion_Table,MATCH(TRACICalcUnit,Conversion_Rows,0),MATCH(AD$107,Conversion_Columns,0)))</f>
        <v>0</v>
      </c>
      <c r="AE139" s="380">
        <f>IF('Plant Inputs'!$AR$22=0,0,'Plant Inputs'!$DQ61*INDEX(Conversion_Table,MATCH(TRACICalcUnit,Conversion_Rows,0),MATCH(AE$107,Conversion_Columns,0)))</f>
        <v>0</v>
      </c>
      <c r="AF139" s="387">
        <f t="shared" si="37"/>
        <v>0</v>
      </c>
      <c r="AG139" s="388">
        <f t="shared" si="3"/>
        <v>0</v>
      </c>
      <c r="AH139" s="380" t="str">
        <f t="shared" si="38"/>
        <v/>
      </c>
      <c r="AI139" s="387" t="str">
        <f t="shared" si="18"/>
        <v/>
      </c>
      <c r="AJ139" s="380">
        <f t="shared" si="39"/>
        <v>0</v>
      </c>
      <c r="AK139" s="380" t="str">
        <f t="shared" si="6"/>
        <v/>
      </c>
      <c r="AL139" s="387" t="str">
        <f t="shared" si="7"/>
        <v/>
      </c>
      <c r="AM139" s="389"/>
      <c r="AN139" s="390">
        <f>IF('Plant Inputs'!$AR$22=0,0,'Plant Inputs'!$AX61*INDEX(Conversion_Table,MATCH(TRACICalcUnit,Conversion_Rows,0),MATCH(TRACIPerTonneDisplayUnit,Conversion_Columns,0))/'Plant Inputs'!$AT$22)</f>
        <v>0</v>
      </c>
      <c r="AO139" s="390">
        <f>IF('Plant Inputs'!$AR$22=0,0,'Plant Inputs'!$DQ61*INDEX(Conversion_Table,MATCH(TRACICalcUnit,Conversion_Rows,0),MATCH(TRACIPerTonneDisplayUnit,Conversion_Columns,0))/'Plant Inputs'!$AT$22)</f>
        <v>0</v>
      </c>
      <c r="AP139" s="390">
        <f t="shared" si="19"/>
        <v>0</v>
      </c>
      <c r="AQ139" s="388">
        <f t="shared" si="8"/>
        <v>0</v>
      </c>
      <c r="AR139" s="380" t="str">
        <f t="shared" si="40"/>
        <v/>
      </c>
      <c r="AS139" s="387" t="str">
        <f t="shared" si="21"/>
        <v/>
      </c>
      <c r="AT139" s="387">
        <f t="shared" si="22"/>
        <v>0</v>
      </c>
      <c r="AU139" s="380" t="str">
        <f t="shared" si="9"/>
        <v/>
      </c>
      <c r="AV139" s="387" t="str">
        <f t="shared" si="10"/>
        <v/>
      </c>
    </row>
    <row r="140" spans="3:54" ht="15">
      <c r="C140" s="292" t="str">
        <f>'Plant Inputs'!D62</f>
        <v>Natural Stone</v>
      </c>
      <c r="D140" s="293">
        <f t="shared" si="11"/>
        <v>0</v>
      </c>
      <c r="E140" s="293">
        <f t="shared" si="12"/>
        <v>0</v>
      </c>
      <c r="F140" s="293">
        <f t="shared" si="13"/>
        <v>0</v>
      </c>
      <c r="G140" s="294">
        <f t="shared" si="14"/>
        <v>0</v>
      </c>
      <c r="H140" s="294">
        <f t="shared" si="15"/>
        <v>0</v>
      </c>
      <c r="I140" s="294">
        <f t="shared" si="16"/>
        <v>0</v>
      </c>
      <c r="J140" s="295">
        <f t="shared" si="0"/>
        <v>0</v>
      </c>
      <c r="K140" s="295">
        <f t="shared" si="1"/>
        <v>0</v>
      </c>
      <c r="L140" s="295">
        <f t="shared" si="2"/>
        <v>0</v>
      </c>
      <c r="AB140" s="380">
        <f>'Plant Inputs'!C62</f>
        <v>33</v>
      </c>
      <c r="AC140" s="384" t="str">
        <f>'Plant Inputs'!D62</f>
        <v>Natural Stone</v>
      </c>
      <c r="AD140" s="380">
        <f>IF('Plant Inputs'!$AR$22=0,0,'Plant Inputs'!$AX62*INDEX(Conversion_Table,MATCH(TRACICalcUnit,Conversion_Rows,0),MATCH(AD$107,Conversion_Columns,0)))</f>
        <v>0</v>
      </c>
      <c r="AE140" s="380">
        <f>IF('Plant Inputs'!$AR$22=0,0,'Plant Inputs'!$DQ62*INDEX(Conversion_Table,MATCH(TRACICalcUnit,Conversion_Rows,0),MATCH(AE$107,Conversion_Columns,0)))</f>
        <v>0</v>
      </c>
      <c r="AF140" s="387">
        <f t="shared" si="37"/>
        <v>0</v>
      </c>
      <c r="AG140" s="388">
        <f t="shared" si="3"/>
        <v>0</v>
      </c>
      <c r="AH140" s="380" t="str">
        <f t="shared" si="38"/>
        <v/>
      </c>
      <c r="AI140" s="387" t="str">
        <f t="shared" si="18"/>
        <v/>
      </c>
      <c r="AJ140" s="380">
        <f t="shared" si="39"/>
        <v>0</v>
      </c>
      <c r="AK140" s="380" t="str">
        <f t="shared" si="6"/>
        <v/>
      </c>
      <c r="AL140" s="387" t="str">
        <f t="shared" si="7"/>
        <v/>
      </c>
      <c r="AM140" s="389"/>
      <c r="AN140" s="390">
        <f>IF('Plant Inputs'!$AR$22=0,0,'Plant Inputs'!$AX62*INDEX(Conversion_Table,MATCH(TRACICalcUnit,Conversion_Rows,0),MATCH(TRACIPerTonneDisplayUnit,Conversion_Columns,0))/'Plant Inputs'!$AT$22)</f>
        <v>0</v>
      </c>
      <c r="AO140" s="390">
        <f>IF('Plant Inputs'!$AR$22=0,0,'Plant Inputs'!$DQ62*INDEX(Conversion_Table,MATCH(TRACICalcUnit,Conversion_Rows,0),MATCH(TRACIPerTonneDisplayUnit,Conversion_Columns,0))/'Plant Inputs'!$AT$22)</f>
        <v>0</v>
      </c>
      <c r="AP140" s="390">
        <f t="shared" si="19"/>
        <v>0</v>
      </c>
      <c r="AQ140" s="388">
        <f t="shared" si="8"/>
        <v>0</v>
      </c>
      <c r="AR140" s="380" t="str">
        <f t="shared" si="40"/>
        <v/>
      </c>
      <c r="AS140" s="387" t="str">
        <f t="shared" si="21"/>
        <v/>
      </c>
      <c r="AT140" s="387">
        <f t="shared" si="22"/>
        <v>0</v>
      </c>
      <c r="AU140" s="380" t="str">
        <f t="shared" si="9"/>
        <v/>
      </c>
      <c r="AV140" s="387" t="str">
        <f t="shared" si="10"/>
        <v/>
      </c>
    </row>
    <row r="141" spans="3:54" ht="15">
      <c r="C141" s="292" t="str">
        <f>'Plant Inputs'!D63</f>
        <v>Pigments</v>
      </c>
      <c r="D141" s="293">
        <f t="shared" si="11"/>
        <v>0</v>
      </c>
      <c r="E141" s="293">
        <f t="shared" si="12"/>
        <v>0</v>
      </c>
      <c r="F141" s="293">
        <f t="shared" si="13"/>
        <v>0</v>
      </c>
      <c r="G141" s="294">
        <f t="shared" si="14"/>
        <v>0</v>
      </c>
      <c r="H141" s="294">
        <f t="shared" si="15"/>
        <v>0</v>
      </c>
      <c r="I141" s="294">
        <f t="shared" si="16"/>
        <v>0</v>
      </c>
      <c r="J141" s="295">
        <f t="shared" si="0"/>
        <v>0</v>
      </c>
      <c r="K141" s="295">
        <f t="shared" si="1"/>
        <v>0</v>
      </c>
      <c r="L141" s="295">
        <f t="shared" si="2"/>
        <v>0</v>
      </c>
      <c r="AB141" s="380">
        <f>'Plant Inputs'!C63</f>
        <v>34</v>
      </c>
      <c r="AC141" s="384" t="str">
        <f>'Plant Inputs'!D63</f>
        <v>Pigments</v>
      </c>
      <c r="AD141" s="380">
        <f>IF('Plant Inputs'!$AR$22=0,0,'Plant Inputs'!$AX63*INDEX(Conversion_Table,MATCH(TRACICalcUnit,Conversion_Rows,0),MATCH(AD$107,Conversion_Columns,0)))</f>
        <v>0</v>
      </c>
      <c r="AE141" s="380">
        <f>IF('Plant Inputs'!$AR$22=0,0,'Plant Inputs'!$DQ63*INDEX(Conversion_Table,MATCH(TRACICalcUnit,Conversion_Rows,0),MATCH(AE$107,Conversion_Columns,0)))</f>
        <v>0</v>
      </c>
      <c r="AF141" s="387">
        <f t="shared" si="17"/>
        <v>0</v>
      </c>
      <c r="AG141" s="388">
        <f t="shared" si="3"/>
        <v>0</v>
      </c>
      <c r="AH141" s="380" t="str">
        <f t="shared" si="4"/>
        <v/>
      </c>
      <c r="AI141" s="387" t="str">
        <f t="shared" si="18"/>
        <v/>
      </c>
      <c r="AJ141" s="380">
        <f t="shared" si="5"/>
        <v>0</v>
      </c>
      <c r="AK141" s="380" t="str">
        <f t="shared" si="6"/>
        <v/>
      </c>
      <c r="AL141" s="387" t="str">
        <f t="shared" si="7"/>
        <v/>
      </c>
      <c r="AM141" s="389"/>
      <c r="AN141" s="390">
        <f>IF('Plant Inputs'!$AR$22=0,0,'Plant Inputs'!$AX63*INDEX(Conversion_Table,MATCH(TRACICalcUnit,Conversion_Rows,0),MATCH(TRACIPerTonneDisplayUnit,Conversion_Columns,0))/'Plant Inputs'!$AT$22)</f>
        <v>0</v>
      </c>
      <c r="AO141" s="390">
        <f>IF('Plant Inputs'!$AR$22=0,0,'Plant Inputs'!$DQ63*INDEX(Conversion_Table,MATCH(TRACICalcUnit,Conversion_Rows,0),MATCH(TRACIPerTonneDisplayUnit,Conversion_Columns,0))/'Plant Inputs'!$AT$22)</f>
        <v>0</v>
      </c>
      <c r="AP141" s="390">
        <f t="shared" si="19"/>
        <v>0</v>
      </c>
      <c r="AQ141" s="388">
        <f t="shared" si="8"/>
        <v>0</v>
      </c>
      <c r="AR141" s="380" t="str">
        <f t="shared" si="20"/>
        <v/>
      </c>
      <c r="AS141" s="387" t="str">
        <f t="shared" si="21"/>
        <v/>
      </c>
      <c r="AT141" s="387">
        <f t="shared" si="22"/>
        <v>0</v>
      </c>
      <c r="AU141" s="380" t="str">
        <f t="shared" si="9"/>
        <v/>
      </c>
      <c r="AV141" s="387" t="str">
        <f t="shared" si="10"/>
        <v/>
      </c>
    </row>
    <row r="142" spans="3:54" ht="15">
      <c r="C142" s="292" t="str">
        <f>'Plant Inputs'!D64</f>
        <v>Net Consumables</v>
      </c>
      <c r="D142" s="293">
        <f t="shared" si="11"/>
        <v>0</v>
      </c>
      <c r="E142" s="293">
        <f t="shared" si="12"/>
        <v>0</v>
      </c>
      <c r="F142" s="293">
        <f t="shared" si="13"/>
        <v>0</v>
      </c>
      <c r="G142" s="294">
        <f t="shared" si="14"/>
        <v>0</v>
      </c>
      <c r="H142" s="294">
        <f t="shared" si="15"/>
        <v>0</v>
      </c>
      <c r="I142" s="294">
        <f t="shared" si="16"/>
        <v>0</v>
      </c>
      <c r="J142" s="295">
        <f t="shared" si="0"/>
        <v>0</v>
      </c>
      <c r="K142" s="295">
        <f t="shared" si="1"/>
        <v>0</v>
      </c>
      <c r="L142" s="295">
        <f t="shared" si="2"/>
        <v>0</v>
      </c>
      <c r="AB142" s="380">
        <f>'Plant Inputs'!C64</f>
        <v>35</v>
      </c>
      <c r="AC142" s="384" t="str">
        <f>'Plant Inputs'!D64</f>
        <v>Net Consumables</v>
      </c>
      <c r="AD142" s="380">
        <f>IF('Plant Inputs'!$AR$22=0,0,'Plant Inputs'!$AX64*INDEX(Conversion_Table,MATCH(TRACICalcUnit,Conversion_Rows,0),MATCH(AD$107,Conversion_Columns,0)))</f>
        <v>0</v>
      </c>
      <c r="AE142" s="380">
        <f>IF('Plant Inputs'!$AR$22=0,0,'Plant Inputs'!$DQ64*INDEX(Conversion_Table,MATCH(TRACICalcUnit,Conversion_Rows,0),MATCH(AE$107,Conversion_Columns,0)))</f>
        <v>0</v>
      </c>
      <c r="AF142" s="387">
        <f t="shared" si="17"/>
        <v>0</v>
      </c>
      <c r="AG142" s="388">
        <f t="shared" si="3"/>
        <v>0</v>
      </c>
      <c r="AH142" s="380" t="str">
        <f t="shared" si="4"/>
        <v/>
      </c>
      <c r="AI142" s="387" t="str">
        <f t="shared" si="18"/>
        <v/>
      </c>
      <c r="AJ142" s="380">
        <f t="shared" si="5"/>
        <v>0</v>
      </c>
      <c r="AK142" s="380" t="str">
        <f t="shared" si="6"/>
        <v/>
      </c>
      <c r="AL142" s="387" t="str">
        <f t="shared" si="7"/>
        <v/>
      </c>
      <c r="AM142" s="389"/>
      <c r="AN142" s="390">
        <f>IF('Plant Inputs'!$AR$22=0,0,'Plant Inputs'!$AX64*INDEX(Conversion_Table,MATCH(TRACICalcUnit,Conversion_Rows,0),MATCH(TRACIPerTonneDisplayUnit,Conversion_Columns,0))/'Plant Inputs'!$AT$22)</f>
        <v>0</v>
      </c>
      <c r="AO142" s="390">
        <f>IF('Plant Inputs'!$AR$22=0,0,'Plant Inputs'!$DQ64*INDEX(Conversion_Table,MATCH(TRACICalcUnit,Conversion_Rows,0),MATCH(TRACIPerTonneDisplayUnit,Conversion_Columns,0))/'Plant Inputs'!$AT$22)</f>
        <v>0</v>
      </c>
      <c r="AP142" s="390">
        <f t="shared" si="19"/>
        <v>0</v>
      </c>
      <c r="AQ142" s="388">
        <f t="shared" si="8"/>
        <v>0</v>
      </c>
      <c r="AR142" s="380" t="str">
        <f t="shared" si="20"/>
        <v/>
      </c>
      <c r="AS142" s="387" t="str">
        <f t="shared" si="21"/>
        <v/>
      </c>
      <c r="AT142" s="387">
        <f t="shared" si="22"/>
        <v>0</v>
      </c>
      <c r="AU142" s="380" t="str">
        <f t="shared" si="9"/>
        <v/>
      </c>
      <c r="AV142" s="387" t="str">
        <f t="shared" si="10"/>
        <v/>
      </c>
    </row>
    <row r="143" spans="3:54" ht="15">
      <c r="C143" s="279" t="s">
        <v>19</v>
      </c>
      <c r="D143" s="293">
        <f t="shared" ref="D143:L143" si="41">SUM(D108:D142)</f>
        <v>0</v>
      </c>
      <c r="E143" s="293">
        <f t="shared" si="41"/>
        <v>0</v>
      </c>
      <c r="F143" s="293">
        <f t="shared" si="41"/>
        <v>0</v>
      </c>
      <c r="G143" s="294">
        <f t="shared" si="41"/>
        <v>0</v>
      </c>
      <c r="H143" s="294">
        <f t="shared" si="41"/>
        <v>0</v>
      </c>
      <c r="I143" s="294">
        <f t="shared" si="41"/>
        <v>0</v>
      </c>
      <c r="J143" s="295">
        <f t="shared" si="41"/>
        <v>0</v>
      </c>
      <c r="K143" s="295">
        <f t="shared" si="41"/>
        <v>0</v>
      </c>
      <c r="L143" s="295">
        <f t="shared" si="41"/>
        <v>0</v>
      </c>
      <c r="M143" s="3"/>
      <c r="AD143" s="380">
        <f>SUM(AD108:AD142)</f>
        <v>0</v>
      </c>
      <c r="AE143" s="380">
        <f>SUM(AE108:AE142)</f>
        <v>0</v>
      </c>
      <c r="AF143" s="380">
        <f>SUM(AF108:AF142)</f>
        <v>0</v>
      </c>
      <c r="AG143" s="392">
        <f>SUM(AG108:AG142)</f>
        <v>0</v>
      </c>
      <c r="AI143" s="387"/>
      <c r="AM143" s="389"/>
      <c r="AN143" s="380">
        <f>SUM(AN108:AN142)</f>
        <v>0</v>
      </c>
      <c r="AO143" s="380">
        <f>SUM(AO108:AO142)</f>
        <v>0</v>
      </c>
      <c r="AP143" s="380">
        <f>SUM(AP108:AP142)</f>
        <v>0</v>
      </c>
      <c r="AQ143" s="392">
        <f>SUM(AQ108:AQ142)</f>
        <v>0</v>
      </c>
    </row>
    <row r="144" spans="3:54" ht="15">
      <c r="M144" s="3"/>
      <c r="AD144" s="393">
        <f>AD143*INDEX(Conversion_Table,MATCH(AD$222,Conversion_Rows,0),MATCH(EnergyCalcUnit,Conversion_Columns,0))-'Plant Inputs'!$AX68</f>
        <v>0</v>
      </c>
      <c r="AE144" s="393">
        <f>AE143*INDEX(Conversion_Table,MATCH(AE$222,Conversion_Rows,0),MATCH(EnergyCalcUnit,Conversion_Columns,0))-'Plant Inputs'!$DQ68</f>
        <v>0</v>
      </c>
      <c r="AF144" s="393">
        <f>AE144+AD144</f>
        <v>0</v>
      </c>
      <c r="AI144" s="387"/>
      <c r="AM144" s="389"/>
      <c r="AN144" s="389"/>
    </row>
    <row r="145" spans="2:77" ht="15">
      <c r="M145" s="3"/>
      <c r="AC145" s="384" t="s">
        <v>18</v>
      </c>
      <c r="AH145" s="380" t="str">
        <f>AC145</f>
        <v>Other</v>
      </c>
      <c r="AI145" s="387" t="str">
        <f>IF(SUMIF($AG108:$AG142,"&lt;"&amp;$AD$103,AF108:AF142)=0,"",SUMIF($AG108:$AG142,"&lt;"&amp;$AD$103,AF108:AF142))</f>
        <v/>
      </c>
      <c r="AJ145" s="380">
        <f>SUM(AJ108:AJ144)</f>
        <v>0</v>
      </c>
      <c r="AK145" s="380" t="str">
        <f>INDEX($AH$108:$AH$145,MATCH(AL145,$AI$108:$AI$145,0))</f>
        <v/>
      </c>
      <c r="AL145" s="380" t="str">
        <f>IFERROR(LARGE($AI$108:$AI$145,33),"")</f>
        <v/>
      </c>
      <c r="AM145" s="389"/>
      <c r="AN145" s="389"/>
      <c r="AR145" s="380" t="str">
        <f>$AC145</f>
        <v>Other</v>
      </c>
      <c r="AS145" s="380" t="str">
        <f>IF(SUMIF($AQ108:$AQ142,"&lt;"&amp;$AD$103,AP108:AP142)=0,"",SUMIF($AQ108:$AQ142,"&lt;"&amp;$AD$103,AP108:AP142))</f>
        <v/>
      </c>
      <c r="AT145" s="387">
        <f>SUM(AT108:AT142)</f>
        <v>0</v>
      </c>
      <c r="AU145" s="380" t="str">
        <f>INDEX($AR$108:$AR$145,MATCH(AV145,$AS$108:$AS$145,0))</f>
        <v/>
      </c>
      <c r="AV145" s="380" t="str">
        <f>IFERROR(LARGE($AS$108:$AS$145,33),"")</f>
        <v/>
      </c>
    </row>
    <row r="146" spans="2:77" ht="16" thickBot="1">
      <c r="AM146" s="389"/>
    </row>
    <row r="147" spans="2:77" s="11" customFormat="1" ht="19" thickBot="1">
      <c r="B147" s="259" t="s">
        <v>574</v>
      </c>
      <c r="C147" s="260"/>
      <c r="D147" s="260"/>
      <c r="E147" s="260"/>
      <c r="F147" s="260"/>
      <c r="G147" s="260"/>
      <c r="H147" s="260"/>
      <c r="I147" s="260"/>
      <c r="J147" s="260"/>
      <c r="K147" s="260"/>
      <c r="L147" s="261"/>
      <c r="M147" s="249"/>
      <c r="N147" s="262"/>
      <c r="O147" s="262"/>
      <c r="P147" s="262"/>
      <c r="Q147" s="262"/>
      <c r="R147" s="262"/>
      <c r="S147" s="262"/>
      <c r="T147" s="262"/>
      <c r="U147" s="262"/>
      <c r="V147" s="262"/>
      <c r="W147" s="262"/>
      <c r="X147" s="262"/>
      <c r="Y147" s="262"/>
      <c r="Z147" s="262"/>
      <c r="AA147" s="381"/>
      <c r="AB147" s="382"/>
      <c r="AC147" s="382"/>
      <c r="AD147" s="382"/>
      <c r="AE147" s="382"/>
      <c r="AF147" s="382"/>
      <c r="AG147" s="382"/>
      <c r="AH147" s="382"/>
      <c r="AI147" s="382"/>
      <c r="AJ147" s="382"/>
      <c r="AK147" s="382"/>
      <c r="AL147" s="382"/>
      <c r="AM147" s="389"/>
      <c r="AN147" s="382"/>
      <c r="AO147" s="382"/>
      <c r="AP147" s="382"/>
      <c r="AQ147" s="382"/>
      <c r="AR147" s="382"/>
      <c r="AS147" s="382"/>
      <c r="AT147" s="382"/>
      <c r="AU147" s="382"/>
      <c r="AV147" s="382"/>
      <c r="AW147" s="382"/>
      <c r="AX147" s="381"/>
      <c r="AY147" s="381"/>
      <c r="AZ147" s="381"/>
      <c r="BA147" s="381"/>
      <c r="BB147" s="381"/>
      <c r="BC147" s="381"/>
      <c r="BD147" s="381"/>
      <c r="BE147" s="381"/>
      <c r="BF147" s="381"/>
      <c r="BG147" s="383"/>
      <c r="BH147" s="383"/>
      <c r="BI147" s="383"/>
      <c r="BJ147" s="383"/>
      <c r="BK147" s="383"/>
      <c r="BL147" s="383"/>
      <c r="BM147" s="383"/>
      <c r="BN147" s="383"/>
      <c r="BO147" s="383"/>
      <c r="BP147" s="383"/>
      <c r="BQ147" s="383"/>
      <c r="BR147" s="383"/>
      <c r="BS147" s="383"/>
      <c r="BT147" s="383"/>
      <c r="BU147" s="383"/>
      <c r="BV147" s="383"/>
      <c r="BW147" s="383"/>
      <c r="BX147" s="383"/>
      <c r="BY147" s="383"/>
    </row>
    <row r="148" spans="2:77" ht="15">
      <c r="AM148" s="389"/>
    </row>
    <row r="149" spans="2:77" ht="15" hidden="1">
      <c r="AM149" s="389"/>
    </row>
    <row r="150" spans="2:77" ht="15" hidden="1">
      <c r="AM150" s="389"/>
    </row>
    <row r="151" spans="2:77" ht="15" hidden="1">
      <c r="AM151" s="389"/>
    </row>
    <row r="152" spans="2:77" ht="15" hidden="1">
      <c r="AM152" s="389"/>
    </row>
    <row r="153" spans="2:77" ht="15" hidden="1">
      <c r="AM153" s="389"/>
    </row>
    <row r="154" spans="2:77" hidden="1"/>
    <row r="155" spans="2:77" hidden="1"/>
    <row r="156" spans="2:77" hidden="1"/>
    <row r="157" spans="2:77" hidden="1"/>
    <row r="158" spans="2:77" hidden="1"/>
    <row r="159" spans="2:77" hidden="1"/>
    <row r="160" spans="2:77" hidden="1"/>
    <row r="161" spans="3:77" hidden="1"/>
    <row r="162" spans="3:77" hidden="1"/>
    <row r="163" spans="3:77" hidden="1"/>
    <row r="164" spans="3:77" hidden="1"/>
    <row r="165" spans="3:77" hidden="1"/>
    <row r="166" spans="3:77" hidden="1"/>
    <row r="167" spans="3:77" hidden="1"/>
    <row r="168" spans="3:77" hidden="1"/>
    <row r="169" spans="3:77" hidden="1"/>
    <row r="170" spans="3:77" hidden="1"/>
    <row r="171" spans="3:77" hidden="1"/>
    <row r="172" spans="3:77" hidden="1"/>
    <row r="173" spans="3:77" hidden="1"/>
    <row r="174" spans="3:77" hidden="1"/>
    <row r="176" spans="3:77" s="3" customFormat="1" ht="15">
      <c r="C176" s="249"/>
      <c r="D176" s="265"/>
      <c r="E176" s="266" t="s">
        <v>575</v>
      </c>
      <c r="F176" s="267"/>
      <c r="H176" s="485" t="s">
        <v>667</v>
      </c>
      <c r="N176" s="296"/>
      <c r="O176" s="296"/>
      <c r="P176" s="296"/>
      <c r="Q176" s="296"/>
      <c r="R176" s="296"/>
      <c r="S176" s="296"/>
      <c r="T176" s="296"/>
      <c r="U176" s="296"/>
      <c r="V176" s="296"/>
      <c r="W176" s="296"/>
      <c r="X176" s="296"/>
      <c r="Y176" s="296"/>
      <c r="Z176" s="296"/>
      <c r="AA176" s="391"/>
      <c r="AB176" s="389"/>
      <c r="AC176" s="389"/>
      <c r="AD176" s="389"/>
      <c r="AE176" s="389"/>
      <c r="AF176" s="389"/>
      <c r="AG176" s="389"/>
      <c r="AH176" s="389"/>
      <c r="AI176" s="389"/>
      <c r="AJ176" s="389"/>
      <c r="AK176" s="389"/>
      <c r="AL176" s="389"/>
      <c r="AM176" s="389"/>
      <c r="AN176" s="389"/>
      <c r="AO176" s="389"/>
      <c r="AP176" s="389"/>
      <c r="AQ176" s="389"/>
      <c r="AR176" s="389"/>
      <c r="AS176" s="389"/>
      <c r="AT176" s="389"/>
      <c r="AU176" s="389"/>
      <c r="AV176" s="389"/>
      <c r="AW176" s="389"/>
      <c r="AX176" s="391"/>
      <c r="AY176" s="391"/>
      <c r="AZ176" s="391"/>
      <c r="BA176" s="391"/>
      <c r="BB176" s="391"/>
      <c r="BC176" s="391"/>
      <c r="BD176" s="391"/>
      <c r="BE176" s="391"/>
      <c r="BF176" s="391"/>
      <c r="BG176"/>
      <c r="BH176"/>
      <c r="BI176"/>
      <c r="BJ176"/>
      <c r="BK176"/>
      <c r="BL176"/>
      <c r="BM176"/>
      <c r="BN176"/>
      <c r="BO176"/>
      <c r="BP176"/>
      <c r="BQ176"/>
      <c r="BR176"/>
      <c r="BS176"/>
      <c r="BT176"/>
      <c r="BU176"/>
      <c r="BV176"/>
      <c r="BW176"/>
      <c r="BX176"/>
      <c r="BY176"/>
    </row>
    <row r="177" spans="2:77" s="3" customFormat="1" ht="15">
      <c r="C177" s="265" t="s">
        <v>572</v>
      </c>
      <c r="D177" s="268" t="str">
        <f>"Total ("&amp;EnergyTotalDisplayUnit&amp;")"</f>
        <v>Total (MMBtu)</v>
      </c>
      <c r="E177" s="269" t="str">
        <f>EnergyPerTonneDisplayUnit &amp; "/ "&amp;MassDisplayUnit&amp;" precast"</f>
        <v>MBtu/ short ton precast</v>
      </c>
      <c r="F177" s="270" t="s">
        <v>67</v>
      </c>
      <c r="H177" s="249" t="str">
        <f>"Total Primary Energy by Contribution 
("&amp;EnergyPerTonneDisplayUnit&amp;"/"&amp;MassDisplayUnit&amp;" precast)"</f>
        <v>Total Primary Energy by Contribution 
(MBtu/short ton precast)</v>
      </c>
      <c r="N177" s="296"/>
      <c r="O177" s="296"/>
      <c r="P177" s="296"/>
      <c r="Q177" s="296"/>
      <c r="R177" s="296"/>
      <c r="S177" s="296"/>
      <c r="T177" s="296"/>
      <c r="U177" s="296"/>
      <c r="V177" s="296"/>
      <c r="W177" s="296"/>
      <c r="X177" s="296"/>
      <c r="Y177" s="296"/>
      <c r="Z177" s="296"/>
      <c r="AA177" s="391"/>
      <c r="AB177" s="389"/>
      <c r="AC177" s="389"/>
      <c r="AD177" s="389"/>
      <c r="AE177" s="389"/>
      <c r="AF177" s="389"/>
      <c r="AG177" s="389"/>
      <c r="AH177" s="389"/>
      <c r="AI177" s="389"/>
      <c r="AJ177" s="389"/>
      <c r="AK177" s="389"/>
      <c r="AL177" s="389"/>
      <c r="AM177" s="389"/>
      <c r="AN177" s="389"/>
      <c r="AO177" s="389"/>
      <c r="AP177" s="389"/>
      <c r="AQ177" s="389"/>
      <c r="AR177" s="389"/>
      <c r="AS177" s="389"/>
      <c r="AT177" s="389"/>
      <c r="AU177" s="389"/>
      <c r="AV177" s="389"/>
      <c r="AW177" s="389"/>
      <c r="AX177" s="391"/>
      <c r="AY177" s="391"/>
      <c r="AZ177" s="391"/>
      <c r="BA177" s="391"/>
      <c r="BB177" s="391"/>
      <c r="BC177" s="391"/>
      <c r="BD177" s="391"/>
      <c r="BE177" s="391"/>
      <c r="BF177" s="391"/>
      <c r="BG177"/>
      <c r="BH177"/>
      <c r="BI177"/>
      <c r="BJ177"/>
      <c r="BK177"/>
      <c r="BL177"/>
      <c r="BM177"/>
      <c r="BN177"/>
      <c r="BO177"/>
      <c r="BP177"/>
      <c r="BQ177"/>
      <c r="BR177"/>
      <c r="BS177"/>
      <c r="BT177"/>
      <c r="BU177"/>
      <c r="BV177"/>
      <c r="BW177"/>
      <c r="BX177"/>
      <c r="BY177"/>
    </row>
    <row r="178" spans="2:77" s="3" customFormat="1" ht="15">
      <c r="C178" s="271" t="s">
        <v>121</v>
      </c>
      <c r="D178" s="272">
        <f>'Plant Inputs'!$BC$68*INDEX(Conversion_Table,MATCH(EnergyCalcUnit,Conversion_Rows,0),MATCH(EnergyTotalDisplayUnit,Conversion_Columns,0))</f>
        <v>0</v>
      </c>
      <c r="E178" s="297">
        <f>IF('Plant Inputs'!$AR$22=0,0,'Plant Inputs'!$BC$68*INDEX(Conversion_Table,MATCH(EnergyCalcUnit,Conversion_Rows,0),MATCH(EnergyPerTonneDisplayUnit,Conversion_Columns,0))/'Plant Inputs'!$AT$22)</f>
        <v>0</v>
      </c>
      <c r="F178" s="274">
        <f>IF($D$181=0,0,D178/$D$181)</f>
        <v>0</v>
      </c>
      <c r="H178" s="485" t="s">
        <v>668</v>
      </c>
      <c r="N178" s="296"/>
      <c r="O178" s="296"/>
      <c r="P178" s="296"/>
      <c r="Q178" s="296"/>
      <c r="R178" s="296"/>
      <c r="S178" s="296"/>
      <c r="T178" s="296"/>
      <c r="U178" s="296"/>
      <c r="V178" s="296"/>
      <c r="W178" s="296"/>
      <c r="X178" s="296"/>
      <c r="Y178" s="296"/>
      <c r="Z178" s="296"/>
      <c r="AA178" s="391"/>
      <c r="AB178" s="389"/>
      <c r="AC178" s="389"/>
      <c r="AD178" s="389"/>
      <c r="AE178" s="389"/>
      <c r="AF178" s="389"/>
      <c r="AG178" s="389"/>
      <c r="AH178" s="389"/>
      <c r="AI178" s="389"/>
      <c r="AJ178" s="389"/>
      <c r="AK178" s="389"/>
      <c r="AL178" s="389"/>
      <c r="AM178" s="389"/>
      <c r="AN178" s="389"/>
      <c r="AO178" s="389"/>
      <c r="AP178" s="389"/>
      <c r="AQ178" s="389"/>
      <c r="AR178" s="389"/>
      <c r="AS178" s="389"/>
      <c r="AT178" s="389"/>
      <c r="AU178" s="389"/>
      <c r="AV178" s="389"/>
      <c r="AW178" s="389"/>
      <c r="AX178" s="391"/>
      <c r="AY178" s="391"/>
      <c r="AZ178" s="391"/>
      <c r="BA178" s="391"/>
      <c r="BB178" s="391"/>
      <c r="BC178" s="391"/>
      <c r="BD178" s="391"/>
      <c r="BE178" s="391"/>
      <c r="BF178" s="391"/>
      <c r="BG178"/>
      <c r="BH178"/>
      <c r="BI178"/>
      <c r="BJ178"/>
      <c r="BK178"/>
      <c r="BL178"/>
      <c r="BM178"/>
      <c r="BN178"/>
      <c r="BO178"/>
      <c r="BP178"/>
      <c r="BQ178"/>
      <c r="BR178"/>
      <c r="BS178"/>
      <c r="BT178"/>
      <c r="BU178"/>
      <c r="BV178"/>
      <c r="BW178"/>
      <c r="BX178"/>
      <c r="BY178"/>
    </row>
    <row r="179" spans="2:77" s="3" customFormat="1" ht="15">
      <c r="C179" s="271" t="s">
        <v>573</v>
      </c>
      <c r="D179" s="272">
        <f>'Plant Inputs'!$BR$71*INDEX(Conversion_Table,MATCH(EnergyCalcUnit,Conversion_Rows,0),MATCH(EnergyTotalDisplayUnit,Conversion_Columns,0))</f>
        <v>0</v>
      </c>
      <c r="E179" s="297">
        <f>IF('Plant Inputs'!$AR$22=0,0,'Plant Inputs'!$BR$71*INDEX(Conversion_Table,MATCH(EnergyCalcUnit,Conversion_Rows,0),MATCH(EnergyPerTonneDisplayUnit,Conversion_Columns,0))/'Plant Inputs'!$AT$22)</f>
        <v>0</v>
      </c>
      <c r="F179" s="274">
        <f>IF($D$181=0,0,D179/$D$181)</f>
        <v>0</v>
      </c>
      <c r="H179" s="249" t="str">
        <f>EnergyPerTonneDisplayUnit&amp;"/"&amp;MassDisplayUnit</f>
        <v>MBtu/short ton</v>
      </c>
      <c r="N179" s="296"/>
      <c r="O179" s="296"/>
      <c r="P179" s="296"/>
      <c r="Q179" s="296"/>
      <c r="R179" s="296"/>
      <c r="S179" s="296"/>
      <c r="T179" s="296"/>
      <c r="U179" s="296"/>
      <c r="V179" s="296"/>
      <c r="W179" s="296"/>
      <c r="X179" s="296"/>
      <c r="Y179" s="296"/>
      <c r="Z179" s="296"/>
      <c r="AA179" s="391"/>
      <c r="AB179" s="389"/>
      <c r="AC179" s="389"/>
      <c r="AD179" s="389"/>
      <c r="AE179" s="389"/>
      <c r="AF179" s="389"/>
      <c r="AG179" s="389"/>
      <c r="AH179" s="389"/>
      <c r="AI179" s="389"/>
      <c r="AJ179" s="389"/>
      <c r="AK179" s="389"/>
      <c r="AL179" s="389"/>
      <c r="AM179" s="389"/>
      <c r="AN179" s="389"/>
      <c r="AO179" s="389"/>
      <c r="AP179" s="389"/>
      <c r="AQ179" s="389"/>
      <c r="AR179" s="389"/>
      <c r="AS179" s="389"/>
      <c r="AT179" s="389"/>
      <c r="AU179" s="389"/>
      <c r="AV179" s="389"/>
      <c r="AW179" s="389"/>
      <c r="AX179" s="391"/>
      <c r="AY179" s="391"/>
      <c r="AZ179" s="391"/>
      <c r="BA179" s="391"/>
      <c r="BB179" s="391"/>
      <c r="BC179" s="391"/>
      <c r="BD179" s="391"/>
      <c r="BE179" s="391"/>
      <c r="BF179" s="391"/>
      <c r="BG179"/>
      <c r="BH179"/>
      <c r="BI179"/>
      <c r="BJ179"/>
      <c r="BK179"/>
      <c r="BL179"/>
      <c r="BM179"/>
      <c r="BN179"/>
      <c r="BO179"/>
      <c r="BP179"/>
      <c r="BQ179"/>
      <c r="BR179"/>
      <c r="BS179"/>
      <c r="BT179"/>
      <c r="BU179"/>
      <c r="BV179"/>
      <c r="BW179"/>
      <c r="BX179"/>
      <c r="BY179"/>
    </row>
    <row r="180" spans="2:77" s="3" customFormat="1" ht="15">
      <c r="C180" s="271" t="s">
        <v>220</v>
      </c>
      <c r="D180" s="272">
        <f>'Plant Inputs'!$AZ$87*INDEX(Conversion_Table,MATCH(EnergyCalcUnit,Conversion_Rows,0),MATCH(EnergyTotalDisplayUnit,Conversion_Columns,0))</f>
        <v>0</v>
      </c>
      <c r="E180" s="297">
        <f>IF('Plant Inputs'!$AR$22=0,0,'Plant Inputs'!$AZ$87*INDEX(Conversion_Table,MATCH(EnergyCalcUnit,Conversion_Rows,0),MATCH(EnergyPerTonneDisplayUnit,Conversion_Columns,0))/'Plant Inputs'!$AT$22)</f>
        <v>0</v>
      </c>
      <c r="F180" s="274">
        <f>IF($D$181=0,0,D180/$D$181)</f>
        <v>0</v>
      </c>
      <c r="N180" s="296"/>
      <c r="O180" s="296"/>
      <c r="P180" s="296"/>
      <c r="Q180" s="296"/>
      <c r="R180" s="296"/>
      <c r="S180" s="296"/>
      <c r="T180" s="296"/>
      <c r="U180" s="296"/>
      <c r="V180" s="296"/>
      <c r="W180" s="296"/>
      <c r="X180" s="296"/>
      <c r="Y180" s="296"/>
      <c r="Z180" s="296"/>
      <c r="AA180" s="391"/>
      <c r="AB180" s="389"/>
      <c r="AC180" s="389"/>
      <c r="AD180" s="389"/>
      <c r="AE180" s="389"/>
      <c r="AF180" s="389"/>
      <c r="AG180" s="389"/>
      <c r="AH180" s="389"/>
      <c r="AI180" s="389"/>
      <c r="AJ180" s="389"/>
      <c r="AK180" s="389"/>
      <c r="AL180" s="389"/>
      <c r="AM180" s="389"/>
      <c r="AN180" s="389"/>
      <c r="AO180" s="389"/>
      <c r="AP180" s="389"/>
      <c r="AQ180" s="389"/>
      <c r="AR180" s="389"/>
      <c r="AS180" s="389"/>
      <c r="AT180" s="389"/>
      <c r="AU180" s="389"/>
      <c r="AV180" s="389"/>
      <c r="AW180" s="389"/>
      <c r="AX180" s="391"/>
      <c r="AY180" s="391"/>
      <c r="AZ180" s="391"/>
      <c r="BA180" s="391"/>
      <c r="BB180" s="391"/>
      <c r="BC180" s="391"/>
      <c r="BD180" s="391"/>
      <c r="BE180" s="391"/>
      <c r="BF180" s="391"/>
      <c r="BG180"/>
      <c r="BH180"/>
      <c r="BI180"/>
      <c r="BJ180"/>
      <c r="BK180"/>
      <c r="BL180"/>
      <c r="BM180"/>
      <c r="BN180"/>
      <c r="BO180"/>
      <c r="BP180"/>
      <c r="BQ180"/>
      <c r="BR180"/>
      <c r="BS180"/>
      <c r="BT180"/>
      <c r="BU180"/>
      <c r="BV180"/>
      <c r="BW180"/>
      <c r="BX180"/>
      <c r="BY180"/>
    </row>
    <row r="181" spans="2:77" s="3" customFormat="1" ht="15">
      <c r="C181" s="275" t="s">
        <v>19</v>
      </c>
      <c r="D181" s="276">
        <f>SUM(D178:D180)</f>
        <v>0</v>
      </c>
      <c r="E181" s="298">
        <f>SUM(E178:E180)</f>
        <v>0</v>
      </c>
      <c r="F181" s="278">
        <f>SUM(F178:F180)</f>
        <v>0</v>
      </c>
      <c r="N181" s="296"/>
      <c r="O181" s="296"/>
      <c r="P181" s="296"/>
      <c r="Q181" s="296"/>
      <c r="R181" s="296"/>
      <c r="S181" s="296"/>
      <c r="T181" s="296"/>
      <c r="U181" s="296"/>
      <c r="V181" s="296"/>
      <c r="W181" s="296"/>
      <c r="X181" s="296"/>
      <c r="Y181" s="296"/>
      <c r="Z181" s="296"/>
      <c r="AA181" s="391"/>
      <c r="AB181" s="389"/>
      <c r="AC181" s="389"/>
      <c r="AD181" s="389"/>
      <c r="AE181" s="389"/>
      <c r="AF181" s="389"/>
      <c r="AG181" s="389"/>
      <c r="AH181" s="389"/>
      <c r="AI181" s="389"/>
      <c r="AJ181" s="389"/>
      <c r="AK181" s="389"/>
      <c r="AL181" s="389"/>
      <c r="AM181" s="389"/>
      <c r="AN181" s="389"/>
      <c r="AO181" s="389"/>
      <c r="AP181" s="389"/>
      <c r="AQ181" s="389"/>
      <c r="AR181" s="389"/>
      <c r="AS181" s="389"/>
      <c r="AT181" s="389"/>
      <c r="AU181" s="389"/>
      <c r="AV181" s="389"/>
      <c r="AW181" s="389"/>
      <c r="AX181" s="391"/>
      <c r="AY181" s="391"/>
      <c r="AZ181" s="391"/>
      <c r="BA181" s="391"/>
      <c r="BB181" s="391"/>
      <c r="BC181" s="391"/>
      <c r="BD181" s="391"/>
      <c r="BE181" s="391"/>
      <c r="BF181" s="391"/>
      <c r="BG181"/>
      <c r="BH181"/>
      <c r="BI181"/>
      <c r="BJ181"/>
      <c r="BK181"/>
      <c r="BL181"/>
      <c r="BM181"/>
      <c r="BN181"/>
      <c r="BO181"/>
      <c r="BP181"/>
      <c r="BQ181"/>
      <c r="BR181"/>
      <c r="BS181"/>
      <c r="BT181"/>
      <c r="BU181"/>
      <c r="BV181"/>
      <c r="BW181"/>
      <c r="BX181"/>
      <c r="BY181"/>
    </row>
    <row r="182" spans="2:77">
      <c r="E182" s="299"/>
      <c r="F182" s="299"/>
      <c r="G182" s="299"/>
      <c r="H182" s="299"/>
      <c r="P182" s="300"/>
    </row>
    <row r="183" spans="2:77" ht="14" thickBot="1"/>
    <row r="184" spans="2:77" s="11" customFormat="1" ht="19" thickBot="1">
      <c r="B184" s="259" t="s">
        <v>511</v>
      </c>
      <c r="C184" s="260"/>
      <c r="D184" s="260"/>
      <c r="E184" s="260"/>
      <c r="F184" s="260"/>
      <c r="G184" s="260"/>
      <c r="H184" s="260"/>
      <c r="I184" s="260"/>
      <c r="J184" s="260"/>
      <c r="K184" s="260"/>
      <c r="L184" s="261"/>
      <c r="M184" s="249"/>
      <c r="N184" s="262"/>
      <c r="O184" s="262"/>
      <c r="P184" s="262"/>
      <c r="Q184" s="262"/>
      <c r="R184" s="262"/>
      <c r="S184" s="262"/>
      <c r="T184" s="262"/>
      <c r="U184" s="262"/>
      <c r="V184" s="262"/>
      <c r="W184" s="262"/>
      <c r="X184" s="262"/>
      <c r="Y184" s="262"/>
      <c r="Z184" s="262"/>
      <c r="AA184" s="381"/>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1"/>
      <c r="AY184" s="381"/>
      <c r="AZ184" s="381"/>
      <c r="BA184" s="381"/>
      <c r="BB184" s="381"/>
      <c r="BC184" s="381"/>
      <c r="BD184" s="381"/>
      <c r="BE184" s="381"/>
      <c r="BF184" s="381"/>
      <c r="BG184" s="383"/>
      <c r="BH184" s="383"/>
      <c r="BI184" s="383"/>
      <c r="BJ184" s="383"/>
      <c r="BK184" s="383"/>
      <c r="BL184" s="383"/>
      <c r="BM184" s="383"/>
      <c r="BN184" s="383"/>
      <c r="BO184" s="383"/>
      <c r="BP184" s="383"/>
      <c r="BQ184" s="383"/>
      <c r="BR184" s="383"/>
      <c r="BS184" s="383"/>
      <c r="BT184" s="383"/>
      <c r="BU184" s="383"/>
      <c r="BV184" s="383"/>
      <c r="BW184" s="383"/>
      <c r="BX184" s="383"/>
      <c r="BY184" s="383"/>
    </row>
    <row r="186" spans="2:77" hidden="1"/>
    <row r="187" spans="2:77" hidden="1"/>
    <row r="188" spans="2:77" hidden="1"/>
    <row r="189" spans="2:77" hidden="1"/>
    <row r="190" spans="2:77" hidden="1"/>
    <row r="191" spans="2:77" hidden="1"/>
    <row r="192" spans="2:77"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spans="3:54" hidden="1"/>
    <row r="210" spans="3:54" hidden="1"/>
    <row r="211" spans="3:54" hidden="1"/>
    <row r="212" spans="3:54" hidden="1"/>
    <row r="213" spans="3:54" hidden="1"/>
    <row r="214" spans="3:54" hidden="1"/>
    <row r="215" spans="3:54" hidden="1"/>
    <row r="216" spans="3:54">
      <c r="H216" s="485" t="s">
        <v>667</v>
      </c>
    </row>
    <row r="217" spans="3:54">
      <c r="D217" s="279" t="s">
        <v>233</v>
      </c>
      <c r="H217" s="249" t="str">
        <f>"Total Primary Energy by Material 
("&amp;EnergyTotalDisplayUnit&amp;"/"&amp;MassDisplayUnit&amp;" precast)"</f>
        <v>Total Primary Energy by Material 
(MMBtu/short ton precast)</v>
      </c>
    </row>
    <row r="218" spans="3:54">
      <c r="D218" s="280">
        <f>'Principal Summary'!D218</f>
        <v>0.01</v>
      </c>
      <c r="H218" s="485" t="s">
        <v>668</v>
      </c>
      <c r="AC218" s="384" t="s">
        <v>232</v>
      </c>
      <c r="AD218" s="385">
        <f>D218</f>
        <v>0.01</v>
      </c>
    </row>
    <row r="219" spans="3:54">
      <c r="H219" s="249" t="str">
        <f>EnergyTotalDisplayUnit&amp;"/"&amp;MassDisplayUnit</f>
        <v>MMBtu/short ton</v>
      </c>
    </row>
    <row r="220" spans="3:54" ht="14.25" customHeight="1">
      <c r="AD220" s="724" t="s">
        <v>19</v>
      </c>
      <c r="AE220" s="724"/>
      <c r="AF220" s="724"/>
      <c r="AG220" s="724"/>
      <c r="AI220" s="484"/>
      <c r="AN220" s="724" t="str">
        <f>"Per " &amp;MassDisplayUnit</f>
        <v>Per short ton</v>
      </c>
      <c r="AO220" s="724"/>
      <c r="AP220" s="724"/>
      <c r="AQ220" s="724"/>
    </row>
    <row r="221" spans="3:54" ht="13.5" customHeight="1">
      <c r="D221" s="281"/>
      <c r="E221" s="282" t="str">
        <f>"Material Manufacturing &amp; Transportation TPE ("&amp;EnergyTotalDisplayUnit&amp;")"</f>
        <v>Material Manufacturing &amp; Transportation TPE (MMBtu)</v>
      </c>
      <c r="F221" s="283"/>
      <c r="G221" s="301"/>
      <c r="H221" s="285" t="str">
        <f>"Material Manufacturing &amp; Transportation TPE ("&amp;EnergyPerTonneDisplayUnit&amp;"/"&amp;MassDisplayUnit&amp;" precast)"</f>
        <v>Material Manufacturing &amp; Transportation TPE (MBtu/short ton precast)</v>
      </c>
      <c r="I221" s="286"/>
      <c r="J221" s="287"/>
      <c r="K221" s="288" t="s">
        <v>67</v>
      </c>
      <c r="L221" s="289"/>
      <c r="AD221" s="380" t="s">
        <v>229</v>
      </c>
      <c r="AE221" s="380" t="s">
        <v>230</v>
      </c>
      <c r="AF221" s="380" t="s">
        <v>223</v>
      </c>
      <c r="AN221" s="380" t="s">
        <v>229</v>
      </c>
      <c r="AO221" s="380" t="s">
        <v>230</v>
      </c>
      <c r="AP221" s="380" t="s">
        <v>223</v>
      </c>
    </row>
    <row r="222" spans="3:54" ht="13.5" customHeight="1">
      <c r="C222" s="290" t="s">
        <v>5</v>
      </c>
      <c r="D222" s="291" t="s">
        <v>5</v>
      </c>
      <c r="E222" s="291" t="s">
        <v>38</v>
      </c>
      <c r="F222" s="291" t="s">
        <v>19</v>
      </c>
      <c r="G222" s="269" t="s">
        <v>5</v>
      </c>
      <c r="H222" s="269" t="s">
        <v>38</v>
      </c>
      <c r="I222" s="269" t="s">
        <v>19</v>
      </c>
      <c r="J222" s="270" t="s">
        <v>5</v>
      </c>
      <c r="K222" s="270" t="s">
        <v>38</v>
      </c>
      <c r="L222" s="270" t="s">
        <v>19</v>
      </c>
      <c r="AD222" s="380" t="str">
        <f>EnergyTotalDisplayUnit</f>
        <v>MMBtu</v>
      </c>
      <c r="AE222" s="380" t="str">
        <f>EnergyTotalDisplayUnit</f>
        <v>MMBtu</v>
      </c>
      <c r="AF222" s="380" t="str">
        <f>EnergyTotalDisplayUnit</f>
        <v>MMBtu</v>
      </c>
      <c r="AG222" s="380" t="s">
        <v>153</v>
      </c>
      <c r="AH222" s="386"/>
      <c r="AI222" s="386"/>
      <c r="AK222" s="380" t="s">
        <v>658</v>
      </c>
      <c r="AL222" s="384"/>
      <c r="AN222" s="380" t="str">
        <f>EnergyPerTonneDisplayUnit&amp;"/"&amp;MassDisplayUnit</f>
        <v>MBtu/short ton</v>
      </c>
      <c r="AO222" s="380" t="str">
        <f>EnergyPerTonneDisplayUnit&amp;"/"&amp;MassDisplayUnit</f>
        <v>MBtu/short ton</v>
      </c>
      <c r="AP222" s="380" t="str">
        <f>EnergyPerTonneDisplayUnit&amp;"/"&amp;MassDisplayUnit</f>
        <v>MBtu/short ton</v>
      </c>
      <c r="AQ222" s="380" t="s">
        <v>153</v>
      </c>
      <c r="AS222" s="386"/>
      <c r="AU222" s="380" t="s">
        <v>661</v>
      </c>
      <c r="AV222" s="384"/>
    </row>
    <row r="223" spans="3:54" ht="15">
      <c r="C223" s="292" t="str">
        <f>'Plant Inputs'!D30</f>
        <v>Portland Cement</v>
      </c>
      <c r="D223" s="293">
        <f>AD223</f>
        <v>0</v>
      </c>
      <c r="E223" s="293">
        <f>AE223</f>
        <v>0</v>
      </c>
      <c r="F223" s="293">
        <f>AF223</f>
        <v>0</v>
      </c>
      <c r="G223" s="294">
        <f>AN223</f>
        <v>0</v>
      </c>
      <c r="H223" s="294">
        <f>AO223</f>
        <v>0</v>
      </c>
      <c r="I223" s="294">
        <f>AP223</f>
        <v>0</v>
      </c>
      <c r="J223" s="295">
        <f t="shared" ref="J223:J257" si="42">IF(D$258=0,0,D223/D$258)</f>
        <v>0</v>
      </c>
      <c r="K223" s="295">
        <f t="shared" ref="K223:K257" si="43">IF(E$258=0,0,E223/E$258)</f>
        <v>0</v>
      </c>
      <c r="L223" s="295">
        <f t="shared" ref="L223:L257" si="44">IF(F$258=0,0,F223/F$258)</f>
        <v>0</v>
      </c>
      <c r="AB223" s="380">
        <f>'Plant Inputs'!C30</f>
        <v>1</v>
      </c>
      <c r="AC223" s="384" t="str">
        <f>'Plant Inputs'!D30</f>
        <v>Portland Cement</v>
      </c>
      <c r="AD223" s="380">
        <f>IF('Plant Inputs'!$AR$22=0,0,'Plant Inputs'!$BC30*INDEX(Conversion_Table,MATCH(EnergyCalcUnit,Conversion_Rows,0),MATCH(AD$222,Conversion_Columns,0)))</f>
        <v>0</v>
      </c>
      <c r="AE223" s="380">
        <f>IF('Plant Inputs'!$AR$22=0,0,'Plant Inputs'!$DV30*INDEX(Conversion_Table,MATCH(EnergyCalcUnit,Conversion_Rows,0),MATCH(AE$222,Conversion_Columns,0)))</f>
        <v>0</v>
      </c>
      <c r="AF223" s="387">
        <f>AE223+AD223</f>
        <v>0</v>
      </c>
      <c r="AG223" s="388">
        <f t="shared" ref="AG223:AG257" si="45">IF($AF$258=0,0,AF223/$AF$258)</f>
        <v>0</v>
      </c>
      <c r="AH223" s="380" t="str">
        <f t="shared" ref="AH223:AH257" si="46">IF(AG223&gt;$AD$218,AC223,"")</f>
        <v/>
      </c>
      <c r="AI223" s="387" t="str">
        <f>IF(AG223&gt;=$AD$218,AF223-ROW()/1000000000000,"")</f>
        <v/>
      </c>
      <c r="AJ223" s="380">
        <f t="shared" ref="AJ223:AJ257" si="47">IF(AG223&lt;$AD$218,AF223,"")</f>
        <v>0</v>
      </c>
      <c r="AK223" s="380" t="str">
        <f t="shared" ref="AK223:AK257" si="48">INDEX($AH$223:$AH$260,MATCH(AL223,$AI$223:$AI$260,0))</f>
        <v/>
      </c>
      <c r="AL223" s="387" t="str">
        <f t="shared" ref="AL223:AL257" si="49">IFERROR(LARGE($AI$223:$AI$260,$AB223),"")</f>
        <v/>
      </c>
      <c r="AN223" s="394">
        <f>IF('Plant Inputs'!$AR$22=0,0,'Plant Inputs'!$BC30*INDEX(Conversion_Table,MATCH(EnergyCalcUnit,Conversion_Rows,0),MATCH(EnergyPerTonneDisplayUnit,Conversion_Columns,0))/'Plant Inputs'!$AT$22)</f>
        <v>0</v>
      </c>
      <c r="AO223" s="394">
        <f>IF('Plant Inputs'!$AR$22=0,0,'Plant Inputs'!$DV30*INDEX(Conversion_Table,MATCH(EnergyCalcUnit,Conversion_Rows,0),MATCH(EnergyPerTonneDisplayUnit,Conversion_Columns,0))/'Plant Inputs'!$AT$22)</f>
        <v>0</v>
      </c>
      <c r="AP223" s="394">
        <f>AN223+AO223</f>
        <v>0</v>
      </c>
      <c r="AQ223" s="388">
        <f t="shared" ref="AQ223:AQ257" si="50">IF($AP$258=0,0,AP223/$AP$258)</f>
        <v>0</v>
      </c>
      <c r="AR223" s="380" t="str">
        <f t="shared" ref="AR223:AR257" si="51">IF(AQ223&gt;$AD$218,$AC223,"")</f>
        <v/>
      </c>
      <c r="AS223" s="387" t="str">
        <f>IF(AQ223&gt;=$AD$218,AP223-ROW()/1000000000000,"")</f>
        <v/>
      </c>
      <c r="AT223" s="387">
        <f>IF(AQ223&lt;$AD$218,AP223,"")</f>
        <v>0</v>
      </c>
      <c r="AU223" s="380" t="str">
        <f t="shared" ref="AU223:AU257" si="52">INDEX($AR$223:$AR$260,MATCH(AV223,$AS$223:$AS$260,0))</f>
        <v/>
      </c>
      <c r="AV223" s="387" t="str">
        <f t="shared" ref="AV223:AV257" si="53">IFERROR(LARGE($AS$223:$AS$260,$AB223),"")</f>
        <v/>
      </c>
      <c r="AW223" s="389"/>
      <c r="AX223" s="391"/>
      <c r="AY223" s="391"/>
      <c r="AZ223" s="391"/>
      <c r="BA223" s="391"/>
      <c r="BB223" s="391"/>
    </row>
    <row r="224" spans="3:54" ht="15">
      <c r="C224" s="292" t="str">
        <f>'Plant Inputs'!D31</f>
        <v>Portland Limestone Cement (PLC)</v>
      </c>
      <c r="D224" s="293">
        <f t="shared" ref="D224:F257" si="54">AD224</f>
        <v>0</v>
      </c>
      <c r="E224" s="293">
        <f t="shared" si="54"/>
        <v>0</v>
      </c>
      <c r="F224" s="293">
        <f t="shared" si="54"/>
        <v>0</v>
      </c>
      <c r="G224" s="294">
        <f t="shared" ref="G224:G257" si="55">AN224</f>
        <v>0</v>
      </c>
      <c r="H224" s="294">
        <f t="shared" ref="H224:H257" si="56">AO224</f>
        <v>0</v>
      </c>
      <c r="I224" s="294">
        <f t="shared" ref="I224:I257" si="57">AP224</f>
        <v>0</v>
      </c>
      <c r="J224" s="295">
        <f t="shared" si="42"/>
        <v>0</v>
      </c>
      <c r="K224" s="295">
        <f t="shared" si="43"/>
        <v>0</v>
      </c>
      <c r="L224" s="295">
        <f t="shared" si="44"/>
        <v>0</v>
      </c>
      <c r="AB224" s="380">
        <f>'Plant Inputs'!C31</f>
        <v>2</v>
      </c>
      <c r="AC224" s="384" t="str">
        <f>'Plant Inputs'!D31</f>
        <v>Portland Limestone Cement (PLC)</v>
      </c>
      <c r="AD224" s="380">
        <f>IF('Plant Inputs'!$AR$22=0,0,'Plant Inputs'!$BC31*INDEX(Conversion_Table,MATCH(EnergyCalcUnit,Conversion_Rows,0),MATCH(AD$222,Conversion_Columns,0)))</f>
        <v>0</v>
      </c>
      <c r="AE224" s="380">
        <f>IF('Plant Inputs'!$AR$22=0,0,'Plant Inputs'!$DV31*INDEX(Conversion_Table,MATCH(EnergyCalcUnit,Conversion_Rows,0),MATCH(AE$222,Conversion_Columns,0)))</f>
        <v>0</v>
      </c>
      <c r="AF224" s="387">
        <f t="shared" ref="AF224:AF259" si="58">AE224+AD224</f>
        <v>0</v>
      </c>
      <c r="AG224" s="388">
        <f t="shared" si="45"/>
        <v>0</v>
      </c>
      <c r="AH224" s="380" t="str">
        <f t="shared" si="46"/>
        <v/>
      </c>
      <c r="AI224" s="387" t="str">
        <f t="shared" ref="AI224:AI257" si="59">IF(AG224&gt;=$AD$218,AF224-ROW()/1000000000000,"")</f>
        <v/>
      </c>
      <c r="AJ224" s="380">
        <f t="shared" si="47"/>
        <v>0</v>
      </c>
      <c r="AK224" s="380" t="str">
        <f t="shared" si="48"/>
        <v/>
      </c>
      <c r="AL224" s="387" t="str">
        <f t="shared" si="49"/>
        <v/>
      </c>
      <c r="AN224" s="394">
        <f>IF('Plant Inputs'!$AR$22=0,0,'Plant Inputs'!$BC31*INDEX(Conversion_Table,MATCH(EnergyCalcUnit,Conversion_Rows,0),MATCH(EnergyPerTonneDisplayUnit,Conversion_Columns,0))/'Plant Inputs'!$AT$22)</f>
        <v>0</v>
      </c>
      <c r="AO224" s="394">
        <f>IF('Plant Inputs'!$AR$22=0,0,'Plant Inputs'!$DV31*INDEX(Conversion_Table,MATCH(EnergyCalcUnit,Conversion_Rows,0),MATCH(EnergyPerTonneDisplayUnit,Conversion_Columns,0))/'Plant Inputs'!$AT$22)</f>
        <v>0</v>
      </c>
      <c r="AP224" s="394">
        <f t="shared" ref="AP224:AP257" si="60">AN224+AO224</f>
        <v>0</v>
      </c>
      <c r="AQ224" s="388">
        <f t="shared" si="50"/>
        <v>0</v>
      </c>
      <c r="AR224" s="380" t="str">
        <f t="shared" si="51"/>
        <v/>
      </c>
      <c r="AS224" s="387" t="str">
        <f t="shared" ref="AS224:AS257" si="61">IF(AQ224&gt;=$AD$218,AP224-ROW()/1000000000000,"")</f>
        <v/>
      </c>
      <c r="AT224" s="387">
        <f t="shared" ref="AT224:AT257" si="62">IF(AQ224&lt;$AD$218,AP224,"")</f>
        <v>0</v>
      </c>
      <c r="AU224" s="380" t="str">
        <f t="shared" si="52"/>
        <v/>
      </c>
      <c r="AV224" s="387" t="str">
        <f t="shared" si="53"/>
        <v/>
      </c>
      <c r="AW224" s="389"/>
      <c r="AX224" s="391"/>
      <c r="AY224" s="391"/>
      <c r="AZ224" s="391"/>
      <c r="BA224" s="391"/>
      <c r="BB224" s="391"/>
    </row>
    <row r="225" spans="3:54" ht="15">
      <c r="C225" s="292" t="str">
        <f>'Plant Inputs'!D32</f>
        <v>Pre-Blended Cement</v>
      </c>
      <c r="D225" s="293">
        <f t="shared" ref="D225" si="63">AD225</f>
        <v>0</v>
      </c>
      <c r="E225" s="293">
        <f t="shared" ref="E225" si="64">AE225</f>
        <v>0</v>
      </c>
      <c r="F225" s="293">
        <f t="shared" ref="F225" si="65">AF225</f>
        <v>0</v>
      </c>
      <c r="G225" s="294">
        <f t="shared" ref="G225" si="66">AN225</f>
        <v>0</v>
      </c>
      <c r="H225" s="294">
        <f t="shared" ref="H225" si="67">AO225</f>
        <v>0</v>
      </c>
      <c r="I225" s="294">
        <f t="shared" ref="I225" si="68">AP225</f>
        <v>0</v>
      </c>
      <c r="J225" s="295">
        <f t="shared" si="42"/>
        <v>0</v>
      </c>
      <c r="K225" s="295">
        <f t="shared" si="43"/>
        <v>0</v>
      </c>
      <c r="L225" s="295">
        <f t="shared" si="44"/>
        <v>0</v>
      </c>
      <c r="AB225" s="380">
        <f>'Plant Inputs'!C32</f>
        <v>3</v>
      </c>
      <c r="AC225" s="384" t="str">
        <f>'Plant Inputs'!D32</f>
        <v>Pre-Blended Cement</v>
      </c>
      <c r="AD225" s="380">
        <f>IF('Plant Inputs'!$AR$22=0,0,'Plant Inputs'!$BC32*INDEX(Conversion_Table,MATCH(EnergyCalcUnit,Conversion_Rows,0),MATCH(AD$222,Conversion_Columns,0)))</f>
        <v>0</v>
      </c>
      <c r="AE225" s="380">
        <f>IF('Plant Inputs'!$AR$22=0,0,'Plant Inputs'!$DV32*INDEX(Conversion_Table,MATCH(EnergyCalcUnit,Conversion_Rows,0),MATCH(AE$222,Conversion_Columns,0)))</f>
        <v>0</v>
      </c>
      <c r="AF225" s="387">
        <f t="shared" ref="AF225" si="69">AE225+AD225</f>
        <v>0</v>
      </c>
      <c r="AG225" s="388">
        <f t="shared" si="45"/>
        <v>0</v>
      </c>
      <c r="AH225" s="380" t="str">
        <f t="shared" ref="AH225" si="70">IF(AG225&gt;$AD$218,AC225,"")</f>
        <v/>
      </c>
      <c r="AI225" s="387" t="str">
        <f t="shared" ref="AI225" si="71">IF(AG225&gt;=$AD$218,AF225-ROW()/1000000000000,"")</f>
        <v/>
      </c>
      <c r="AJ225" s="380">
        <f t="shared" ref="AJ225" si="72">IF(AG225&lt;$AD$218,AF225,"")</f>
        <v>0</v>
      </c>
      <c r="AK225" s="380" t="str">
        <f t="shared" si="48"/>
        <v/>
      </c>
      <c r="AL225" s="387" t="str">
        <f t="shared" si="49"/>
        <v/>
      </c>
      <c r="AN225" s="394">
        <f>IF('Plant Inputs'!$AR$22=0,0,'Plant Inputs'!$BC32*INDEX(Conversion_Table,MATCH(EnergyCalcUnit,Conversion_Rows,0),MATCH(EnergyPerTonneDisplayUnit,Conversion_Columns,0))/'Plant Inputs'!$AT$22)</f>
        <v>0</v>
      </c>
      <c r="AO225" s="394">
        <f>IF('Plant Inputs'!$AR$22=0,0,'Plant Inputs'!$DV32*INDEX(Conversion_Table,MATCH(EnergyCalcUnit,Conversion_Rows,0),MATCH(EnergyPerTonneDisplayUnit,Conversion_Columns,0))/'Plant Inputs'!$AT$22)</f>
        <v>0</v>
      </c>
      <c r="AP225" s="394">
        <f t="shared" ref="AP225" si="73">AN225+AO225</f>
        <v>0</v>
      </c>
      <c r="AQ225" s="388">
        <f t="shared" si="50"/>
        <v>0</v>
      </c>
      <c r="AR225" s="380" t="str">
        <f t="shared" ref="AR225" si="74">IF(AQ225&gt;$AD$218,$AC225,"")</f>
        <v/>
      </c>
      <c r="AS225" s="387" t="str">
        <f t="shared" ref="AS225" si="75">IF(AQ225&gt;=$AD$218,AP225-ROW()/1000000000000,"")</f>
        <v/>
      </c>
      <c r="AT225" s="387">
        <f t="shared" ref="AT225" si="76">IF(AQ225&lt;$AD$218,AP225,"")</f>
        <v>0</v>
      </c>
      <c r="AU225" s="380" t="str">
        <f t="shared" si="52"/>
        <v/>
      </c>
      <c r="AV225" s="387" t="str">
        <f t="shared" si="53"/>
        <v/>
      </c>
      <c r="AW225" s="389"/>
      <c r="AX225" s="391"/>
      <c r="AY225" s="391"/>
      <c r="AZ225" s="391"/>
      <c r="BA225" s="391"/>
      <c r="BB225" s="391"/>
    </row>
    <row r="226" spans="3:54" ht="15">
      <c r="C226" s="292" t="str">
        <f>'Plant Inputs'!D33</f>
        <v>Fine Aggregate - natural sand</v>
      </c>
      <c r="D226" s="293">
        <f t="shared" si="54"/>
        <v>0</v>
      </c>
      <c r="E226" s="293">
        <f t="shared" si="54"/>
        <v>0</v>
      </c>
      <c r="F226" s="293">
        <f t="shared" si="54"/>
        <v>0</v>
      </c>
      <c r="G226" s="294">
        <f t="shared" si="55"/>
        <v>0</v>
      </c>
      <c r="H226" s="294">
        <f t="shared" si="56"/>
        <v>0</v>
      </c>
      <c r="I226" s="294">
        <f t="shared" si="57"/>
        <v>0</v>
      </c>
      <c r="J226" s="295">
        <f t="shared" si="42"/>
        <v>0</v>
      </c>
      <c r="K226" s="295">
        <f t="shared" si="43"/>
        <v>0</v>
      </c>
      <c r="L226" s="295">
        <f t="shared" si="44"/>
        <v>0</v>
      </c>
      <c r="AB226" s="380">
        <f>'Plant Inputs'!C33</f>
        <v>4</v>
      </c>
      <c r="AC226" s="384" t="str">
        <f>'Plant Inputs'!D33</f>
        <v>Fine Aggregate - natural sand</v>
      </c>
      <c r="AD226" s="380">
        <f>IF('Plant Inputs'!$AR$22=0,0,'Plant Inputs'!$BC33*INDEX(Conversion_Table,MATCH(EnergyCalcUnit,Conversion_Rows,0),MATCH(AD$222,Conversion_Columns,0)))</f>
        <v>0</v>
      </c>
      <c r="AE226" s="380">
        <f>IF('Plant Inputs'!$AR$22=0,0,'Plant Inputs'!$DV33*INDEX(Conversion_Table,MATCH(EnergyCalcUnit,Conversion_Rows,0),MATCH(AE$222,Conversion_Columns,0)))</f>
        <v>0</v>
      </c>
      <c r="AF226" s="387">
        <f t="shared" si="58"/>
        <v>0</v>
      </c>
      <c r="AG226" s="388">
        <f t="shared" si="45"/>
        <v>0</v>
      </c>
      <c r="AH226" s="380" t="str">
        <f t="shared" si="46"/>
        <v/>
      </c>
      <c r="AI226" s="387" t="str">
        <f t="shared" si="59"/>
        <v/>
      </c>
      <c r="AJ226" s="380">
        <f t="shared" si="47"/>
        <v>0</v>
      </c>
      <c r="AK226" s="380" t="str">
        <f t="shared" si="48"/>
        <v/>
      </c>
      <c r="AL226" s="387" t="str">
        <f t="shared" si="49"/>
        <v/>
      </c>
      <c r="AN226" s="394">
        <f>IF('Plant Inputs'!$AR$22=0,0,'Plant Inputs'!$BC33*INDEX(Conversion_Table,MATCH(EnergyCalcUnit,Conversion_Rows,0),MATCH(EnergyPerTonneDisplayUnit,Conversion_Columns,0))/'Plant Inputs'!$AT$22)</f>
        <v>0</v>
      </c>
      <c r="AO226" s="394">
        <f>IF('Plant Inputs'!$AR$22=0,0,'Plant Inputs'!$DV33*INDEX(Conversion_Table,MATCH(EnergyCalcUnit,Conversion_Rows,0),MATCH(EnergyPerTonneDisplayUnit,Conversion_Columns,0))/'Plant Inputs'!$AT$22)</f>
        <v>0</v>
      </c>
      <c r="AP226" s="394">
        <f t="shared" si="60"/>
        <v>0</v>
      </c>
      <c r="AQ226" s="388">
        <f t="shared" si="50"/>
        <v>0</v>
      </c>
      <c r="AR226" s="380" t="str">
        <f t="shared" si="51"/>
        <v/>
      </c>
      <c r="AS226" s="387" t="str">
        <f t="shared" si="61"/>
        <v/>
      </c>
      <c r="AT226" s="387">
        <f t="shared" si="62"/>
        <v>0</v>
      </c>
      <c r="AU226" s="380" t="str">
        <f t="shared" si="52"/>
        <v/>
      </c>
      <c r="AV226" s="387" t="str">
        <f t="shared" si="53"/>
        <v/>
      </c>
      <c r="AW226" s="389"/>
      <c r="AX226" s="391"/>
      <c r="AY226" s="391"/>
      <c r="AZ226" s="391"/>
      <c r="BA226" s="391"/>
      <c r="BB226" s="391"/>
    </row>
    <row r="227" spans="3:54" ht="15">
      <c r="C227" s="292" t="str">
        <f>'Plant Inputs'!D34</f>
        <v>Fine Aggregate - manufactured</v>
      </c>
      <c r="D227" s="293">
        <f t="shared" si="54"/>
        <v>0</v>
      </c>
      <c r="E227" s="293">
        <f t="shared" si="54"/>
        <v>0</v>
      </c>
      <c r="F227" s="293">
        <f t="shared" si="54"/>
        <v>0</v>
      </c>
      <c r="G227" s="294">
        <f t="shared" si="55"/>
        <v>0</v>
      </c>
      <c r="H227" s="294">
        <f t="shared" si="56"/>
        <v>0</v>
      </c>
      <c r="I227" s="294">
        <f t="shared" si="57"/>
        <v>0</v>
      </c>
      <c r="J227" s="295">
        <f t="shared" si="42"/>
        <v>0</v>
      </c>
      <c r="K227" s="295">
        <f t="shared" si="43"/>
        <v>0</v>
      </c>
      <c r="L227" s="295">
        <f t="shared" si="44"/>
        <v>0</v>
      </c>
      <c r="AB227" s="380">
        <f>'Plant Inputs'!C34</f>
        <v>5</v>
      </c>
      <c r="AC227" s="384" t="str">
        <f>'Plant Inputs'!D34</f>
        <v>Fine Aggregate - manufactured</v>
      </c>
      <c r="AD227" s="380">
        <f>IF('Plant Inputs'!$AR$22=0,0,'Plant Inputs'!$BC34*INDEX(Conversion_Table,MATCH(EnergyCalcUnit,Conversion_Rows,0),MATCH(AD$222,Conversion_Columns,0)))</f>
        <v>0</v>
      </c>
      <c r="AE227" s="380">
        <f>IF('Plant Inputs'!$AR$22=0,0,'Plant Inputs'!$DV34*INDEX(Conversion_Table,MATCH(EnergyCalcUnit,Conversion_Rows,0),MATCH(AE$222,Conversion_Columns,0)))</f>
        <v>0</v>
      </c>
      <c r="AF227" s="387">
        <f t="shared" si="58"/>
        <v>0</v>
      </c>
      <c r="AG227" s="388">
        <f t="shared" si="45"/>
        <v>0</v>
      </c>
      <c r="AH227" s="380" t="str">
        <f t="shared" si="46"/>
        <v/>
      </c>
      <c r="AI227" s="387" t="str">
        <f t="shared" si="59"/>
        <v/>
      </c>
      <c r="AJ227" s="380">
        <f t="shared" si="47"/>
        <v>0</v>
      </c>
      <c r="AK227" s="380" t="str">
        <f t="shared" si="48"/>
        <v/>
      </c>
      <c r="AL227" s="387" t="str">
        <f t="shared" si="49"/>
        <v/>
      </c>
      <c r="AN227" s="394">
        <f>IF('Plant Inputs'!$AR$22=0,0,'Plant Inputs'!$BC34*INDEX(Conversion_Table,MATCH(EnergyCalcUnit,Conversion_Rows,0),MATCH(EnergyPerTonneDisplayUnit,Conversion_Columns,0))/'Plant Inputs'!$AT$22)</f>
        <v>0</v>
      </c>
      <c r="AO227" s="394">
        <f>IF('Plant Inputs'!$AR$22=0,0,'Plant Inputs'!$DV34*INDEX(Conversion_Table,MATCH(EnergyCalcUnit,Conversion_Rows,0),MATCH(EnergyPerTonneDisplayUnit,Conversion_Columns,0))/'Plant Inputs'!$AT$22)</f>
        <v>0</v>
      </c>
      <c r="AP227" s="394">
        <f t="shared" si="60"/>
        <v>0</v>
      </c>
      <c r="AQ227" s="388">
        <f t="shared" si="50"/>
        <v>0</v>
      </c>
      <c r="AR227" s="380" t="str">
        <f t="shared" si="51"/>
        <v/>
      </c>
      <c r="AS227" s="387" t="str">
        <f t="shared" si="61"/>
        <v/>
      </c>
      <c r="AT227" s="387">
        <f t="shared" si="62"/>
        <v>0</v>
      </c>
      <c r="AU227" s="380" t="str">
        <f t="shared" si="52"/>
        <v/>
      </c>
      <c r="AV227" s="387" t="str">
        <f t="shared" si="53"/>
        <v/>
      </c>
      <c r="AW227" s="389"/>
      <c r="AX227" s="391"/>
      <c r="AY227" s="391"/>
      <c r="AZ227" s="391"/>
      <c r="BA227" s="391"/>
      <c r="BB227" s="391"/>
    </row>
    <row r="228" spans="3:54" ht="15">
      <c r="C228" s="292" t="str">
        <f>'Plant Inputs'!D35</f>
        <v>Coarse Aggregate - natural gravel</v>
      </c>
      <c r="D228" s="293">
        <f t="shared" si="54"/>
        <v>0</v>
      </c>
      <c r="E228" s="293">
        <f t="shared" si="54"/>
        <v>0</v>
      </c>
      <c r="F228" s="293">
        <f t="shared" si="54"/>
        <v>0</v>
      </c>
      <c r="G228" s="294">
        <f t="shared" si="55"/>
        <v>0</v>
      </c>
      <c r="H228" s="294">
        <f t="shared" si="56"/>
        <v>0</v>
      </c>
      <c r="I228" s="294">
        <f t="shared" si="57"/>
        <v>0</v>
      </c>
      <c r="J228" s="295">
        <f t="shared" si="42"/>
        <v>0</v>
      </c>
      <c r="K228" s="295">
        <f t="shared" si="43"/>
        <v>0</v>
      </c>
      <c r="L228" s="295">
        <f t="shared" si="44"/>
        <v>0</v>
      </c>
      <c r="AB228" s="380">
        <f>'Plant Inputs'!C35</f>
        <v>6</v>
      </c>
      <c r="AC228" s="384" t="str">
        <f>'Plant Inputs'!D35</f>
        <v>Coarse Aggregate - natural gravel</v>
      </c>
      <c r="AD228" s="380">
        <f>IF('Plant Inputs'!$AR$22=0,0,'Plant Inputs'!$BC35*INDEX(Conversion_Table,MATCH(EnergyCalcUnit,Conversion_Rows,0),MATCH(AD$222,Conversion_Columns,0)))</f>
        <v>0</v>
      </c>
      <c r="AE228" s="380">
        <f>IF('Plant Inputs'!$AR$22=0,0,'Plant Inputs'!$DV35*INDEX(Conversion_Table,MATCH(EnergyCalcUnit,Conversion_Rows,0),MATCH(AE$222,Conversion_Columns,0)))</f>
        <v>0</v>
      </c>
      <c r="AF228" s="387">
        <f t="shared" si="58"/>
        <v>0</v>
      </c>
      <c r="AG228" s="388">
        <f t="shared" si="45"/>
        <v>0</v>
      </c>
      <c r="AH228" s="380" t="str">
        <f t="shared" si="46"/>
        <v/>
      </c>
      <c r="AI228" s="387" t="str">
        <f t="shared" si="59"/>
        <v/>
      </c>
      <c r="AJ228" s="380">
        <f t="shared" si="47"/>
        <v>0</v>
      </c>
      <c r="AK228" s="380" t="str">
        <f t="shared" si="48"/>
        <v/>
      </c>
      <c r="AL228" s="387" t="str">
        <f t="shared" si="49"/>
        <v/>
      </c>
      <c r="AN228" s="394">
        <f>IF('Plant Inputs'!$AR$22=0,0,'Plant Inputs'!$BC35*INDEX(Conversion_Table,MATCH(EnergyCalcUnit,Conversion_Rows,0),MATCH(EnergyPerTonneDisplayUnit,Conversion_Columns,0))/'Plant Inputs'!$AT$22)</f>
        <v>0</v>
      </c>
      <c r="AO228" s="394">
        <f>IF('Plant Inputs'!$AR$22=0,0,'Plant Inputs'!$DV35*INDEX(Conversion_Table,MATCH(EnergyCalcUnit,Conversion_Rows,0),MATCH(EnergyPerTonneDisplayUnit,Conversion_Columns,0))/'Plant Inputs'!$AT$22)</f>
        <v>0</v>
      </c>
      <c r="AP228" s="394">
        <f t="shared" si="60"/>
        <v>0</v>
      </c>
      <c r="AQ228" s="388">
        <f t="shared" si="50"/>
        <v>0</v>
      </c>
      <c r="AR228" s="380" t="str">
        <f t="shared" si="51"/>
        <v/>
      </c>
      <c r="AS228" s="387" t="str">
        <f t="shared" si="61"/>
        <v/>
      </c>
      <c r="AT228" s="387">
        <f t="shared" si="62"/>
        <v>0</v>
      </c>
      <c r="AU228" s="380" t="str">
        <f t="shared" si="52"/>
        <v/>
      </c>
      <c r="AV228" s="387" t="str">
        <f t="shared" si="53"/>
        <v/>
      </c>
      <c r="AW228" s="389"/>
      <c r="AX228" s="391"/>
      <c r="AY228" s="391"/>
      <c r="AZ228" s="391"/>
      <c r="BA228" s="391"/>
      <c r="BB228" s="391"/>
    </row>
    <row r="229" spans="3:54" ht="15">
      <c r="C229" s="292" t="str">
        <f>'Plant Inputs'!D36</f>
        <v>Coarse Aggregate - crushed</v>
      </c>
      <c r="D229" s="293">
        <f t="shared" si="54"/>
        <v>0</v>
      </c>
      <c r="E229" s="293">
        <f t="shared" si="54"/>
        <v>0</v>
      </c>
      <c r="F229" s="293">
        <f t="shared" si="54"/>
        <v>0</v>
      </c>
      <c r="G229" s="294">
        <f t="shared" si="55"/>
        <v>0</v>
      </c>
      <c r="H229" s="294">
        <f t="shared" si="56"/>
        <v>0</v>
      </c>
      <c r="I229" s="294">
        <f t="shared" si="57"/>
        <v>0</v>
      </c>
      <c r="J229" s="295">
        <f t="shared" si="42"/>
        <v>0</v>
      </c>
      <c r="K229" s="295">
        <f t="shared" si="43"/>
        <v>0</v>
      </c>
      <c r="L229" s="295">
        <f t="shared" si="44"/>
        <v>0</v>
      </c>
      <c r="AB229" s="380">
        <f>'Plant Inputs'!C36</f>
        <v>7</v>
      </c>
      <c r="AC229" s="384" t="str">
        <f>'Plant Inputs'!D36</f>
        <v>Coarse Aggregate - crushed</v>
      </c>
      <c r="AD229" s="380">
        <f>IF('Plant Inputs'!$AR$22=0,0,'Plant Inputs'!$BC36*INDEX(Conversion_Table,MATCH(EnergyCalcUnit,Conversion_Rows,0),MATCH(AD$222,Conversion_Columns,0)))</f>
        <v>0</v>
      </c>
      <c r="AE229" s="380">
        <f>IF('Plant Inputs'!$AR$22=0,0,'Plant Inputs'!$DV36*INDEX(Conversion_Table,MATCH(EnergyCalcUnit,Conversion_Rows,0),MATCH(AE$222,Conversion_Columns,0)))</f>
        <v>0</v>
      </c>
      <c r="AF229" s="387">
        <f t="shared" si="58"/>
        <v>0</v>
      </c>
      <c r="AG229" s="388">
        <f t="shared" si="45"/>
        <v>0</v>
      </c>
      <c r="AH229" s="380" t="str">
        <f t="shared" si="46"/>
        <v/>
      </c>
      <c r="AI229" s="387" t="str">
        <f t="shared" si="59"/>
        <v/>
      </c>
      <c r="AJ229" s="380">
        <f t="shared" si="47"/>
        <v>0</v>
      </c>
      <c r="AK229" s="380" t="str">
        <f t="shared" si="48"/>
        <v/>
      </c>
      <c r="AL229" s="387" t="str">
        <f t="shared" si="49"/>
        <v/>
      </c>
      <c r="AN229" s="394">
        <f>IF('Plant Inputs'!$AR$22=0,0,'Plant Inputs'!$BC36*INDEX(Conversion_Table,MATCH(EnergyCalcUnit,Conversion_Rows,0),MATCH(EnergyPerTonneDisplayUnit,Conversion_Columns,0))/'Plant Inputs'!$AT$22)</f>
        <v>0</v>
      </c>
      <c r="AO229" s="394">
        <f>IF('Plant Inputs'!$AR$22=0,0,'Plant Inputs'!$DV36*INDEX(Conversion_Table,MATCH(EnergyCalcUnit,Conversion_Rows,0),MATCH(EnergyPerTonneDisplayUnit,Conversion_Columns,0))/'Plant Inputs'!$AT$22)</f>
        <v>0</v>
      </c>
      <c r="AP229" s="394">
        <f t="shared" si="60"/>
        <v>0</v>
      </c>
      <c r="AQ229" s="388">
        <f t="shared" si="50"/>
        <v>0</v>
      </c>
      <c r="AR229" s="380" t="str">
        <f t="shared" si="51"/>
        <v/>
      </c>
      <c r="AS229" s="387" t="str">
        <f t="shared" si="61"/>
        <v/>
      </c>
      <c r="AT229" s="387">
        <f t="shared" si="62"/>
        <v>0</v>
      </c>
      <c r="AU229" s="380" t="str">
        <f t="shared" si="52"/>
        <v/>
      </c>
      <c r="AV229" s="387" t="str">
        <f t="shared" si="53"/>
        <v/>
      </c>
      <c r="AW229" s="389"/>
      <c r="AX229" s="391"/>
      <c r="AY229" s="391"/>
      <c r="AZ229" s="391"/>
      <c r="BA229" s="391"/>
      <c r="BB229" s="391"/>
    </row>
    <row r="230" spans="3:54" ht="15">
      <c r="C230" s="292" t="str">
        <f>'Plant Inputs'!D37</f>
        <v>Manufactured Lightweight Aggregate</v>
      </c>
      <c r="D230" s="293">
        <f t="shared" si="54"/>
        <v>0</v>
      </c>
      <c r="E230" s="293">
        <f t="shared" si="54"/>
        <v>0</v>
      </c>
      <c r="F230" s="293">
        <f t="shared" si="54"/>
        <v>0</v>
      </c>
      <c r="G230" s="294">
        <f t="shared" si="55"/>
        <v>0</v>
      </c>
      <c r="H230" s="294">
        <f t="shared" si="56"/>
        <v>0</v>
      </c>
      <c r="I230" s="294">
        <f t="shared" si="57"/>
        <v>0</v>
      </c>
      <c r="J230" s="295">
        <f t="shared" si="42"/>
        <v>0</v>
      </c>
      <c r="K230" s="295">
        <f t="shared" si="43"/>
        <v>0</v>
      </c>
      <c r="L230" s="295">
        <f t="shared" si="44"/>
        <v>0</v>
      </c>
      <c r="AB230" s="380">
        <f>'Plant Inputs'!C37</f>
        <v>8</v>
      </c>
      <c r="AC230" s="384" t="str">
        <f>'Plant Inputs'!D37</f>
        <v>Manufactured Lightweight Aggregate</v>
      </c>
      <c r="AD230" s="380">
        <f>IF('Plant Inputs'!$AR$22=0,0,'Plant Inputs'!$BC37*INDEX(Conversion_Table,MATCH(EnergyCalcUnit,Conversion_Rows,0),MATCH(AD$222,Conversion_Columns,0)))</f>
        <v>0</v>
      </c>
      <c r="AE230" s="380">
        <f>IF('Plant Inputs'!$AR$22=0,0,'Plant Inputs'!$DV37*INDEX(Conversion_Table,MATCH(EnergyCalcUnit,Conversion_Rows,0),MATCH(AE$222,Conversion_Columns,0)))</f>
        <v>0</v>
      </c>
      <c r="AF230" s="387">
        <f t="shared" si="58"/>
        <v>0</v>
      </c>
      <c r="AG230" s="388">
        <f t="shared" si="45"/>
        <v>0</v>
      </c>
      <c r="AH230" s="380" t="str">
        <f t="shared" si="46"/>
        <v/>
      </c>
      <c r="AI230" s="387" t="str">
        <f t="shared" si="59"/>
        <v/>
      </c>
      <c r="AJ230" s="380">
        <f t="shared" si="47"/>
        <v>0</v>
      </c>
      <c r="AK230" s="380" t="str">
        <f t="shared" si="48"/>
        <v/>
      </c>
      <c r="AL230" s="387" t="str">
        <f t="shared" si="49"/>
        <v/>
      </c>
      <c r="AN230" s="394">
        <f>IF('Plant Inputs'!$AR$22=0,0,'Plant Inputs'!$BC37*INDEX(Conversion_Table,MATCH(EnergyCalcUnit,Conversion_Rows,0),MATCH(EnergyPerTonneDisplayUnit,Conversion_Columns,0))/'Plant Inputs'!$AT$22)</f>
        <v>0</v>
      </c>
      <c r="AO230" s="394">
        <f>IF('Plant Inputs'!$AR$22=0,0,'Plant Inputs'!$DV37*INDEX(Conversion_Table,MATCH(EnergyCalcUnit,Conversion_Rows,0),MATCH(EnergyPerTonneDisplayUnit,Conversion_Columns,0))/'Plant Inputs'!$AT$22)</f>
        <v>0</v>
      </c>
      <c r="AP230" s="394">
        <f t="shared" si="60"/>
        <v>0</v>
      </c>
      <c r="AQ230" s="388">
        <f t="shared" si="50"/>
        <v>0</v>
      </c>
      <c r="AR230" s="380" t="str">
        <f t="shared" si="51"/>
        <v/>
      </c>
      <c r="AS230" s="387" t="str">
        <f t="shared" si="61"/>
        <v/>
      </c>
      <c r="AT230" s="387">
        <f t="shared" si="62"/>
        <v>0</v>
      </c>
      <c r="AU230" s="380" t="str">
        <f t="shared" si="52"/>
        <v/>
      </c>
      <c r="AV230" s="387" t="str">
        <f t="shared" si="53"/>
        <v/>
      </c>
      <c r="AW230" s="389"/>
      <c r="AX230" s="391"/>
      <c r="AY230" s="391"/>
      <c r="AZ230" s="391"/>
      <c r="BA230" s="391"/>
      <c r="BB230" s="391"/>
    </row>
    <row r="231" spans="3:54" ht="15">
      <c r="C231" s="292" t="str">
        <f>'Plant Inputs'!D38</f>
        <v>Natural Lightweight Aggregate</v>
      </c>
      <c r="D231" s="293">
        <f t="shared" si="54"/>
        <v>0</v>
      </c>
      <c r="E231" s="293">
        <f t="shared" si="54"/>
        <v>0</v>
      </c>
      <c r="F231" s="293">
        <f t="shared" si="54"/>
        <v>0</v>
      </c>
      <c r="G231" s="294">
        <f t="shared" si="55"/>
        <v>0</v>
      </c>
      <c r="H231" s="294">
        <f t="shared" si="56"/>
        <v>0</v>
      </c>
      <c r="I231" s="294">
        <f t="shared" si="57"/>
        <v>0</v>
      </c>
      <c r="J231" s="295">
        <f t="shared" si="42"/>
        <v>0</v>
      </c>
      <c r="K231" s="295">
        <f t="shared" si="43"/>
        <v>0</v>
      </c>
      <c r="L231" s="295">
        <f t="shared" si="44"/>
        <v>0</v>
      </c>
      <c r="AB231" s="380">
        <f>'Plant Inputs'!C38</f>
        <v>9</v>
      </c>
      <c r="AC231" s="384" t="str">
        <f>'Plant Inputs'!D38</f>
        <v>Natural Lightweight Aggregate</v>
      </c>
      <c r="AD231" s="380">
        <f>IF('Plant Inputs'!$AR$22=0,0,'Plant Inputs'!$BC38*INDEX(Conversion_Table,MATCH(EnergyCalcUnit,Conversion_Rows,0),MATCH(AD$222,Conversion_Columns,0)))</f>
        <v>0</v>
      </c>
      <c r="AE231" s="380">
        <f>IF('Plant Inputs'!$AR$22=0,0,'Plant Inputs'!$DV38*INDEX(Conversion_Table,MATCH(EnergyCalcUnit,Conversion_Rows,0),MATCH(AE$222,Conversion_Columns,0)))</f>
        <v>0</v>
      </c>
      <c r="AF231" s="387">
        <f t="shared" si="58"/>
        <v>0</v>
      </c>
      <c r="AG231" s="388">
        <f t="shared" si="45"/>
        <v>0</v>
      </c>
      <c r="AH231" s="380" t="str">
        <f t="shared" si="46"/>
        <v/>
      </c>
      <c r="AI231" s="387" t="str">
        <f t="shared" si="59"/>
        <v/>
      </c>
      <c r="AJ231" s="380">
        <f t="shared" si="47"/>
        <v>0</v>
      </c>
      <c r="AK231" s="380" t="str">
        <f t="shared" si="48"/>
        <v/>
      </c>
      <c r="AL231" s="387" t="str">
        <f t="shared" si="49"/>
        <v/>
      </c>
      <c r="AN231" s="394">
        <f>IF('Plant Inputs'!$AR$22=0,0,'Plant Inputs'!$BC38*INDEX(Conversion_Table,MATCH(EnergyCalcUnit,Conversion_Rows,0),MATCH(EnergyPerTonneDisplayUnit,Conversion_Columns,0))/'Plant Inputs'!$AT$22)</f>
        <v>0</v>
      </c>
      <c r="AO231" s="394">
        <f>IF('Plant Inputs'!$AR$22=0,0,'Plant Inputs'!$DV38*INDEX(Conversion_Table,MATCH(EnergyCalcUnit,Conversion_Rows,0),MATCH(EnergyPerTonneDisplayUnit,Conversion_Columns,0))/'Plant Inputs'!$AT$22)</f>
        <v>0</v>
      </c>
      <c r="AP231" s="394">
        <f t="shared" si="60"/>
        <v>0</v>
      </c>
      <c r="AQ231" s="388">
        <f t="shared" si="50"/>
        <v>0</v>
      </c>
      <c r="AR231" s="380" t="str">
        <f t="shared" si="51"/>
        <v/>
      </c>
      <c r="AS231" s="387" t="str">
        <f t="shared" si="61"/>
        <v/>
      </c>
      <c r="AT231" s="387">
        <f t="shared" si="62"/>
        <v>0</v>
      </c>
      <c r="AU231" s="380" t="str">
        <f t="shared" si="52"/>
        <v/>
      </c>
      <c r="AV231" s="387" t="str">
        <f t="shared" si="53"/>
        <v/>
      </c>
      <c r="AW231" s="389"/>
      <c r="AX231" s="391"/>
      <c r="AY231" s="391"/>
      <c r="AZ231" s="391"/>
      <c r="BA231" s="391"/>
      <c r="BB231" s="391"/>
    </row>
    <row r="232" spans="3:54" ht="15">
      <c r="C232" s="292" t="str">
        <f>'Plant Inputs'!D39</f>
        <v>SCMs - Fly Ash</v>
      </c>
      <c r="D232" s="293">
        <f t="shared" si="54"/>
        <v>0</v>
      </c>
      <c r="E232" s="293">
        <f t="shared" si="54"/>
        <v>0</v>
      </c>
      <c r="F232" s="293">
        <f t="shared" si="54"/>
        <v>0</v>
      </c>
      <c r="G232" s="294">
        <f t="shared" si="55"/>
        <v>0</v>
      </c>
      <c r="H232" s="294">
        <f t="shared" si="56"/>
        <v>0</v>
      </c>
      <c r="I232" s="294">
        <f t="shared" si="57"/>
        <v>0</v>
      </c>
      <c r="J232" s="295">
        <f t="shared" si="42"/>
        <v>0</v>
      </c>
      <c r="K232" s="295">
        <f t="shared" si="43"/>
        <v>0</v>
      </c>
      <c r="L232" s="295">
        <f t="shared" si="44"/>
        <v>0</v>
      </c>
      <c r="AB232" s="380">
        <f>'Plant Inputs'!C39</f>
        <v>10</v>
      </c>
      <c r="AC232" s="384" t="str">
        <f>'Plant Inputs'!D39</f>
        <v>SCMs - Fly Ash</v>
      </c>
      <c r="AD232" s="380">
        <f>IF('Plant Inputs'!$AR$22=0,0,'Plant Inputs'!$BC39*INDEX(Conversion_Table,MATCH(EnergyCalcUnit,Conversion_Rows,0),MATCH(AD$222,Conversion_Columns,0)))</f>
        <v>0</v>
      </c>
      <c r="AE232" s="380">
        <f>IF('Plant Inputs'!$AR$22=0,0,'Plant Inputs'!$DV39*INDEX(Conversion_Table,MATCH(EnergyCalcUnit,Conversion_Rows,0),MATCH(AE$222,Conversion_Columns,0)))</f>
        <v>0</v>
      </c>
      <c r="AF232" s="387">
        <f t="shared" si="58"/>
        <v>0</v>
      </c>
      <c r="AG232" s="388">
        <f t="shared" si="45"/>
        <v>0</v>
      </c>
      <c r="AH232" s="380" t="str">
        <f t="shared" si="46"/>
        <v/>
      </c>
      <c r="AI232" s="387" t="str">
        <f t="shared" si="59"/>
        <v/>
      </c>
      <c r="AJ232" s="380">
        <f t="shared" si="47"/>
        <v>0</v>
      </c>
      <c r="AK232" s="380" t="str">
        <f t="shared" si="48"/>
        <v/>
      </c>
      <c r="AL232" s="387" t="str">
        <f t="shared" si="49"/>
        <v/>
      </c>
      <c r="AN232" s="394">
        <f>IF('Plant Inputs'!$AR$22=0,0,'Plant Inputs'!$BC39*INDEX(Conversion_Table,MATCH(EnergyCalcUnit,Conversion_Rows,0),MATCH(EnergyPerTonneDisplayUnit,Conversion_Columns,0))/'Plant Inputs'!$AT$22)</f>
        <v>0</v>
      </c>
      <c r="AO232" s="394">
        <f>IF('Plant Inputs'!$AR$22=0,0,'Plant Inputs'!$DV39*INDEX(Conversion_Table,MATCH(EnergyCalcUnit,Conversion_Rows,0),MATCH(EnergyPerTonneDisplayUnit,Conversion_Columns,0))/'Plant Inputs'!$AT$22)</f>
        <v>0</v>
      </c>
      <c r="AP232" s="394">
        <f t="shared" si="60"/>
        <v>0</v>
      </c>
      <c r="AQ232" s="388">
        <f t="shared" si="50"/>
        <v>0</v>
      </c>
      <c r="AR232" s="380" t="str">
        <f t="shared" si="51"/>
        <v/>
      </c>
      <c r="AS232" s="387" t="str">
        <f t="shared" si="61"/>
        <v/>
      </c>
      <c r="AT232" s="387">
        <f t="shared" si="62"/>
        <v>0</v>
      </c>
      <c r="AU232" s="380" t="str">
        <f t="shared" si="52"/>
        <v/>
      </c>
      <c r="AV232" s="387" t="str">
        <f t="shared" si="53"/>
        <v/>
      </c>
      <c r="AW232" s="389"/>
      <c r="AX232" s="391"/>
      <c r="AY232" s="391"/>
      <c r="AZ232" s="391"/>
      <c r="BA232" s="391"/>
      <c r="BB232" s="391"/>
    </row>
    <row r="233" spans="3:54" ht="15">
      <c r="C233" s="292" t="str">
        <f>'Plant Inputs'!D40</f>
        <v>SCMs - Silica Fume</v>
      </c>
      <c r="D233" s="293">
        <f t="shared" si="54"/>
        <v>0</v>
      </c>
      <c r="E233" s="293">
        <f t="shared" si="54"/>
        <v>0</v>
      </c>
      <c r="F233" s="293">
        <f t="shared" si="54"/>
        <v>0</v>
      </c>
      <c r="G233" s="294">
        <f t="shared" si="55"/>
        <v>0</v>
      </c>
      <c r="H233" s="294">
        <f t="shared" si="56"/>
        <v>0</v>
      </c>
      <c r="I233" s="294">
        <f t="shared" si="57"/>
        <v>0</v>
      </c>
      <c r="J233" s="295">
        <f t="shared" si="42"/>
        <v>0</v>
      </c>
      <c r="K233" s="295">
        <f t="shared" si="43"/>
        <v>0</v>
      </c>
      <c r="L233" s="295">
        <f t="shared" si="44"/>
        <v>0</v>
      </c>
      <c r="AB233" s="380">
        <f>'Plant Inputs'!C40</f>
        <v>11</v>
      </c>
      <c r="AC233" s="384" t="str">
        <f>'Plant Inputs'!D40</f>
        <v>SCMs - Silica Fume</v>
      </c>
      <c r="AD233" s="380">
        <f>IF('Plant Inputs'!$AR$22=0,0,'Plant Inputs'!$BC40*INDEX(Conversion_Table,MATCH(EnergyCalcUnit,Conversion_Rows,0),MATCH(AD$222,Conversion_Columns,0)))</f>
        <v>0</v>
      </c>
      <c r="AE233" s="380">
        <f>IF('Plant Inputs'!$AR$22=0,0,'Plant Inputs'!$DV40*INDEX(Conversion_Table,MATCH(EnergyCalcUnit,Conversion_Rows,0),MATCH(AE$222,Conversion_Columns,0)))</f>
        <v>0</v>
      </c>
      <c r="AF233" s="387">
        <f t="shared" si="58"/>
        <v>0</v>
      </c>
      <c r="AG233" s="388">
        <f t="shared" si="45"/>
        <v>0</v>
      </c>
      <c r="AH233" s="380" t="str">
        <f t="shared" si="46"/>
        <v/>
      </c>
      <c r="AI233" s="387" t="str">
        <f t="shared" si="59"/>
        <v/>
      </c>
      <c r="AJ233" s="380">
        <f t="shared" si="47"/>
        <v>0</v>
      </c>
      <c r="AK233" s="380" t="str">
        <f t="shared" si="48"/>
        <v/>
      </c>
      <c r="AL233" s="387" t="str">
        <f t="shared" si="49"/>
        <v/>
      </c>
      <c r="AN233" s="394">
        <f>IF('Plant Inputs'!$AR$22=0,0,'Plant Inputs'!$BC40*INDEX(Conversion_Table,MATCH(EnergyCalcUnit,Conversion_Rows,0),MATCH(EnergyPerTonneDisplayUnit,Conversion_Columns,0))/'Plant Inputs'!$AT$22)</f>
        <v>0</v>
      </c>
      <c r="AO233" s="394">
        <f>IF('Plant Inputs'!$AR$22=0,0,'Plant Inputs'!$DV40*INDEX(Conversion_Table,MATCH(EnergyCalcUnit,Conversion_Rows,0),MATCH(EnergyPerTonneDisplayUnit,Conversion_Columns,0))/'Plant Inputs'!$AT$22)</f>
        <v>0</v>
      </c>
      <c r="AP233" s="394">
        <f t="shared" si="60"/>
        <v>0</v>
      </c>
      <c r="AQ233" s="388">
        <f t="shared" si="50"/>
        <v>0</v>
      </c>
      <c r="AR233" s="380" t="str">
        <f t="shared" si="51"/>
        <v/>
      </c>
      <c r="AS233" s="387" t="str">
        <f t="shared" si="61"/>
        <v/>
      </c>
      <c r="AT233" s="387">
        <f t="shared" si="62"/>
        <v>0</v>
      </c>
      <c r="AU233" s="380" t="str">
        <f t="shared" si="52"/>
        <v/>
      </c>
      <c r="AV233" s="387" t="str">
        <f t="shared" si="53"/>
        <v/>
      </c>
      <c r="AW233" s="389"/>
      <c r="AX233" s="391"/>
      <c r="AY233" s="391"/>
      <c r="AZ233" s="391"/>
      <c r="BA233" s="391"/>
      <c r="BB233" s="391"/>
    </row>
    <row r="234" spans="3:54" ht="15">
      <c r="C234" s="292" t="str">
        <f>'Plant Inputs'!D41</f>
        <v>Slag Cement</v>
      </c>
      <c r="D234" s="293">
        <f t="shared" si="54"/>
        <v>0</v>
      </c>
      <c r="E234" s="293">
        <f t="shared" si="54"/>
        <v>0</v>
      </c>
      <c r="F234" s="293">
        <f t="shared" si="54"/>
        <v>0</v>
      </c>
      <c r="G234" s="294">
        <f t="shared" si="55"/>
        <v>0</v>
      </c>
      <c r="H234" s="294">
        <f t="shared" si="56"/>
        <v>0</v>
      </c>
      <c r="I234" s="294">
        <f t="shared" si="57"/>
        <v>0</v>
      </c>
      <c r="J234" s="295">
        <f t="shared" si="42"/>
        <v>0</v>
      </c>
      <c r="K234" s="295">
        <f t="shared" si="43"/>
        <v>0</v>
      </c>
      <c r="L234" s="295">
        <f t="shared" si="44"/>
        <v>0</v>
      </c>
      <c r="AB234" s="380">
        <f>'Plant Inputs'!C41</f>
        <v>12</v>
      </c>
      <c r="AC234" s="384" t="str">
        <f>'Plant Inputs'!D41</f>
        <v>Slag Cement</v>
      </c>
      <c r="AD234" s="380">
        <f>IF('Plant Inputs'!$AR$22=0,0,'Plant Inputs'!$BC41*INDEX(Conversion_Table,MATCH(EnergyCalcUnit,Conversion_Rows,0),MATCH(AD$222,Conversion_Columns,0)))</f>
        <v>0</v>
      </c>
      <c r="AE234" s="380">
        <f>IF('Plant Inputs'!$AR$22=0,0,'Plant Inputs'!$DV41*INDEX(Conversion_Table,MATCH(EnergyCalcUnit,Conversion_Rows,0),MATCH(AE$222,Conversion_Columns,0)))</f>
        <v>0</v>
      </c>
      <c r="AF234" s="387">
        <f t="shared" si="58"/>
        <v>0</v>
      </c>
      <c r="AG234" s="388">
        <f t="shared" si="45"/>
        <v>0</v>
      </c>
      <c r="AH234" s="380" t="str">
        <f t="shared" si="46"/>
        <v/>
      </c>
      <c r="AI234" s="387" t="str">
        <f t="shared" si="59"/>
        <v/>
      </c>
      <c r="AJ234" s="380">
        <f t="shared" si="47"/>
        <v>0</v>
      </c>
      <c r="AK234" s="380" t="str">
        <f t="shared" si="48"/>
        <v/>
      </c>
      <c r="AL234" s="387" t="str">
        <f t="shared" si="49"/>
        <v/>
      </c>
      <c r="AN234" s="394">
        <f>IF('Plant Inputs'!$AR$22=0,0,'Plant Inputs'!$BC41*INDEX(Conversion_Table,MATCH(EnergyCalcUnit,Conversion_Rows,0),MATCH(EnergyPerTonneDisplayUnit,Conversion_Columns,0))/'Plant Inputs'!$AT$22)</f>
        <v>0</v>
      </c>
      <c r="AO234" s="394">
        <f>IF('Plant Inputs'!$AR$22=0,0,'Plant Inputs'!$DV41*INDEX(Conversion_Table,MATCH(EnergyCalcUnit,Conversion_Rows,0),MATCH(EnergyPerTonneDisplayUnit,Conversion_Columns,0))/'Plant Inputs'!$AT$22)</f>
        <v>0</v>
      </c>
      <c r="AP234" s="394">
        <f t="shared" si="60"/>
        <v>0</v>
      </c>
      <c r="AQ234" s="388">
        <f t="shared" si="50"/>
        <v>0</v>
      </c>
      <c r="AR234" s="380" t="str">
        <f t="shared" si="51"/>
        <v/>
      </c>
      <c r="AS234" s="387" t="str">
        <f t="shared" si="61"/>
        <v/>
      </c>
      <c r="AT234" s="387">
        <f t="shared" si="62"/>
        <v>0</v>
      </c>
      <c r="AU234" s="380" t="str">
        <f t="shared" si="52"/>
        <v/>
      </c>
      <c r="AV234" s="387" t="str">
        <f t="shared" si="53"/>
        <v/>
      </c>
      <c r="AW234" s="389"/>
      <c r="AX234" s="391"/>
      <c r="AY234" s="391"/>
      <c r="AZ234" s="391"/>
      <c r="BA234" s="391"/>
      <c r="BB234" s="391"/>
    </row>
    <row r="235" spans="3:54" ht="15">
      <c r="C235" s="292" t="str">
        <f>'Plant Inputs'!D42</f>
        <v>Chemical Admixture - Air Entraining Agent</v>
      </c>
      <c r="D235" s="293">
        <f t="shared" si="54"/>
        <v>0</v>
      </c>
      <c r="E235" s="293">
        <f t="shared" si="54"/>
        <v>0</v>
      </c>
      <c r="F235" s="293">
        <f t="shared" si="54"/>
        <v>0</v>
      </c>
      <c r="G235" s="294">
        <f t="shared" si="55"/>
        <v>0</v>
      </c>
      <c r="H235" s="294">
        <f t="shared" si="56"/>
        <v>0</v>
      </c>
      <c r="I235" s="294">
        <f t="shared" si="57"/>
        <v>0</v>
      </c>
      <c r="J235" s="295">
        <f t="shared" si="42"/>
        <v>0</v>
      </c>
      <c r="K235" s="295">
        <f t="shared" si="43"/>
        <v>0</v>
      </c>
      <c r="L235" s="295">
        <f t="shared" si="44"/>
        <v>0</v>
      </c>
      <c r="AB235" s="380">
        <f>'Plant Inputs'!C42</f>
        <v>13</v>
      </c>
      <c r="AC235" s="384" t="str">
        <f>'Plant Inputs'!D42</f>
        <v>Chemical Admixture - Air Entraining Agent</v>
      </c>
      <c r="AD235" s="380">
        <f>IF('Plant Inputs'!$AR$22=0,0,'Plant Inputs'!$BC42*INDEX(Conversion_Table,MATCH(EnergyCalcUnit,Conversion_Rows,0),MATCH(AD$222,Conversion_Columns,0)))</f>
        <v>0</v>
      </c>
      <c r="AE235" s="380">
        <f>IF('Plant Inputs'!$AR$22=0,0,'Plant Inputs'!$DV42*INDEX(Conversion_Table,MATCH(EnergyCalcUnit,Conversion_Rows,0),MATCH(AE$222,Conversion_Columns,0)))</f>
        <v>0</v>
      </c>
      <c r="AF235" s="387">
        <f t="shared" si="58"/>
        <v>0</v>
      </c>
      <c r="AG235" s="388">
        <f t="shared" si="45"/>
        <v>0</v>
      </c>
      <c r="AH235" s="380" t="str">
        <f t="shared" si="46"/>
        <v/>
      </c>
      <c r="AI235" s="387" t="str">
        <f t="shared" si="59"/>
        <v/>
      </c>
      <c r="AJ235" s="380">
        <f t="shared" si="47"/>
        <v>0</v>
      </c>
      <c r="AK235" s="380" t="str">
        <f t="shared" si="48"/>
        <v/>
      </c>
      <c r="AL235" s="387" t="str">
        <f t="shared" si="49"/>
        <v/>
      </c>
      <c r="AN235" s="394">
        <f>IF('Plant Inputs'!$AR$22=0,0,'Plant Inputs'!$BC42*INDEX(Conversion_Table,MATCH(EnergyCalcUnit,Conversion_Rows,0),MATCH(EnergyPerTonneDisplayUnit,Conversion_Columns,0))/'Plant Inputs'!$AT$22)</f>
        <v>0</v>
      </c>
      <c r="AO235" s="394">
        <f>IF('Plant Inputs'!$AR$22=0,0,'Plant Inputs'!$DV42*INDEX(Conversion_Table,MATCH(EnergyCalcUnit,Conversion_Rows,0),MATCH(EnergyPerTonneDisplayUnit,Conversion_Columns,0))/'Plant Inputs'!$AT$22)</f>
        <v>0</v>
      </c>
      <c r="AP235" s="394">
        <f t="shared" si="60"/>
        <v>0</v>
      </c>
      <c r="AQ235" s="388">
        <f t="shared" si="50"/>
        <v>0</v>
      </c>
      <c r="AR235" s="380" t="str">
        <f t="shared" si="51"/>
        <v/>
      </c>
      <c r="AS235" s="387" t="str">
        <f t="shared" si="61"/>
        <v/>
      </c>
      <c r="AT235" s="387">
        <f t="shared" si="62"/>
        <v>0</v>
      </c>
      <c r="AU235" s="380" t="str">
        <f t="shared" si="52"/>
        <v/>
      </c>
      <c r="AV235" s="387" t="str">
        <f t="shared" si="53"/>
        <v/>
      </c>
      <c r="AW235" s="389"/>
      <c r="AX235" s="391"/>
      <c r="AY235" s="391"/>
      <c r="AZ235" s="391"/>
      <c r="BA235" s="391"/>
      <c r="BB235" s="391"/>
    </row>
    <row r="236" spans="3:54" ht="15">
      <c r="C236" s="292" t="str">
        <f>'Plant Inputs'!D43</f>
        <v>Chemical Admixture - Water Reducer/Plasticizer</v>
      </c>
      <c r="D236" s="293">
        <f t="shared" si="54"/>
        <v>0</v>
      </c>
      <c r="E236" s="293">
        <f t="shared" si="54"/>
        <v>0</v>
      </c>
      <c r="F236" s="293">
        <f t="shared" si="54"/>
        <v>0</v>
      </c>
      <c r="G236" s="294">
        <f t="shared" si="55"/>
        <v>0</v>
      </c>
      <c r="H236" s="294">
        <f t="shared" si="56"/>
        <v>0</v>
      </c>
      <c r="I236" s="294">
        <f t="shared" si="57"/>
        <v>0</v>
      </c>
      <c r="J236" s="295">
        <f t="shared" si="42"/>
        <v>0</v>
      </c>
      <c r="K236" s="295">
        <f t="shared" si="43"/>
        <v>0</v>
      </c>
      <c r="L236" s="295">
        <f t="shared" si="44"/>
        <v>0</v>
      </c>
      <c r="AB236" s="380">
        <f>'Plant Inputs'!C43</f>
        <v>14</v>
      </c>
      <c r="AC236" s="384" t="str">
        <f>'Plant Inputs'!D43</f>
        <v>Chemical Admixture - Water Reducer/Plasticizer</v>
      </c>
      <c r="AD236" s="380">
        <f>IF('Plant Inputs'!$AR$22=0,0,'Plant Inputs'!$BC43*INDEX(Conversion_Table,MATCH(EnergyCalcUnit,Conversion_Rows,0),MATCH(AD$222,Conversion_Columns,0)))</f>
        <v>0</v>
      </c>
      <c r="AE236" s="380">
        <f>IF('Plant Inputs'!$AR$22=0,0,'Plant Inputs'!$DV43*INDEX(Conversion_Table,MATCH(EnergyCalcUnit,Conversion_Rows,0),MATCH(AE$222,Conversion_Columns,0)))</f>
        <v>0</v>
      </c>
      <c r="AF236" s="387">
        <f t="shared" si="58"/>
        <v>0</v>
      </c>
      <c r="AG236" s="388">
        <f t="shared" si="45"/>
        <v>0</v>
      </c>
      <c r="AH236" s="380" t="str">
        <f t="shared" si="46"/>
        <v/>
      </c>
      <c r="AI236" s="387" t="str">
        <f t="shared" si="59"/>
        <v/>
      </c>
      <c r="AJ236" s="380">
        <f t="shared" si="47"/>
        <v>0</v>
      </c>
      <c r="AK236" s="380" t="str">
        <f t="shared" si="48"/>
        <v/>
      </c>
      <c r="AL236" s="387" t="str">
        <f t="shared" si="49"/>
        <v/>
      </c>
      <c r="AN236" s="394">
        <f>IF('Plant Inputs'!$AR$22=0,0,'Plant Inputs'!$BC43*INDEX(Conversion_Table,MATCH(EnergyCalcUnit,Conversion_Rows,0),MATCH(EnergyPerTonneDisplayUnit,Conversion_Columns,0))/'Plant Inputs'!$AT$22)</f>
        <v>0</v>
      </c>
      <c r="AO236" s="394">
        <f>IF('Plant Inputs'!$AR$22=0,0,'Plant Inputs'!$DV43*INDEX(Conversion_Table,MATCH(EnergyCalcUnit,Conversion_Rows,0),MATCH(EnergyPerTonneDisplayUnit,Conversion_Columns,0))/'Plant Inputs'!$AT$22)</f>
        <v>0</v>
      </c>
      <c r="AP236" s="394">
        <f t="shared" si="60"/>
        <v>0</v>
      </c>
      <c r="AQ236" s="388">
        <f t="shared" si="50"/>
        <v>0</v>
      </c>
      <c r="AR236" s="380" t="str">
        <f t="shared" si="51"/>
        <v/>
      </c>
      <c r="AS236" s="387" t="str">
        <f t="shared" si="61"/>
        <v/>
      </c>
      <c r="AT236" s="387">
        <f t="shared" si="62"/>
        <v>0</v>
      </c>
      <c r="AU236" s="380" t="str">
        <f t="shared" si="52"/>
        <v/>
      </c>
      <c r="AV236" s="387" t="str">
        <f t="shared" si="53"/>
        <v/>
      </c>
      <c r="AW236" s="389"/>
      <c r="AX236" s="391"/>
      <c r="AY236" s="391"/>
      <c r="AZ236" s="391"/>
      <c r="BA236" s="391"/>
      <c r="BB236" s="391"/>
    </row>
    <row r="237" spans="3:54" ht="15">
      <c r="C237" s="292" t="str">
        <f>'Plant Inputs'!D44</f>
        <v>Chemical Admixture - Accelerator</v>
      </c>
      <c r="D237" s="293">
        <f t="shared" si="54"/>
        <v>0</v>
      </c>
      <c r="E237" s="293">
        <f t="shared" si="54"/>
        <v>0</v>
      </c>
      <c r="F237" s="293">
        <f t="shared" si="54"/>
        <v>0</v>
      </c>
      <c r="G237" s="294">
        <f t="shared" si="55"/>
        <v>0</v>
      </c>
      <c r="H237" s="294">
        <f t="shared" si="56"/>
        <v>0</v>
      </c>
      <c r="I237" s="294">
        <f t="shared" si="57"/>
        <v>0</v>
      </c>
      <c r="J237" s="295">
        <f t="shared" si="42"/>
        <v>0</v>
      </c>
      <c r="K237" s="295">
        <f t="shared" si="43"/>
        <v>0</v>
      </c>
      <c r="L237" s="295">
        <f t="shared" si="44"/>
        <v>0</v>
      </c>
      <c r="AB237" s="380">
        <f>'Plant Inputs'!C44</f>
        <v>15</v>
      </c>
      <c r="AC237" s="384" t="str">
        <f>'Plant Inputs'!D44</f>
        <v>Chemical Admixture - Accelerator</v>
      </c>
      <c r="AD237" s="380">
        <f>IF('Plant Inputs'!$AR$22=0,0,'Plant Inputs'!$BC44*INDEX(Conversion_Table,MATCH(EnergyCalcUnit,Conversion_Rows,0),MATCH(AD$222,Conversion_Columns,0)))</f>
        <v>0</v>
      </c>
      <c r="AE237" s="380">
        <f>IF('Plant Inputs'!$AR$22=0,0,'Plant Inputs'!$DV44*INDEX(Conversion_Table,MATCH(EnergyCalcUnit,Conversion_Rows,0),MATCH(AE$222,Conversion_Columns,0)))</f>
        <v>0</v>
      </c>
      <c r="AF237" s="387">
        <f t="shared" si="58"/>
        <v>0</v>
      </c>
      <c r="AG237" s="388">
        <f t="shared" si="45"/>
        <v>0</v>
      </c>
      <c r="AH237" s="380" t="str">
        <f t="shared" si="46"/>
        <v/>
      </c>
      <c r="AI237" s="387" t="str">
        <f t="shared" si="59"/>
        <v/>
      </c>
      <c r="AJ237" s="380">
        <f t="shared" si="47"/>
        <v>0</v>
      </c>
      <c r="AK237" s="380" t="str">
        <f t="shared" si="48"/>
        <v/>
      </c>
      <c r="AL237" s="387" t="str">
        <f t="shared" si="49"/>
        <v/>
      </c>
      <c r="AN237" s="394">
        <f>IF('Plant Inputs'!$AR$22=0,0,'Plant Inputs'!$BC44*INDEX(Conversion_Table,MATCH(EnergyCalcUnit,Conversion_Rows,0),MATCH(EnergyPerTonneDisplayUnit,Conversion_Columns,0))/'Plant Inputs'!$AT$22)</f>
        <v>0</v>
      </c>
      <c r="AO237" s="394">
        <f>IF('Plant Inputs'!$AR$22=0,0,'Plant Inputs'!$DV44*INDEX(Conversion_Table,MATCH(EnergyCalcUnit,Conversion_Rows,0),MATCH(EnergyPerTonneDisplayUnit,Conversion_Columns,0))/'Plant Inputs'!$AT$22)</f>
        <v>0</v>
      </c>
      <c r="AP237" s="394">
        <f t="shared" si="60"/>
        <v>0</v>
      </c>
      <c r="AQ237" s="388">
        <f t="shared" si="50"/>
        <v>0</v>
      </c>
      <c r="AR237" s="380" t="str">
        <f t="shared" si="51"/>
        <v/>
      </c>
      <c r="AS237" s="387" t="str">
        <f t="shared" si="61"/>
        <v/>
      </c>
      <c r="AT237" s="387">
        <f t="shared" si="62"/>
        <v>0</v>
      </c>
      <c r="AU237" s="380" t="str">
        <f t="shared" si="52"/>
        <v/>
      </c>
      <c r="AV237" s="387" t="str">
        <f t="shared" si="53"/>
        <v/>
      </c>
      <c r="AW237" s="389"/>
      <c r="AX237" s="391"/>
      <c r="AY237" s="391"/>
      <c r="AZ237" s="391"/>
      <c r="BA237" s="391"/>
      <c r="BB237" s="391"/>
    </row>
    <row r="238" spans="3:54" ht="15">
      <c r="C238" s="292" t="str">
        <f>'Plant Inputs'!D45</f>
        <v>Chemical Admixture - High Range Water Reducer (HRWR)/Super Plasticizer</v>
      </c>
      <c r="D238" s="293">
        <f t="shared" si="54"/>
        <v>0</v>
      </c>
      <c r="E238" s="293">
        <f t="shared" si="54"/>
        <v>0</v>
      </c>
      <c r="F238" s="293">
        <f t="shared" si="54"/>
        <v>0</v>
      </c>
      <c r="G238" s="294">
        <f t="shared" si="55"/>
        <v>0</v>
      </c>
      <c r="H238" s="294">
        <f t="shared" si="56"/>
        <v>0</v>
      </c>
      <c r="I238" s="294">
        <f t="shared" si="57"/>
        <v>0</v>
      </c>
      <c r="J238" s="295">
        <f t="shared" si="42"/>
        <v>0</v>
      </c>
      <c r="K238" s="295">
        <f t="shared" si="43"/>
        <v>0</v>
      </c>
      <c r="L238" s="295">
        <f t="shared" si="44"/>
        <v>0</v>
      </c>
      <c r="AB238" s="380">
        <f>'Plant Inputs'!C45</f>
        <v>16</v>
      </c>
      <c r="AC238" s="384" t="str">
        <f>'Plant Inputs'!D45</f>
        <v>Chemical Admixture - High Range Water Reducer (HRWR)/Super Plasticizer</v>
      </c>
      <c r="AD238" s="380">
        <f>IF('Plant Inputs'!$AR$22=0,0,'Plant Inputs'!$BC45*INDEX(Conversion_Table,MATCH(EnergyCalcUnit,Conversion_Rows,0),MATCH(AD$222,Conversion_Columns,0)))</f>
        <v>0</v>
      </c>
      <c r="AE238" s="380">
        <f>IF('Plant Inputs'!$AR$22=0,0,'Plant Inputs'!$DV45*INDEX(Conversion_Table,MATCH(EnergyCalcUnit,Conversion_Rows,0),MATCH(AE$222,Conversion_Columns,0)))</f>
        <v>0</v>
      </c>
      <c r="AF238" s="387">
        <f t="shared" si="58"/>
        <v>0</v>
      </c>
      <c r="AG238" s="388">
        <f t="shared" si="45"/>
        <v>0</v>
      </c>
      <c r="AH238" s="380" t="str">
        <f t="shared" si="46"/>
        <v/>
      </c>
      <c r="AI238" s="387" t="str">
        <f t="shared" si="59"/>
        <v/>
      </c>
      <c r="AJ238" s="380">
        <f t="shared" si="47"/>
        <v>0</v>
      </c>
      <c r="AK238" s="380" t="str">
        <f t="shared" si="48"/>
        <v/>
      </c>
      <c r="AL238" s="387" t="str">
        <f t="shared" si="49"/>
        <v/>
      </c>
      <c r="AN238" s="394">
        <f>IF('Plant Inputs'!$AR$22=0,0,'Plant Inputs'!$BC45*INDEX(Conversion_Table,MATCH(EnergyCalcUnit,Conversion_Rows,0),MATCH(EnergyPerTonneDisplayUnit,Conversion_Columns,0))/'Plant Inputs'!$AT$22)</f>
        <v>0</v>
      </c>
      <c r="AO238" s="394">
        <f>IF('Plant Inputs'!$AR$22=0,0,'Plant Inputs'!$DV45*INDEX(Conversion_Table,MATCH(EnergyCalcUnit,Conversion_Rows,0),MATCH(EnergyPerTonneDisplayUnit,Conversion_Columns,0))/'Plant Inputs'!$AT$22)</f>
        <v>0</v>
      </c>
      <c r="AP238" s="394">
        <f t="shared" si="60"/>
        <v>0</v>
      </c>
      <c r="AQ238" s="388">
        <f t="shared" si="50"/>
        <v>0</v>
      </c>
      <c r="AR238" s="380" t="str">
        <f t="shared" si="51"/>
        <v/>
      </c>
      <c r="AS238" s="387" t="str">
        <f t="shared" si="61"/>
        <v/>
      </c>
      <c r="AT238" s="387">
        <f t="shared" si="62"/>
        <v>0</v>
      </c>
      <c r="AU238" s="380" t="str">
        <f t="shared" si="52"/>
        <v/>
      </c>
      <c r="AV238" s="387" t="str">
        <f t="shared" si="53"/>
        <v/>
      </c>
      <c r="AW238" s="389"/>
      <c r="AX238" s="391"/>
      <c r="AY238" s="391"/>
      <c r="AZ238" s="391"/>
      <c r="BA238" s="391"/>
      <c r="BB238" s="391"/>
    </row>
    <row r="239" spans="3:54" ht="15">
      <c r="C239" s="292" t="str">
        <f>'Plant Inputs'!D46</f>
        <v>Chemical Admixture - Corrosion Inhibiting</v>
      </c>
      <c r="D239" s="293">
        <f>AD239</f>
        <v>0</v>
      </c>
      <c r="E239" s="293">
        <f>AE239</f>
        <v>0</v>
      </c>
      <c r="F239" s="293">
        <f>AF239</f>
        <v>0</v>
      </c>
      <c r="G239" s="294">
        <f>AN239</f>
        <v>0</v>
      </c>
      <c r="H239" s="294">
        <f>AO239</f>
        <v>0</v>
      </c>
      <c r="I239" s="294">
        <f>AP239</f>
        <v>0</v>
      </c>
      <c r="J239" s="295">
        <f t="shared" si="42"/>
        <v>0</v>
      </c>
      <c r="K239" s="295">
        <f t="shared" si="43"/>
        <v>0</v>
      </c>
      <c r="L239" s="295">
        <f t="shared" si="44"/>
        <v>0</v>
      </c>
      <c r="AB239" s="380">
        <f>'Plant Inputs'!C46</f>
        <v>17</v>
      </c>
      <c r="AC239" s="384" t="str">
        <f>'Plant Inputs'!D46</f>
        <v>Chemical Admixture - Corrosion Inhibiting</v>
      </c>
      <c r="AD239" s="380">
        <f>IF('Plant Inputs'!$AR$22=0,0,'Plant Inputs'!$BC46*INDEX(Conversion_Table,MATCH(EnergyCalcUnit,Conversion_Rows,0),MATCH(AD$222,Conversion_Columns,0)))</f>
        <v>0</v>
      </c>
      <c r="AE239" s="380">
        <f>IF('Plant Inputs'!$AR$22=0,0,'Plant Inputs'!$DV46*INDEX(Conversion_Table,MATCH(EnergyCalcUnit,Conversion_Rows,0),MATCH(AE$222,Conversion_Columns,0)))</f>
        <v>0</v>
      </c>
      <c r="AF239" s="387">
        <f>AE239+AD239</f>
        <v>0</v>
      </c>
      <c r="AG239" s="388">
        <f t="shared" si="45"/>
        <v>0</v>
      </c>
      <c r="AH239" s="380" t="str">
        <f>IF(AG239&gt;$AD$218,AC239,"")</f>
        <v/>
      </c>
      <c r="AI239" s="387" t="str">
        <f t="shared" si="59"/>
        <v/>
      </c>
      <c r="AJ239" s="380">
        <f>IF(AG239&lt;$AD$218,AF239,"")</f>
        <v>0</v>
      </c>
      <c r="AK239" s="380" t="str">
        <f t="shared" si="48"/>
        <v/>
      </c>
      <c r="AL239" s="387" t="str">
        <f t="shared" si="49"/>
        <v/>
      </c>
      <c r="AN239" s="394">
        <f>IF('Plant Inputs'!$AR$22=0,0,'Plant Inputs'!$BC46*INDEX(Conversion_Table,MATCH(EnergyCalcUnit,Conversion_Rows,0),MATCH(EnergyPerTonneDisplayUnit,Conversion_Columns,0))/'Plant Inputs'!$AT$22)</f>
        <v>0</v>
      </c>
      <c r="AO239" s="394">
        <f>IF('Plant Inputs'!$AR$22=0,0,'Plant Inputs'!$DV46*INDEX(Conversion_Table,MATCH(EnergyCalcUnit,Conversion_Rows,0),MATCH(EnergyPerTonneDisplayUnit,Conversion_Columns,0))/'Plant Inputs'!$AT$22)</f>
        <v>0</v>
      </c>
      <c r="AP239" s="394">
        <f>AN239+AO239</f>
        <v>0</v>
      </c>
      <c r="AQ239" s="388">
        <f t="shared" si="50"/>
        <v>0</v>
      </c>
      <c r="AR239" s="380" t="str">
        <f>IF(AQ239&gt;$AD$218,$AC239,"")</f>
        <v/>
      </c>
      <c r="AS239" s="387" t="str">
        <f t="shared" si="61"/>
        <v/>
      </c>
      <c r="AT239" s="387">
        <f t="shared" si="62"/>
        <v>0</v>
      </c>
      <c r="AU239" s="380" t="str">
        <f t="shared" si="52"/>
        <v/>
      </c>
      <c r="AV239" s="387" t="str">
        <f t="shared" si="53"/>
        <v/>
      </c>
      <c r="AW239" s="389"/>
      <c r="AX239" s="391"/>
      <c r="AY239" s="391"/>
      <c r="AZ239" s="391"/>
      <c r="BA239" s="391"/>
      <c r="BB239" s="391"/>
    </row>
    <row r="240" spans="3:54" ht="15">
      <c r="C240" s="292" t="str">
        <f>'Plant Inputs'!D47</f>
        <v>Chemical Admixture - Viscosity Modifying Admixture (VMA)</v>
      </c>
      <c r="D240" s="293">
        <f t="shared" si="54"/>
        <v>0</v>
      </c>
      <c r="E240" s="293">
        <f t="shared" si="54"/>
        <v>0</v>
      </c>
      <c r="F240" s="293">
        <f t="shared" si="54"/>
        <v>0</v>
      </c>
      <c r="G240" s="294">
        <f t="shared" si="55"/>
        <v>0</v>
      </c>
      <c r="H240" s="294">
        <f t="shared" si="56"/>
        <v>0</v>
      </c>
      <c r="I240" s="294">
        <f t="shared" si="57"/>
        <v>0</v>
      </c>
      <c r="J240" s="295">
        <f t="shared" si="42"/>
        <v>0</v>
      </c>
      <c r="K240" s="295">
        <f t="shared" si="43"/>
        <v>0</v>
      </c>
      <c r="L240" s="295">
        <f t="shared" si="44"/>
        <v>0</v>
      </c>
      <c r="AB240" s="380">
        <f>'Plant Inputs'!C47</f>
        <v>18</v>
      </c>
      <c r="AC240" s="384" t="str">
        <f>'Plant Inputs'!D47</f>
        <v>Chemical Admixture - Viscosity Modifying Admixture (VMA)</v>
      </c>
      <c r="AD240" s="380">
        <f>IF('Plant Inputs'!$AR$22=0,0,'Plant Inputs'!$BC47*INDEX(Conversion_Table,MATCH(EnergyCalcUnit,Conversion_Rows,0),MATCH(AD$222,Conversion_Columns,0)))</f>
        <v>0</v>
      </c>
      <c r="AE240" s="380">
        <f>IF('Plant Inputs'!$AR$22=0,0,'Plant Inputs'!$DV47*INDEX(Conversion_Table,MATCH(EnergyCalcUnit,Conversion_Rows,0),MATCH(AE$222,Conversion_Columns,0)))</f>
        <v>0</v>
      </c>
      <c r="AF240" s="387">
        <f t="shared" si="58"/>
        <v>0</v>
      </c>
      <c r="AG240" s="388">
        <f t="shared" si="45"/>
        <v>0</v>
      </c>
      <c r="AH240" s="380" t="str">
        <f t="shared" si="46"/>
        <v/>
      </c>
      <c r="AI240" s="387" t="str">
        <f t="shared" si="59"/>
        <v/>
      </c>
      <c r="AJ240" s="380">
        <f t="shared" si="47"/>
        <v>0</v>
      </c>
      <c r="AK240" s="380" t="str">
        <f t="shared" si="48"/>
        <v/>
      </c>
      <c r="AL240" s="387" t="str">
        <f t="shared" si="49"/>
        <v/>
      </c>
      <c r="AN240" s="394">
        <f>IF('Plant Inputs'!$AR$22=0,0,'Plant Inputs'!$BC47*INDEX(Conversion_Table,MATCH(EnergyCalcUnit,Conversion_Rows,0),MATCH(EnergyPerTonneDisplayUnit,Conversion_Columns,0))/'Plant Inputs'!$AT$22)</f>
        <v>0</v>
      </c>
      <c r="AO240" s="394">
        <f>IF('Plant Inputs'!$AR$22=0,0,'Plant Inputs'!$DV47*INDEX(Conversion_Table,MATCH(EnergyCalcUnit,Conversion_Rows,0),MATCH(EnergyPerTonneDisplayUnit,Conversion_Columns,0))/'Plant Inputs'!$AT$22)</f>
        <v>0</v>
      </c>
      <c r="AP240" s="394">
        <f t="shared" si="60"/>
        <v>0</v>
      </c>
      <c r="AQ240" s="388">
        <f t="shared" si="50"/>
        <v>0</v>
      </c>
      <c r="AR240" s="380" t="str">
        <f t="shared" si="51"/>
        <v/>
      </c>
      <c r="AS240" s="387" t="str">
        <f t="shared" si="61"/>
        <v/>
      </c>
      <c r="AT240" s="387">
        <f t="shared" si="62"/>
        <v>0</v>
      </c>
      <c r="AU240" s="380" t="str">
        <f t="shared" si="52"/>
        <v/>
      </c>
      <c r="AV240" s="387" t="str">
        <f t="shared" si="53"/>
        <v/>
      </c>
      <c r="AW240" s="389"/>
      <c r="AX240" s="391"/>
      <c r="AY240" s="391"/>
      <c r="AZ240" s="391"/>
      <c r="BA240" s="391"/>
      <c r="BB240" s="391"/>
    </row>
    <row r="241" spans="3:54" ht="15">
      <c r="C241" s="292" t="str">
        <f>'Plant Inputs'!D48</f>
        <v>Form Release Agent</v>
      </c>
      <c r="D241" s="293">
        <f t="shared" ref="D241:D253" si="77">AD241</f>
        <v>0</v>
      </c>
      <c r="E241" s="293">
        <f t="shared" ref="E241:E253" si="78">AE241</f>
        <v>0</v>
      </c>
      <c r="F241" s="293">
        <f t="shared" ref="F241:F253" si="79">AF241</f>
        <v>0</v>
      </c>
      <c r="G241" s="294">
        <f t="shared" si="55"/>
        <v>0</v>
      </c>
      <c r="H241" s="294">
        <f t="shared" si="56"/>
        <v>0</v>
      </c>
      <c r="I241" s="294">
        <f t="shared" si="57"/>
        <v>0</v>
      </c>
      <c r="J241" s="295">
        <f t="shared" si="42"/>
        <v>0</v>
      </c>
      <c r="K241" s="295">
        <f t="shared" si="43"/>
        <v>0</v>
      </c>
      <c r="L241" s="295">
        <f t="shared" si="44"/>
        <v>0</v>
      </c>
      <c r="AB241" s="380">
        <f>'Plant Inputs'!C48</f>
        <v>19</v>
      </c>
      <c r="AC241" s="384" t="str">
        <f>'Plant Inputs'!D48</f>
        <v>Form Release Agent</v>
      </c>
      <c r="AD241" s="380">
        <f>IF('Plant Inputs'!$AR$22=0,0,'Plant Inputs'!$BC48*INDEX(Conversion_Table,MATCH(EnergyCalcUnit,Conversion_Rows,0),MATCH(AD$222,Conversion_Columns,0)))</f>
        <v>0</v>
      </c>
      <c r="AE241" s="380">
        <f>IF('Plant Inputs'!$AR$22=0,0,'Plant Inputs'!$DV48*INDEX(Conversion_Table,MATCH(EnergyCalcUnit,Conversion_Rows,0),MATCH(AE$222,Conversion_Columns,0)))</f>
        <v>0</v>
      </c>
      <c r="AF241" s="387">
        <f t="shared" si="58"/>
        <v>0</v>
      </c>
      <c r="AG241" s="388">
        <f t="shared" si="45"/>
        <v>0</v>
      </c>
      <c r="AH241" s="380" t="str">
        <f t="shared" ref="AH241:AH253" si="80">IF(AG241&gt;$AD$218,AC241,"")</f>
        <v/>
      </c>
      <c r="AI241" s="387" t="str">
        <f t="shared" si="59"/>
        <v/>
      </c>
      <c r="AJ241" s="380">
        <f t="shared" ref="AJ241:AJ253" si="81">IF(AG241&lt;$AD$218,AF241,"")</f>
        <v>0</v>
      </c>
      <c r="AK241" s="380" t="str">
        <f t="shared" si="48"/>
        <v/>
      </c>
      <c r="AL241" s="387" t="str">
        <f t="shared" si="49"/>
        <v/>
      </c>
      <c r="AN241" s="394">
        <f>IF('Plant Inputs'!$AR$22=0,0,'Plant Inputs'!$BC48*INDEX(Conversion_Table,MATCH(EnergyCalcUnit,Conversion_Rows,0),MATCH(EnergyPerTonneDisplayUnit,Conversion_Columns,0))/'Plant Inputs'!$AT$22)</f>
        <v>0</v>
      </c>
      <c r="AO241" s="394">
        <f>IF('Plant Inputs'!$AR$22=0,0,'Plant Inputs'!$DV48*INDEX(Conversion_Table,MATCH(EnergyCalcUnit,Conversion_Rows,0),MATCH(EnergyPerTonneDisplayUnit,Conversion_Columns,0))/'Plant Inputs'!$AT$22)</f>
        <v>0</v>
      </c>
      <c r="AP241" s="394">
        <f t="shared" si="60"/>
        <v>0</v>
      </c>
      <c r="AQ241" s="388">
        <f t="shared" si="50"/>
        <v>0</v>
      </c>
      <c r="AR241" s="380" t="str">
        <f t="shared" ref="AR241:AR253" si="82">IF(AQ241&gt;$AD$218,$AC241,"")</f>
        <v/>
      </c>
      <c r="AS241" s="387" t="str">
        <f t="shared" si="61"/>
        <v/>
      </c>
      <c r="AT241" s="387">
        <f t="shared" si="62"/>
        <v>0</v>
      </c>
      <c r="AU241" s="380" t="str">
        <f t="shared" si="52"/>
        <v/>
      </c>
      <c r="AV241" s="387" t="str">
        <f t="shared" si="53"/>
        <v/>
      </c>
      <c r="AW241" s="389"/>
      <c r="AX241" s="391"/>
      <c r="AY241" s="391"/>
      <c r="AZ241" s="391"/>
      <c r="BA241" s="391"/>
      <c r="BB241" s="391"/>
    </row>
    <row r="242" spans="3:54" ht="15">
      <c r="C242" s="292" t="str">
        <f>'Plant Inputs'!D49</f>
        <v>Rebar</v>
      </c>
      <c r="D242" s="293">
        <f t="shared" si="77"/>
        <v>0</v>
      </c>
      <c r="E242" s="293">
        <f t="shared" si="78"/>
        <v>0</v>
      </c>
      <c r="F242" s="293">
        <f t="shared" si="79"/>
        <v>0</v>
      </c>
      <c r="G242" s="294">
        <f t="shared" si="55"/>
        <v>0</v>
      </c>
      <c r="H242" s="294">
        <f t="shared" si="56"/>
        <v>0</v>
      </c>
      <c r="I242" s="294">
        <f t="shared" si="57"/>
        <v>0</v>
      </c>
      <c r="J242" s="295">
        <f t="shared" si="42"/>
        <v>0</v>
      </c>
      <c r="K242" s="295">
        <f t="shared" si="43"/>
        <v>0</v>
      </c>
      <c r="L242" s="295">
        <f t="shared" si="44"/>
        <v>0</v>
      </c>
      <c r="AB242" s="380">
        <f>'Plant Inputs'!C49</f>
        <v>20</v>
      </c>
      <c r="AC242" s="384" t="str">
        <f>'Plant Inputs'!D49</f>
        <v>Rebar</v>
      </c>
      <c r="AD242" s="380">
        <f>IF('Plant Inputs'!$AR$22=0,0,'Plant Inputs'!$BC49*INDEX(Conversion_Table,MATCH(EnergyCalcUnit,Conversion_Rows,0),MATCH(AD$222,Conversion_Columns,0)))</f>
        <v>0</v>
      </c>
      <c r="AE242" s="380">
        <f>IF('Plant Inputs'!$AR$22=0,0,'Plant Inputs'!$DV49*INDEX(Conversion_Table,MATCH(EnergyCalcUnit,Conversion_Rows,0),MATCH(AE$222,Conversion_Columns,0)))</f>
        <v>0</v>
      </c>
      <c r="AF242" s="387">
        <f t="shared" si="58"/>
        <v>0</v>
      </c>
      <c r="AG242" s="388">
        <f t="shared" si="45"/>
        <v>0</v>
      </c>
      <c r="AH242" s="380" t="str">
        <f t="shared" si="80"/>
        <v/>
      </c>
      <c r="AI242" s="387" t="str">
        <f t="shared" si="59"/>
        <v/>
      </c>
      <c r="AJ242" s="380">
        <f t="shared" si="81"/>
        <v>0</v>
      </c>
      <c r="AK242" s="380" t="str">
        <f t="shared" si="48"/>
        <v/>
      </c>
      <c r="AL242" s="387" t="str">
        <f t="shared" si="49"/>
        <v/>
      </c>
      <c r="AN242" s="394">
        <f>IF('Plant Inputs'!$AR$22=0,0,'Plant Inputs'!$BC49*INDEX(Conversion_Table,MATCH(EnergyCalcUnit,Conversion_Rows,0),MATCH(EnergyPerTonneDisplayUnit,Conversion_Columns,0))/'Plant Inputs'!$AT$22)</f>
        <v>0</v>
      </c>
      <c r="AO242" s="394">
        <f>IF('Plant Inputs'!$AR$22=0,0,'Plant Inputs'!$DV49*INDEX(Conversion_Table,MATCH(EnergyCalcUnit,Conversion_Rows,0),MATCH(EnergyPerTonneDisplayUnit,Conversion_Columns,0))/'Plant Inputs'!$AT$22)</f>
        <v>0</v>
      </c>
      <c r="AP242" s="394">
        <f t="shared" si="60"/>
        <v>0</v>
      </c>
      <c r="AQ242" s="388">
        <f t="shared" si="50"/>
        <v>0</v>
      </c>
      <c r="AR242" s="380" t="str">
        <f t="shared" si="82"/>
        <v/>
      </c>
      <c r="AS242" s="387" t="str">
        <f t="shared" si="61"/>
        <v/>
      </c>
      <c r="AT242" s="387">
        <f t="shared" si="62"/>
        <v>0</v>
      </c>
      <c r="AU242" s="380" t="str">
        <f t="shared" si="52"/>
        <v/>
      </c>
      <c r="AV242" s="387" t="str">
        <f t="shared" si="53"/>
        <v/>
      </c>
      <c r="AW242" s="389"/>
      <c r="AX242" s="391"/>
      <c r="AY242" s="391"/>
      <c r="AZ242" s="391"/>
      <c r="BA242" s="391"/>
      <c r="BB242" s="391"/>
    </row>
    <row r="243" spans="3:54" ht="15">
      <c r="C243" s="292" t="str">
        <f>'Plant Inputs'!D50</f>
        <v>Welded Wire Reinforcement (WWR)</v>
      </c>
      <c r="D243" s="293">
        <f t="shared" si="77"/>
        <v>0</v>
      </c>
      <c r="E243" s="293">
        <f t="shared" si="78"/>
        <v>0</v>
      </c>
      <c r="F243" s="293">
        <f t="shared" si="79"/>
        <v>0</v>
      </c>
      <c r="G243" s="294">
        <f t="shared" si="55"/>
        <v>0</v>
      </c>
      <c r="H243" s="294">
        <f t="shared" si="56"/>
        <v>0</v>
      </c>
      <c r="I243" s="294">
        <f t="shared" si="57"/>
        <v>0</v>
      </c>
      <c r="J243" s="295">
        <f t="shared" si="42"/>
        <v>0</v>
      </c>
      <c r="K243" s="295">
        <f t="shared" si="43"/>
        <v>0</v>
      </c>
      <c r="L243" s="295">
        <f t="shared" si="44"/>
        <v>0</v>
      </c>
      <c r="AB243" s="380">
        <f>'Plant Inputs'!C50</f>
        <v>21</v>
      </c>
      <c r="AC243" s="384" t="str">
        <f>'Plant Inputs'!D50</f>
        <v>Welded Wire Reinforcement (WWR)</v>
      </c>
      <c r="AD243" s="380">
        <f>IF('Plant Inputs'!$AR$22=0,0,'Plant Inputs'!$BC50*INDEX(Conversion_Table,MATCH(EnergyCalcUnit,Conversion_Rows,0),MATCH(AD$222,Conversion_Columns,0)))</f>
        <v>0</v>
      </c>
      <c r="AE243" s="380">
        <f>IF('Plant Inputs'!$AR$22=0,0,'Plant Inputs'!$DV50*INDEX(Conversion_Table,MATCH(EnergyCalcUnit,Conversion_Rows,0),MATCH(AE$222,Conversion_Columns,0)))</f>
        <v>0</v>
      </c>
      <c r="AF243" s="387">
        <f t="shared" si="58"/>
        <v>0</v>
      </c>
      <c r="AG243" s="388">
        <f t="shared" si="45"/>
        <v>0</v>
      </c>
      <c r="AH243" s="380" t="str">
        <f t="shared" si="80"/>
        <v/>
      </c>
      <c r="AI243" s="387" t="str">
        <f t="shared" si="59"/>
        <v/>
      </c>
      <c r="AJ243" s="380">
        <f t="shared" si="81"/>
        <v>0</v>
      </c>
      <c r="AK243" s="380" t="str">
        <f t="shared" si="48"/>
        <v/>
      </c>
      <c r="AL243" s="387" t="str">
        <f t="shared" si="49"/>
        <v/>
      </c>
      <c r="AN243" s="394">
        <f>IF('Plant Inputs'!$AR$22=0,0,'Plant Inputs'!$BC50*INDEX(Conversion_Table,MATCH(EnergyCalcUnit,Conversion_Rows,0),MATCH(EnergyPerTonneDisplayUnit,Conversion_Columns,0))/'Plant Inputs'!$AT$22)</f>
        <v>0</v>
      </c>
      <c r="AO243" s="394">
        <f>IF('Plant Inputs'!$AR$22=0,0,'Plant Inputs'!$DV50*INDEX(Conversion_Table,MATCH(EnergyCalcUnit,Conversion_Rows,0),MATCH(EnergyPerTonneDisplayUnit,Conversion_Columns,0))/'Plant Inputs'!$AT$22)</f>
        <v>0</v>
      </c>
      <c r="AP243" s="394">
        <f t="shared" si="60"/>
        <v>0</v>
      </c>
      <c r="AQ243" s="388">
        <f t="shared" si="50"/>
        <v>0</v>
      </c>
      <c r="AR243" s="380" t="str">
        <f t="shared" si="82"/>
        <v/>
      </c>
      <c r="AS243" s="387" t="str">
        <f t="shared" si="61"/>
        <v/>
      </c>
      <c r="AT243" s="387">
        <f t="shared" si="62"/>
        <v>0</v>
      </c>
      <c r="AU243" s="380" t="str">
        <f t="shared" si="52"/>
        <v/>
      </c>
      <c r="AV243" s="387" t="str">
        <f t="shared" si="53"/>
        <v/>
      </c>
      <c r="AW243" s="389"/>
      <c r="AX243" s="391"/>
      <c r="AY243" s="391"/>
      <c r="AZ243" s="391"/>
      <c r="BA243" s="391"/>
      <c r="BB243" s="391"/>
    </row>
    <row r="244" spans="3:54" ht="15">
      <c r="C244" s="292" t="str">
        <f>'Plant Inputs'!D51</f>
        <v>Steel Anchors</v>
      </c>
      <c r="D244" s="293">
        <f t="shared" si="77"/>
        <v>0</v>
      </c>
      <c r="E244" s="293">
        <f t="shared" si="78"/>
        <v>0</v>
      </c>
      <c r="F244" s="293">
        <f t="shared" si="79"/>
        <v>0</v>
      </c>
      <c r="G244" s="294">
        <f t="shared" si="55"/>
        <v>0</v>
      </c>
      <c r="H244" s="294">
        <f t="shared" si="56"/>
        <v>0</v>
      </c>
      <c r="I244" s="294">
        <f t="shared" si="57"/>
        <v>0</v>
      </c>
      <c r="J244" s="295">
        <f t="shared" si="42"/>
        <v>0</v>
      </c>
      <c r="K244" s="295">
        <f t="shared" si="43"/>
        <v>0</v>
      </c>
      <c r="L244" s="295">
        <f t="shared" si="44"/>
        <v>0</v>
      </c>
      <c r="AB244" s="380">
        <f>'Plant Inputs'!C51</f>
        <v>22</v>
      </c>
      <c r="AC244" s="384" t="str">
        <f>'Plant Inputs'!D51</f>
        <v>Steel Anchors</v>
      </c>
      <c r="AD244" s="380">
        <f>IF('Plant Inputs'!$AR$22=0,0,'Plant Inputs'!$BC51*INDEX(Conversion_Table,MATCH(EnergyCalcUnit,Conversion_Rows,0),MATCH(AD$222,Conversion_Columns,0)))</f>
        <v>0</v>
      </c>
      <c r="AE244" s="380">
        <f>IF('Plant Inputs'!$AR$22=0,0,'Plant Inputs'!$DV51*INDEX(Conversion_Table,MATCH(EnergyCalcUnit,Conversion_Rows,0),MATCH(AE$222,Conversion_Columns,0)))</f>
        <v>0</v>
      </c>
      <c r="AF244" s="387">
        <f t="shared" si="58"/>
        <v>0</v>
      </c>
      <c r="AG244" s="388">
        <f t="shared" si="45"/>
        <v>0</v>
      </c>
      <c r="AH244" s="380" t="str">
        <f t="shared" si="80"/>
        <v/>
      </c>
      <c r="AI244" s="387" t="str">
        <f t="shared" si="59"/>
        <v/>
      </c>
      <c r="AJ244" s="380">
        <f t="shared" si="81"/>
        <v>0</v>
      </c>
      <c r="AK244" s="380" t="str">
        <f t="shared" si="48"/>
        <v/>
      </c>
      <c r="AL244" s="387" t="str">
        <f t="shared" si="49"/>
        <v/>
      </c>
      <c r="AN244" s="394">
        <f>IF('Plant Inputs'!$AR$22=0,0,'Plant Inputs'!$BC51*INDEX(Conversion_Table,MATCH(EnergyCalcUnit,Conversion_Rows,0),MATCH(EnergyPerTonneDisplayUnit,Conversion_Columns,0))/'Plant Inputs'!$AT$22)</f>
        <v>0</v>
      </c>
      <c r="AO244" s="394">
        <f>IF('Plant Inputs'!$AR$22=0,0,'Plant Inputs'!$DV51*INDEX(Conversion_Table,MATCH(EnergyCalcUnit,Conversion_Rows,0),MATCH(EnergyPerTonneDisplayUnit,Conversion_Columns,0))/'Plant Inputs'!$AT$22)</f>
        <v>0</v>
      </c>
      <c r="AP244" s="394">
        <f t="shared" si="60"/>
        <v>0</v>
      </c>
      <c r="AQ244" s="388">
        <f t="shared" si="50"/>
        <v>0</v>
      </c>
      <c r="AR244" s="380" t="str">
        <f t="shared" si="82"/>
        <v/>
      </c>
      <c r="AS244" s="387" t="str">
        <f t="shared" si="61"/>
        <v/>
      </c>
      <c r="AT244" s="387">
        <f t="shared" si="62"/>
        <v>0</v>
      </c>
      <c r="AU244" s="380" t="str">
        <f t="shared" si="52"/>
        <v/>
      </c>
      <c r="AV244" s="387" t="str">
        <f t="shared" si="53"/>
        <v/>
      </c>
      <c r="AW244" s="389"/>
      <c r="AX244" s="391"/>
      <c r="AY244" s="391"/>
      <c r="AZ244" s="391"/>
      <c r="BA244" s="391"/>
      <c r="BB244" s="391"/>
    </row>
    <row r="245" spans="3:54" ht="15">
      <c r="C245" s="292" t="str">
        <f>'Plant Inputs'!D52</f>
        <v>Steel Stressing Strand</v>
      </c>
      <c r="D245" s="293">
        <f t="shared" si="77"/>
        <v>0</v>
      </c>
      <c r="E245" s="293">
        <f t="shared" si="78"/>
        <v>0</v>
      </c>
      <c r="F245" s="293">
        <f t="shared" si="79"/>
        <v>0</v>
      </c>
      <c r="G245" s="294">
        <f t="shared" si="55"/>
        <v>0</v>
      </c>
      <c r="H245" s="294">
        <f t="shared" si="56"/>
        <v>0</v>
      </c>
      <c r="I245" s="294">
        <f t="shared" si="57"/>
        <v>0</v>
      </c>
      <c r="J245" s="295">
        <f t="shared" si="42"/>
        <v>0</v>
      </c>
      <c r="K245" s="295">
        <f t="shared" si="43"/>
        <v>0</v>
      </c>
      <c r="L245" s="295">
        <f t="shared" si="44"/>
        <v>0</v>
      </c>
      <c r="AB245" s="380">
        <f>'Plant Inputs'!C52</f>
        <v>23</v>
      </c>
      <c r="AC245" s="384" t="str">
        <f>'Plant Inputs'!D52</f>
        <v>Steel Stressing Strand</v>
      </c>
      <c r="AD245" s="380">
        <f>IF('Plant Inputs'!$AR$22=0,0,'Plant Inputs'!$BC52*INDEX(Conversion_Table,MATCH(EnergyCalcUnit,Conversion_Rows,0),MATCH(AD$222,Conversion_Columns,0)))</f>
        <v>0</v>
      </c>
      <c r="AE245" s="380">
        <f>IF('Plant Inputs'!$AR$22=0,0,'Plant Inputs'!$DV52*INDEX(Conversion_Table,MATCH(EnergyCalcUnit,Conversion_Rows,0),MATCH(AE$222,Conversion_Columns,0)))</f>
        <v>0</v>
      </c>
      <c r="AF245" s="387">
        <f t="shared" si="58"/>
        <v>0</v>
      </c>
      <c r="AG245" s="388">
        <f t="shared" si="45"/>
        <v>0</v>
      </c>
      <c r="AH245" s="380" t="str">
        <f t="shared" si="80"/>
        <v/>
      </c>
      <c r="AI245" s="387" t="str">
        <f t="shared" si="59"/>
        <v/>
      </c>
      <c r="AJ245" s="380">
        <f t="shared" si="81"/>
        <v>0</v>
      </c>
      <c r="AK245" s="380" t="str">
        <f t="shared" si="48"/>
        <v/>
      </c>
      <c r="AL245" s="387" t="str">
        <f t="shared" si="49"/>
        <v/>
      </c>
      <c r="AN245" s="394">
        <f>IF('Plant Inputs'!$AR$22=0,0,'Plant Inputs'!$BC52*INDEX(Conversion_Table,MATCH(EnergyCalcUnit,Conversion_Rows,0),MATCH(EnergyPerTonneDisplayUnit,Conversion_Columns,0))/'Plant Inputs'!$AT$22)</f>
        <v>0</v>
      </c>
      <c r="AO245" s="394">
        <f>IF('Plant Inputs'!$AR$22=0,0,'Plant Inputs'!$DV52*INDEX(Conversion_Table,MATCH(EnergyCalcUnit,Conversion_Rows,0),MATCH(EnergyPerTonneDisplayUnit,Conversion_Columns,0))/'Plant Inputs'!$AT$22)</f>
        <v>0</v>
      </c>
      <c r="AP245" s="394">
        <f t="shared" si="60"/>
        <v>0</v>
      </c>
      <c r="AQ245" s="388">
        <f t="shared" si="50"/>
        <v>0</v>
      </c>
      <c r="AR245" s="380" t="str">
        <f t="shared" si="82"/>
        <v/>
      </c>
      <c r="AS245" s="387" t="str">
        <f t="shared" si="61"/>
        <v/>
      </c>
      <c r="AT245" s="387">
        <f t="shared" si="62"/>
        <v>0</v>
      </c>
      <c r="AU245" s="380" t="str">
        <f t="shared" si="52"/>
        <v/>
      </c>
      <c r="AV245" s="387" t="str">
        <f t="shared" si="53"/>
        <v/>
      </c>
      <c r="AW245" s="389"/>
      <c r="AX245" s="391"/>
      <c r="AY245" s="391"/>
      <c r="AZ245" s="391"/>
      <c r="BA245" s="391"/>
      <c r="BB245" s="391"/>
    </row>
    <row r="246" spans="3:54" ht="15">
      <c r="C246" s="292" t="str">
        <f>'Plant Inputs'!D53</f>
        <v>Carbon Fibre Reinforced Polymer (CFRP) strand</v>
      </c>
      <c r="D246" s="293">
        <f t="shared" si="77"/>
        <v>0</v>
      </c>
      <c r="E246" s="293">
        <f t="shared" si="78"/>
        <v>0</v>
      </c>
      <c r="F246" s="293">
        <f t="shared" si="79"/>
        <v>0</v>
      </c>
      <c r="G246" s="294">
        <f t="shared" si="55"/>
        <v>0</v>
      </c>
      <c r="H246" s="294">
        <f t="shared" si="56"/>
        <v>0</v>
      </c>
      <c r="I246" s="294">
        <f t="shared" si="57"/>
        <v>0</v>
      </c>
      <c r="J246" s="295">
        <f t="shared" si="42"/>
        <v>0</v>
      </c>
      <c r="K246" s="295">
        <f t="shared" si="43"/>
        <v>0</v>
      </c>
      <c r="L246" s="295">
        <f t="shared" si="44"/>
        <v>0</v>
      </c>
      <c r="AB246" s="380">
        <f>'Plant Inputs'!C53</f>
        <v>24</v>
      </c>
      <c r="AC246" s="384" t="str">
        <f>'Plant Inputs'!D53</f>
        <v>Carbon Fibre Reinforced Polymer (CFRP) strand</v>
      </c>
      <c r="AD246" s="380">
        <f>IF('Plant Inputs'!$AR$22=0,0,'Plant Inputs'!$BC53*INDEX(Conversion_Table,MATCH(EnergyCalcUnit,Conversion_Rows,0),MATCH(AD$222,Conversion_Columns,0)))</f>
        <v>0</v>
      </c>
      <c r="AE246" s="380">
        <f>IF('Plant Inputs'!$AR$22=0,0,'Plant Inputs'!$DV53*INDEX(Conversion_Table,MATCH(EnergyCalcUnit,Conversion_Rows,0),MATCH(AE$222,Conversion_Columns,0)))</f>
        <v>0</v>
      </c>
      <c r="AF246" s="387">
        <f t="shared" si="58"/>
        <v>0</v>
      </c>
      <c r="AG246" s="388">
        <f t="shared" si="45"/>
        <v>0</v>
      </c>
      <c r="AH246" s="380" t="str">
        <f t="shared" si="80"/>
        <v/>
      </c>
      <c r="AI246" s="387" t="str">
        <f t="shared" si="59"/>
        <v/>
      </c>
      <c r="AJ246" s="380">
        <f t="shared" si="81"/>
        <v>0</v>
      </c>
      <c r="AK246" s="380" t="str">
        <f t="shared" si="48"/>
        <v/>
      </c>
      <c r="AL246" s="387" t="str">
        <f t="shared" si="49"/>
        <v/>
      </c>
      <c r="AN246" s="394">
        <f>IF('Plant Inputs'!$AR$22=0,0,'Plant Inputs'!$BC53*INDEX(Conversion_Table,MATCH(EnergyCalcUnit,Conversion_Rows,0),MATCH(EnergyPerTonneDisplayUnit,Conversion_Columns,0))/'Plant Inputs'!$AT$22)</f>
        <v>0</v>
      </c>
      <c r="AO246" s="394">
        <f>IF('Plant Inputs'!$AR$22=0,0,'Plant Inputs'!$DV53*INDEX(Conversion_Table,MATCH(EnergyCalcUnit,Conversion_Rows,0),MATCH(EnergyPerTonneDisplayUnit,Conversion_Columns,0))/'Plant Inputs'!$AT$22)</f>
        <v>0</v>
      </c>
      <c r="AP246" s="394">
        <f t="shared" si="60"/>
        <v>0</v>
      </c>
      <c r="AQ246" s="388">
        <f t="shared" si="50"/>
        <v>0</v>
      </c>
      <c r="AR246" s="380" t="str">
        <f t="shared" si="82"/>
        <v/>
      </c>
      <c r="AS246" s="387" t="str">
        <f t="shared" si="61"/>
        <v/>
      </c>
      <c r="AT246" s="387">
        <f t="shared" si="62"/>
        <v>0</v>
      </c>
      <c r="AU246" s="380" t="str">
        <f t="shared" si="52"/>
        <v/>
      </c>
      <c r="AV246" s="387" t="str">
        <f t="shared" si="53"/>
        <v/>
      </c>
      <c r="AW246" s="389"/>
      <c r="AX246" s="391"/>
      <c r="AY246" s="391"/>
      <c r="AZ246" s="391"/>
      <c r="BA246" s="391"/>
      <c r="BB246" s="391"/>
    </row>
    <row r="247" spans="3:54" ht="15">
      <c r="C247" s="292" t="str">
        <f>'Plant Inputs'!D54</f>
        <v>Polypropylene Fibers</v>
      </c>
      <c r="D247" s="293">
        <f t="shared" si="77"/>
        <v>0</v>
      </c>
      <c r="E247" s="293">
        <f t="shared" si="78"/>
        <v>0</v>
      </c>
      <c r="F247" s="293">
        <f t="shared" si="79"/>
        <v>0</v>
      </c>
      <c r="G247" s="294">
        <f t="shared" si="55"/>
        <v>0</v>
      </c>
      <c r="H247" s="294">
        <f t="shared" si="56"/>
        <v>0</v>
      </c>
      <c r="I247" s="294">
        <f t="shared" si="57"/>
        <v>0</v>
      </c>
      <c r="J247" s="295">
        <f t="shared" si="42"/>
        <v>0</v>
      </c>
      <c r="K247" s="295">
        <f t="shared" si="43"/>
        <v>0</v>
      </c>
      <c r="L247" s="295">
        <f t="shared" si="44"/>
        <v>0</v>
      </c>
      <c r="AB247" s="380">
        <f>'Plant Inputs'!C54</f>
        <v>25</v>
      </c>
      <c r="AC247" s="384" t="str">
        <f>'Plant Inputs'!D54</f>
        <v>Polypropylene Fibers</v>
      </c>
      <c r="AD247" s="380">
        <f>IF('Plant Inputs'!$AR$22=0,0,'Plant Inputs'!$BC54*INDEX(Conversion_Table,MATCH(EnergyCalcUnit,Conversion_Rows,0),MATCH(AD$222,Conversion_Columns,0)))</f>
        <v>0</v>
      </c>
      <c r="AE247" s="380">
        <f>IF('Plant Inputs'!$AR$22=0,0,'Plant Inputs'!$DV54*INDEX(Conversion_Table,MATCH(EnergyCalcUnit,Conversion_Rows,0),MATCH(AE$222,Conversion_Columns,0)))</f>
        <v>0</v>
      </c>
      <c r="AF247" s="387">
        <f t="shared" si="58"/>
        <v>0</v>
      </c>
      <c r="AG247" s="388">
        <f t="shared" si="45"/>
        <v>0</v>
      </c>
      <c r="AH247" s="380" t="str">
        <f t="shared" si="80"/>
        <v/>
      </c>
      <c r="AI247" s="387" t="str">
        <f t="shared" si="59"/>
        <v/>
      </c>
      <c r="AJ247" s="380">
        <f t="shared" si="81"/>
        <v>0</v>
      </c>
      <c r="AK247" s="380" t="str">
        <f t="shared" si="48"/>
        <v/>
      </c>
      <c r="AL247" s="387" t="str">
        <f t="shared" si="49"/>
        <v/>
      </c>
      <c r="AN247" s="394">
        <f>IF('Plant Inputs'!$AR$22=0,0,'Plant Inputs'!$BC54*INDEX(Conversion_Table,MATCH(EnergyCalcUnit,Conversion_Rows,0),MATCH(EnergyPerTonneDisplayUnit,Conversion_Columns,0))/'Plant Inputs'!$AT$22)</f>
        <v>0</v>
      </c>
      <c r="AO247" s="394">
        <f>IF('Plant Inputs'!$AR$22=0,0,'Plant Inputs'!$DV54*INDEX(Conversion_Table,MATCH(EnergyCalcUnit,Conversion_Rows,0),MATCH(EnergyPerTonneDisplayUnit,Conversion_Columns,0))/'Plant Inputs'!$AT$22)</f>
        <v>0</v>
      </c>
      <c r="AP247" s="394">
        <f t="shared" si="60"/>
        <v>0</v>
      </c>
      <c r="AQ247" s="388">
        <f t="shared" si="50"/>
        <v>0</v>
      </c>
      <c r="AR247" s="380" t="str">
        <f t="shared" si="82"/>
        <v/>
      </c>
      <c r="AS247" s="387" t="str">
        <f t="shared" si="61"/>
        <v/>
      </c>
      <c r="AT247" s="387">
        <f t="shared" si="62"/>
        <v>0</v>
      </c>
      <c r="AU247" s="380" t="str">
        <f t="shared" si="52"/>
        <v/>
      </c>
      <c r="AV247" s="387" t="str">
        <f t="shared" si="53"/>
        <v/>
      </c>
      <c r="AW247" s="389"/>
      <c r="AX247" s="391"/>
      <c r="AY247" s="391"/>
      <c r="AZ247" s="391"/>
      <c r="BA247" s="391"/>
      <c r="BB247" s="391"/>
    </row>
    <row r="248" spans="3:54" ht="15">
      <c r="C248" s="292" t="str">
        <f>'Plant Inputs'!D55</f>
        <v>Steel Fibers</v>
      </c>
      <c r="D248" s="293">
        <f t="shared" si="77"/>
        <v>0</v>
      </c>
      <c r="E248" s="293">
        <f t="shared" si="78"/>
        <v>0</v>
      </c>
      <c r="F248" s="293">
        <f t="shared" si="79"/>
        <v>0</v>
      </c>
      <c r="G248" s="294">
        <f t="shared" si="55"/>
        <v>0</v>
      </c>
      <c r="H248" s="294">
        <f t="shared" si="56"/>
        <v>0</v>
      </c>
      <c r="I248" s="294">
        <f t="shared" si="57"/>
        <v>0</v>
      </c>
      <c r="J248" s="295">
        <f t="shared" si="42"/>
        <v>0</v>
      </c>
      <c r="K248" s="295">
        <f t="shared" si="43"/>
        <v>0</v>
      </c>
      <c r="L248" s="295">
        <f t="shared" si="44"/>
        <v>0</v>
      </c>
      <c r="AB248" s="380">
        <f>'Plant Inputs'!C55</f>
        <v>26</v>
      </c>
      <c r="AC248" s="384" t="str">
        <f>'Plant Inputs'!D55</f>
        <v>Steel Fibers</v>
      </c>
      <c r="AD248" s="380">
        <f>IF('Plant Inputs'!$AR$22=0,0,'Plant Inputs'!$BC55*INDEX(Conversion_Table,MATCH(EnergyCalcUnit,Conversion_Rows,0),MATCH(AD$222,Conversion_Columns,0)))</f>
        <v>0</v>
      </c>
      <c r="AE248" s="380">
        <f>IF('Plant Inputs'!$AR$22=0,0,'Plant Inputs'!$DV55*INDEX(Conversion_Table,MATCH(EnergyCalcUnit,Conversion_Rows,0),MATCH(AE$222,Conversion_Columns,0)))</f>
        <v>0</v>
      </c>
      <c r="AF248" s="387">
        <f t="shared" si="58"/>
        <v>0</v>
      </c>
      <c r="AG248" s="388">
        <f t="shared" si="45"/>
        <v>0</v>
      </c>
      <c r="AH248" s="380" t="str">
        <f t="shared" si="80"/>
        <v/>
      </c>
      <c r="AI248" s="387" t="str">
        <f t="shared" si="59"/>
        <v/>
      </c>
      <c r="AJ248" s="380">
        <f t="shared" si="81"/>
        <v>0</v>
      </c>
      <c r="AK248" s="380" t="str">
        <f t="shared" si="48"/>
        <v/>
      </c>
      <c r="AL248" s="387" t="str">
        <f t="shared" si="49"/>
        <v/>
      </c>
      <c r="AN248" s="394">
        <f>IF('Plant Inputs'!$AR$22=0,0,'Plant Inputs'!$BC55*INDEX(Conversion_Table,MATCH(EnergyCalcUnit,Conversion_Rows,0),MATCH(EnergyPerTonneDisplayUnit,Conversion_Columns,0))/'Plant Inputs'!$AT$22)</f>
        <v>0</v>
      </c>
      <c r="AO248" s="394">
        <f>IF('Plant Inputs'!$AR$22=0,0,'Plant Inputs'!$DV55*INDEX(Conversion_Table,MATCH(EnergyCalcUnit,Conversion_Rows,0),MATCH(EnergyPerTonneDisplayUnit,Conversion_Columns,0))/'Plant Inputs'!$AT$22)</f>
        <v>0</v>
      </c>
      <c r="AP248" s="394">
        <f t="shared" si="60"/>
        <v>0</v>
      </c>
      <c r="AQ248" s="388">
        <f t="shared" si="50"/>
        <v>0</v>
      </c>
      <c r="AR248" s="380" t="str">
        <f t="shared" si="82"/>
        <v/>
      </c>
      <c r="AS248" s="387" t="str">
        <f t="shared" si="61"/>
        <v/>
      </c>
      <c r="AT248" s="387">
        <f t="shared" si="62"/>
        <v>0</v>
      </c>
      <c r="AU248" s="380" t="str">
        <f t="shared" si="52"/>
        <v/>
      </c>
      <c r="AV248" s="387" t="str">
        <f t="shared" si="53"/>
        <v/>
      </c>
      <c r="AW248" s="389"/>
      <c r="AX248" s="391"/>
      <c r="AY248" s="391"/>
      <c r="AZ248" s="391"/>
      <c r="BA248" s="391"/>
      <c r="BB248" s="391"/>
    </row>
    <row r="249" spans="3:54" ht="15">
      <c r="C249" s="292" t="str">
        <f>'Plant Inputs'!D56</f>
        <v>Glass Fibre Reinforced Polymer (GFRP) reinforcing bars</v>
      </c>
      <c r="D249" s="293">
        <f t="shared" si="77"/>
        <v>0</v>
      </c>
      <c r="E249" s="293">
        <f t="shared" si="78"/>
        <v>0</v>
      </c>
      <c r="F249" s="293">
        <f t="shared" si="79"/>
        <v>0</v>
      </c>
      <c r="G249" s="294">
        <f t="shared" si="55"/>
        <v>0</v>
      </c>
      <c r="H249" s="294">
        <f t="shared" si="56"/>
        <v>0</v>
      </c>
      <c r="I249" s="294">
        <f t="shared" si="57"/>
        <v>0</v>
      </c>
      <c r="J249" s="295">
        <f t="shared" si="42"/>
        <v>0</v>
      </c>
      <c r="K249" s="295">
        <f t="shared" si="43"/>
        <v>0</v>
      </c>
      <c r="L249" s="295">
        <f t="shared" si="44"/>
        <v>0</v>
      </c>
      <c r="AB249" s="380">
        <f>'Plant Inputs'!C56</f>
        <v>27</v>
      </c>
      <c r="AC249" s="384" t="str">
        <f>'Plant Inputs'!D56</f>
        <v>Glass Fibre Reinforced Polymer (GFRP) reinforcing bars</v>
      </c>
      <c r="AD249" s="380">
        <f>IF('Plant Inputs'!$AR$22=0,0,'Plant Inputs'!$BC56*INDEX(Conversion_Table,MATCH(EnergyCalcUnit,Conversion_Rows,0),MATCH(AD$222,Conversion_Columns,0)))</f>
        <v>0</v>
      </c>
      <c r="AE249" s="380">
        <f>IF('Plant Inputs'!$AR$22=0,0,'Plant Inputs'!$DV56*INDEX(Conversion_Table,MATCH(EnergyCalcUnit,Conversion_Rows,0),MATCH(AE$222,Conversion_Columns,0)))</f>
        <v>0</v>
      </c>
      <c r="AF249" s="387">
        <f t="shared" si="58"/>
        <v>0</v>
      </c>
      <c r="AG249" s="388">
        <f t="shared" si="45"/>
        <v>0</v>
      </c>
      <c r="AH249" s="380" t="str">
        <f t="shared" si="80"/>
        <v/>
      </c>
      <c r="AI249" s="387" t="str">
        <f t="shared" si="59"/>
        <v/>
      </c>
      <c r="AJ249" s="380">
        <f t="shared" si="81"/>
        <v>0</v>
      </c>
      <c r="AK249" s="380" t="str">
        <f t="shared" si="48"/>
        <v/>
      </c>
      <c r="AL249" s="387" t="str">
        <f t="shared" si="49"/>
        <v/>
      </c>
      <c r="AN249" s="394">
        <f>IF('Plant Inputs'!$AR$22=0,0,'Plant Inputs'!$BC56*INDEX(Conversion_Table,MATCH(EnergyCalcUnit,Conversion_Rows,0),MATCH(EnergyPerTonneDisplayUnit,Conversion_Columns,0))/'Plant Inputs'!$AT$22)</f>
        <v>0</v>
      </c>
      <c r="AO249" s="394">
        <f>IF('Plant Inputs'!$AR$22=0,0,'Plant Inputs'!$DV56*INDEX(Conversion_Table,MATCH(EnergyCalcUnit,Conversion_Rows,0),MATCH(EnergyPerTonneDisplayUnit,Conversion_Columns,0))/'Plant Inputs'!$AT$22)</f>
        <v>0</v>
      </c>
      <c r="AP249" s="394">
        <f t="shared" si="60"/>
        <v>0</v>
      </c>
      <c r="AQ249" s="388">
        <f t="shared" si="50"/>
        <v>0</v>
      </c>
      <c r="AR249" s="380" t="str">
        <f t="shared" si="82"/>
        <v/>
      </c>
      <c r="AS249" s="387" t="str">
        <f t="shared" si="61"/>
        <v/>
      </c>
      <c r="AT249" s="387">
        <f t="shared" si="62"/>
        <v>0</v>
      </c>
      <c r="AU249" s="380" t="str">
        <f t="shared" si="52"/>
        <v/>
      </c>
      <c r="AV249" s="387" t="str">
        <f t="shared" si="53"/>
        <v/>
      </c>
      <c r="AW249" s="389"/>
      <c r="AX249" s="391"/>
      <c r="AY249" s="391"/>
      <c r="AZ249" s="391"/>
      <c r="BA249" s="391"/>
      <c r="BB249" s="391"/>
    </row>
    <row r="250" spans="3:54" ht="15">
      <c r="C250" s="292" t="str">
        <f>'Plant Inputs'!D57</f>
        <v>Carbon Fibre Reinforced Polymer (CFRP) reinforcing bars</v>
      </c>
      <c r="D250" s="293">
        <f t="shared" si="77"/>
        <v>0</v>
      </c>
      <c r="E250" s="293">
        <f t="shared" si="78"/>
        <v>0</v>
      </c>
      <c r="F250" s="293">
        <f t="shared" si="79"/>
        <v>0</v>
      </c>
      <c r="G250" s="294">
        <f t="shared" si="55"/>
        <v>0</v>
      </c>
      <c r="H250" s="294">
        <f t="shared" si="56"/>
        <v>0</v>
      </c>
      <c r="I250" s="294">
        <f t="shared" si="57"/>
        <v>0</v>
      </c>
      <c r="J250" s="295">
        <f t="shared" si="42"/>
        <v>0</v>
      </c>
      <c r="K250" s="295">
        <f t="shared" si="43"/>
        <v>0</v>
      </c>
      <c r="L250" s="295">
        <f t="shared" si="44"/>
        <v>0</v>
      </c>
      <c r="AB250" s="380">
        <f>'Plant Inputs'!C57</f>
        <v>28</v>
      </c>
      <c r="AC250" s="384" t="str">
        <f>'Plant Inputs'!D57</f>
        <v>Carbon Fibre Reinforced Polymer (CFRP) reinforcing bars</v>
      </c>
      <c r="AD250" s="380">
        <f>IF('Plant Inputs'!$AR$22=0,0,'Plant Inputs'!$BC57*INDEX(Conversion_Table,MATCH(EnergyCalcUnit,Conversion_Rows,0),MATCH(AD$222,Conversion_Columns,0)))</f>
        <v>0</v>
      </c>
      <c r="AE250" s="380">
        <f>IF('Plant Inputs'!$AR$22=0,0,'Plant Inputs'!$DV57*INDEX(Conversion_Table,MATCH(EnergyCalcUnit,Conversion_Rows,0),MATCH(AE$222,Conversion_Columns,0)))</f>
        <v>0</v>
      </c>
      <c r="AF250" s="387">
        <f t="shared" si="58"/>
        <v>0</v>
      </c>
      <c r="AG250" s="388">
        <f t="shared" si="45"/>
        <v>0</v>
      </c>
      <c r="AH250" s="380" t="str">
        <f t="shared" si="80"/>
        <v/>
      </c>
      <c r="AI250" s="387" t="str">
        <f t="shared" si="59"/>
        <v/>
      </c>
      <c r="AJ250" s="380">
        <f t="shared" si="81"/>
        <v>0</v>
      </c>
      <c r="AK250" s="380" t="str">
        <f t="shared" si="48"/>
        <v/>
      </c>
      <c r="AL250" s="387" t="str">
        <f t="shared" si="49"/>
        <v/>
      </c>
      <c r="AN250" s="394">
        <f>IF('Plant Inputs'!$AR$22=0,0,'Plant Inputs'!$BC57*INDEX(Conversion_Table,MATCH(EnergyCalcUnit,Conversion_Rows,0),MATCH(EnergyPerTonneDisplayUnit,Conversion_Columns,0))/'Plant Inputs'!$AT$22)</f>
        <v>0</v>
      </c>
      <c r="AO250" s="394">
        <f>IF('Plant Inputs'!$AR$22=0,0,'Plant Inputs'!$DV57*INDEX(Conversion_Table,MATCH(EnergyCalcUnit,Conversion_Rows,0),MATCH(EnergyPerTonneDisplayUnit,Conversion_Columns,0))/'Plant Inputs'!$AT$22)</f>
        <v>0</v>
      </c>
      <c r="AP250" s="394">
        <f t="shared" si="60"/>
        <v>0</v>
      </c>
      <c r="AQ250" s="388">
        <f t="shared" si="50"/>
        <v>0</v>
      </c>
      <c r="AR250" s="380" t="str">
        <f t="shared" si="82"/>
        <v/>
      </c>
      <c r="AS250" s="387" t="str">
        <f t="shared" si="61"/>
        <v/>
      </c>
      <c r="AT250" s="387">
        <f t="shared" si="62"/>
        <v>0</v>
      </c>
      <c r="AU250" s="380" t="str">
        <f t="shared" si="52"/>
        <v/>
      </c>
      <c r="AV250" s="387" t="str">
        <f t="shared" si="53"/>
        <v/>
      </c>
      <c r="AW250" s="389"/>
      <c r="AX250" s="391"/>
      <c r="AY250" s="391"/>
      <c r="AZ250" s="391"/>
      <c r="BA250" s="391"/>
      <c r="BB250" s="391"/>
    </row>
    <row r="251" spans="3:54" ht="15">
      <c r="C251" s="292" t="str">
        <f>'Plant Inputs'!D58</f>
        <v>Fibre Reinforced Polymer (FRP) wrap</v>
      </c>
      <c r="D251" s="293">
        <f t="shared" si="77"/>
        <v>0</v>
      </c>
      <c r="E251" s="293">
        <f t="shared" si="78"/>
        <v>0</v>
      </c>
      <c r="F251" s="293">
        <f t="shared" si="79"/>
        <v>0</v>
      </c>
      <c r="G251" s="294">
        <f t="shared" si="55"/>
        <v>0</v>
      </c>
      <c r="H251" s="294">
        <f t="shared" si="56"/>
        <v>0</v>
      </c>
      <c r="I251" s="294">
        <f t="shared" si="57"/>
        <v>0</v>
      </c>
      <c r="J251" s="295">
        <f t="shared" si="42"/>
        <v>0</v>
      </c>
      <c r="K251" s="295">
        <f t="shared" si="43"/>
        <v>0</v>
      </c>
      <c r="L251" s="295">
        <f t="shared" si="44"/>
        <v>0</v>
      </c>
      <c r="AB251" s="380">
        <f>'Plant Inputs'!C58</f>
        <v>29</v>
      </c>
      <c r="AC251" s="384" t="str">
        <f>'Plant Inputs'!D58</f>
        <v>Fibre Reinforced Polymer (FRP) wrap</v>
      </c>
      <c r="AD251" s="380">
        <f>IF('Plant Inputs'!$AR$22=0,0,'Plant Inputs'!$BC58*INDEX(Conversion_Table,MATCH(EnergyCalcUnit,Conversion_Rows,0),MATCH(AD$222,Conversion_Columns,0)))</f>
        <v>0</v>
      </c>
      <c r="AE251" s="380">
        <f>IF('Plant Inputs'!$AR$22=0,0,'Plant Inputs'!$DV58*INDEX(Conversion_Table,MATCH(EnergyCalcUnit,Conversion_Rows,0),MATCH(AE$222,Conversion_Columns,0)))</f>
        <v>0</v>
      </c>
      <c r="AF251" s="387">
        <f t="shared" si="58"/>
        <v>0</v>
      </c>
      <c r="AG251" s="388">
        <f t="shared" si="45"/>
        <v>0</v>
      </c>
      <c r="AH251" s="380" t="str">
        <f t="shared" si="80"/>
        <v/>
      </c>
      <c r="AI251" s="387" t="str">
        <f t="shared" si="59"/>
        <v/>
      </c>
      <c r="AJ251" s="380">
        <f t="shared" si="81"/>
        <v>0</v>
      </c>
      <c r="AK251" s="380" t="str">
        <f t="shared" si="48"/>
        <v/>
      </c>
      <c r="AL251" s="387" t="str">
        <f t="shared" si="49"/>
        <v/>
      </c>
      <c r="AN251" s="394">
        <f>IF('Plant Inputs'!$AR$22=0,0,'Plant Inputs'!$BC58*INDEX(Conversion_Table,MATCH(EnergyCalcUnit,Conversion_Rows,0),MATCH(EnergyPerTonneDisplayUnit,Conversion_Columns,0))/'Plant Inputs'!$AT$22)</f>
        <v>0</v>
      </c>
      <c r="AO251" s="394">
        <f>IF('Plant Inputs'!$AR$22=0,0,'Plant Inputs'!$DV58*INDEX(Conversion_Table,MATCH(EnergyCalcUnit,Conversion_Rows,0),MATCH(EnergyPerTonneDisplayUnit,Conversion_Columns,0))/'Plant Inputs'!$AT$22)</f>
        <v>0</v>
      </c>
      <c r="AP251" s="394">
        <f t="shared" si="60"/>
        <v>0</v>
      </c>
      <c r="AQ251" s="388">
        <f t="shared" si="50"/>
        <v>0</v>
      </c>
      <c r="AR251" s="380" t="str">
        <f t="shared" si="82"/>
        <v/>
      </c>
      <c r="AS251" s="387" t="str">
        <f t="shared" si="61"/>
        <v/>
      </c>
      <c r="AT251" s="387">
        <f t="shared" si="62"/>
        <v>0</v>
      </c>
      <c r="AU251" s="380" t="str">
        <f t="shared" si="52"/>
        <v/>
      </c>
      <c r="AV251" s="387" t="str">
        <f t="shared" si="53"/>
        <v/>
      </c>
      <c r="AW251" s="389"/>
      <c r="AX251" s="391"/>
      <c r="AY251" s="391"/>
      <c r="AZ251" s="391"/>
      <c r="BA251" s="391"/>
      <c r="BB251" s="391"/>
    </row>
    <row r="252" spans="3:54" ht="15">
      <c r="C252" s="292" t="str">
        <f>'Plant Inputs'!D59</f>
        <v>Expanded Polystyrene</v>
      </c>
      <c r="D252" s="293">
        <f t="shared" si="77"/>
        <v>0</v>
      </c>
      <c r="E252" s="293">
        <f t="shared" si="78"/>
        <v>0</v>
      </c>
      <c r="F252" s="293">
        <f t="shared" si="79"/>
        <v>0</v>
      </c>
      <c r="G252" s="294">
        <f t="shared" si="55"/>
        <v>0</v>
      </c>
      <c r="H252" s="294">
        <f t="shared" si="56"/>
        <v>0</v>
      </c>
      <c r="I252" s="294">
        <f t="shared" si="57"/>
        <v>0</v>
      </c>
      <c r="J252" s="295">
        <f t="shared" si="42"/>
        <v>0</v>
      </c>
      <c r="K252" s="295">
        <f t="shared" si="43"/>
        <v>0</v>
      </c>
      <c r="L252" s="295">
        <f t="shared" si="44"/>
        <v>0</v>
      </c>
      <c r="AB252" s="380">
        <f>'Plant Inputs'!C59</f>
        <v>30</v>
      </c>
      <c r="AC252" s="384" t="str">
        <f>'Plant Inputs'!D59</f>
        <v>Expanded Polystyrene</v>
      </c>
      <c r="AD252" s="380">
        <f>IF('Plant Inputs'!$AR$22=0,0,'Plant Inputs'!$BC59*INDEX(Conversion_Table,MATCH(EnergyCalcUnit,Conversion_Rows,0),MATCH(AD$222,Conversion_Columns,0)))</f>
        <v>0</v>
      </c>
      <c r="AE252" s="380">
        <f>IF('Plant Inputs'!$AR$22=0,0,'Plant Inputs'!$DV59*INDEX(Conversion_Table,MATCH(EnergyCalcUnit,Conversion_Rows,0),MATCH(AE$222,Conversion_Columns,0)))</f>
        <v>0</v>
      </c>
      <c r="AF252" s="387">
        <f t="shared" si="58"/>
        <v>0</v>
      </c>
      <c r="AG252" s="388">
        <f t="shared" si="45"/>
        <v>0</v>
      </c>
      <c r="AH252" s="380" t="str">
        <f t="shared" si="80"/>
        <v/>
      </c>
      <c r="AI252" s="387" t="str">
        <f t="shared" si="59"/>
        <v/>
      </c>
      <c r="AJ252" s="380">
        <f t="shared" si="81"/>
        <v>0</v>
      </c>
      <c r="AK252" s="380" t="str">
        <f t="shared" si="48"/>
        <v/>
      </c>
      <c r="AL252" s="387" t="str">
        <f t="shared" si="49"/>
        <v/>
      </c>
      <c r="AN252" s="394">
        <f>IF('Plant Inputs'!$AR$22=0,0,'Plant Inputs'!$BC59*INDEX(Conversion_Table,MATCH(EnergyCalcUnit,Conversion_Rows,0),MATCH(EnergyPerTonneDisplayUnit,Conversion_Columns,0))/'Plant Inputs'!$AT$22)</f>
        <v>0</v>
      </c>
      <c r="AO252" s="394">
        <f>IF('Plant Inputs'!$AR$22=0,0,'Plant Inputs'!$DV59*INDEX(Conversion_Table,MATCH(EnergyCalcUnit,Conversion_Rows,0),MATCH(EnergyPerTonneDisplayUnit,Conversion_Columns,0))/'Plant Inputs'!$AT$22)</f>
        <v>0</v>
      </c>
      <c r="AP252" s="394">
        <f t="shared" si="60"/>
        <v>0</v>
      </c>
      <c r="AQ252" s="388">
        <f t="shared" si="50"/>
        <v>0</v>
      </c>
      <c r="AR252" s="380" t="str">
        <f t="shared" si="82"/>
        <v/>
      </c>
      <c r="AS252" s="387" t="str">
        <f t="shared" si="61"/>
        <v/>
      </c>
      <c r="AT252" s="387">
        <f t="shared" si="62"/>
        <v>0</v>
      </c>
      <c r="AU252" s="380" t="str">
        <f t="shared" si="52"/>
        <v/>
      </c>
      <c r="AV252" s="387" t="str">
        <f t="shared" si="53"/>
        <v/>
      </c>
      <c r="AW252" s="389"/>
      <c r="AX252" s="391"/>
      <c r="AY252" s="391"/>
      <c r="AZ252" s="391"/>
      <c r="BA252" s="391"/>
      <c r="BB252" s="391"/>
    </row>
    <row r="253" spans="3:54" ht="15">
      <c r="C253" s="292" t="str">
        <f>'Plant Inputs'!D60</f>
        <v>Extruded Polystyrene</v>
      </c>
      <c r="D253" s="293">
        <f t="shared" si="77"/>
        <v>0</v>
      </c>
      <c r="E253" s="293">
        <f t="shared" si="78"/>
        <v>0</v>
      </c>
      <c r="F253" s="293">
        <f t="shared" si="79"/>
        <v>0</v>
      </c>
      <c r="G253" s="294">
        <f t="shared" si="55"/>
        <v>0</v>
      </c>
      <c r="H253" s="294">
        <f t="shared" si="56"/>
        <v>0</v>
      </c>
      <c r="I253" s="294">
        <f t="shared" si="57"/>
        <v>0</v>
      </c>
      <c r="J253" s="295">
        <f t="shared" si="42"/>
        <v>0</v>
      </c>
      <c r="K253" s="295">
        <f t="shared" si="43"/>
        <v>0</v>
      </c>
      <c r="L253" s="295">
        <f t="shared" si="44"/>
        <v>0</v>
      </c>
      <c r="AB253" s="380">
        <f>'Plant Inputs'!C60</f>
        <v>31</v>
      </c>
      <c r="AC253" s="384" t="str">
        <f>'Plant Inputs'!D60</f>
        <v>Extruded Polystyrene</v>
      </c>
      <c r="AD253" s="380">
        <f>IF('Plant Inputs'!$AR$22=0,0,'Plant Inputs'!$BC60*INDEX(Conversion_Table,MATCH(EnergyCalcUnit,Conversion_Rows,0),MATCH(AD$222,Conversion_Columns,0)))</f>
        <v>0</v>
      </c>
      <c r="AE253" s="380">
        <f>IF('Plant Inputs'!$AR$22=0,0,'Plant Inputs'!$DV60*INDEX(Conversion_Table,MATCH(EnergyCalcUnit,Conversion_Rows,0),MATCH(AE$222,Conversion_Columns,0)))</f>
        <v>0</v>
      </c>
      <c r="AF253" s="387">
        <f t="shared" si="58"/>
        <v>0</v>
      </c>
      <c r="AG253" s="388">
        <f t="shared" si="45"/>
        <v>0</v>
      </c>
      <c r="AH253" s="380" t="str">
        <f t="shared" si="80"/>
        <v/>
      </c>
      <c r="AI253" s="387" t="str">
        <f t="shared" si="59"/>
        <v/>
      </c>
      <c r="AJ253" s="380">
        <f t="shared" si="81"/>
        <v>0</v>
      </c>
      <c r="AK253" s="380" t="str">
        <f t="shared" si="48"/>
        <v/>
      </c>
      <c r="AL253" s="387" t="str">
        <f t="shared" si="49"/>
        <v/>
      </c>
      <c r="AN253" s="394">
        <f>IF('Plant Inputs'!$AR$22=0,0,'Plant Inputs'!$BC60*INDEX(Conversion_Table,MATCH(EnergyCalcUnit,Conversion_Rows,0),MATCH(EnergyPerTonneDisplayUnit,Conversion_Columns,0))/'Plant Inputs'!$AT$22)</f>
        <v>0</v>
      </c>
      <c r="AO253" s="394">
        <f>IF('Plant Inputs'!$AR$22=0,0,'Plant Inputs'!$DV60*INDEX(Conversion_Table,MATCH(EnergyCalcUnit,Conversion_Rows,0),MATCH(EnergyPerTonneDisplayUnit,Conversion_Columns,0))/'Plant Inputs'!$AT$22)</f>
        <v>0</v>
      </c>
      <c r="AP253" s="394">
        <f t="shared" si="60"/>
        <v>0</v>
      </c>
      <c r="AQ253" s="388">
        <f t="shared" si="50"/>
        <v>0</v>
      </c>
      <c r="AR253" s="380" t="str">
        <f t="shared" si="82"/>
        <v/>
      </c>
      <c r="AS253" s="387" t="str">
        <f t="shared" si="61"/>
        <v/>
      </c>
      <c r="AT253" s="387">
        <f t="shared" si="62"/>
        <v>0</v>
      </c>
      <c r="AU253" s="380" t="str">
        <f t="shared" si="52"/>
        <v/>
      </c>
      <c r="AV253" s="387" t="str">
        <f t="shared" si="53"/>
        <v/>
      </c>
      <c r="AW253" s="389"/>
      <c r="AX253" s="391"/>
      <c r="AY253" s="391"/>
      <c r="AZ253" s="391"/>
      <c r="BA253" s="391"/>
      <c r="BB253" s="391"/>
    </row>
    <row r="254" spans="3:54">
      <c r="C254" s="292" t="str">
        <f>'Plant Inputs'!D61</f>
        <v>Brick</v>
      </c>
      <c r="D254" s="293">
        <f t="shared" si="54"/>
        <v>0</v>
      </c>
      <c r="E254" s="293">
        <f t="shared" si="54"/>
        <v>0</v>
      </c>
      <c r="F254" s="293">
        <f t="shared" si="54"/>
        <v>0</v>
      </c>
      <c r="G254" s="294">
        <f t="shared" si="55"/>
        <v>0</v>
      </c>
      <c r="H254" s="294">
        <f t="shared" si="56"/>
        <v>0</v>
      </c>
      <c r="I254" s="294">
        <f t="shared" si="57"/>
        <v>0</v>
      </c>
      <c r="J254" s="295">
        <f t="shared" si="42"/>
        <v>0</v>
      </c>
      <c r="K254" s="295">
        <f t="shared" si="43"/>
        <v>0</v>
      </c>
      <c r="L254" s="295">
        <f t="shared" si="44"/>
        <v>0</v>
      </c>
      <c r="AB254" s="380">
        <f>'Plant Inputs'!C61</f>
        <v>32</v>
      </c>
      <c r="AC254" s="384" t="str">
        <f>'Plant Inputs'!D61</f>
        <v>Brick</v>
      </c>
      <c r="AD254" s="380">
        <f>IF('Plant Inputs'!$AR$22=0,0,'Plant Inputs'!$BC61*INDEX(Conversion_Table,MATCH(EnergyCalcUnit,Conversion_Rows,0),MATCH(AD$222,Conversion_Columns,0)))</f>
        <v>0</v>
      </c>
      <c r="AE254" s="380">
        <f>IF('Plant Inputs'!$AR$22=0,0,'Plant Inputs'!$DV61*INDEX(Conversion_Table,MATCH(EnergyCalcUnit,Conversion_Rows,0),MATCH(AE$222,Conversion_Columns,0)))</f>
        <v>0</v>
      </c>
      <c r="AF254" s="387">
        <f t="shared" si="58"/>
        <v>0</v>
      </c>
      <c r="AG254" s="388">
        <f t="shared" si="45"/>
        <v>0</v>
      </c>
      <c r="AH254" s="380" t="str">
        <f t="shared" si="46"/>
        <v/>
      </c>
      <c r="AI254" s="387" t="str">
        <f t="shared" si="59"/>
        <v/>
      </c>
      <c r="AJ254" s="380">
        <f t="shared" si="47"/>
        <v>0</v>
      </c>
      <c r="AK254" s="380" t="str">
        <f t="shared" si="48"/>
        <v/>
      </c>
      <c r="AL254" s="387" t="str">
        <f t="shared" si="49"/>
        <v/>
      </c>
      <c r="AN254" s="394">
        <f>IF('Plant Inputs'!$AR$22=0,0,'Plant Inputs'!$BC61*INDEX(Conversion_Table,MATCH(EnergyCalcUnit,Conversion_Rows,0),MATCH(EnergyPerTonneDisplayUnit,Conversion_Columns,0))/'Plant Inputs'!$AT$22)</f>
        <v>0</v>
      </c>
      <c r="AO254" s="394">
        <f>IF('Plant Inputs'!$AR$22=0,0,'Plant Inputs'!$DV61*INDEX(Conversion_Table,MATCH(EnergyCalcUnit,Conversion_Rows,0),MATCH(EnergyPerTonneDisplayUnit,Conversion_Columns,0))/'Plant Inputs'!$AT$22)</f>
        <v>0</v>
      </c>
      <c r="AP254" s="394">
        <f t="shared" si="60"/>
        <v>0</v>
      </c>
      <c r="AQ254" s="388">
        <f t="shared" si="50"/>
        <v>0</v>
      </c>
      <c r="AR254" s="380" t="str">
        <f t="shared" si="51"/>
        <v/>
      </c>
      <c r="AS254" s="387" t="str">
        <f t="shared" si="61"/>
        <v/>
      </c>
      <c r="AT254" s="387">
        <f t="shared" si="62"/>
        <v>0</v>
      </c>
      <c r="AU254" s="380" t="str">
        <f t="shared" si="52"/>
        <v/>
      </c>
      <c r="AV254" s="387" t="str">
        <f t="shared" si="53"/>
        <v/>
      </c>
    </row>
    <row r="255" spans="3:54">
      <c r="C255" s="292" t="str">
        <f>'Plant Inputs'!D62</f>
        <v>Natural Stone</v>
      </c>
      <c r="D255" s="293">
        <f t="shared" si="54"/>
        <v>0</v>
      </c>
      <c r="E255" s="293">
        <f t="shared" si="54"/>
        <v>0</v>
      </c>
      <c r="F255" s="293">
        <f t="shared" si="54"/>
        <v>0</v>
      </c>
      <c r="G255" s="294">
        <f t="shared" si="55"/>
        <v>0</v>
      </c>
      <c r="H255" s="294">
        <f t="shared" si="56"/>
        <v>0</v>
      </c>
      <c r="I255" s="294">
        <f t="shared" si="57"/>
        <v>0</v>
      </c>
      <c r="J255" s="295">
        <f t="shared" si="42"/>
        <v>0</v>
      </c>
      <c r="K255" s="295">
        <f t="shared" si="43"/>
        <v>0</v>
      </c>
      <c r="L255" s="295">
        <f t="shared" si="44"/>
        <v>0</v>
      </c>
      <c r="AB255" s="380">
        <f>'Plant Inputs'!C62</f>
        <v>33</v>
      </c>
      <c r="AC255" s="384" t="str">
        <f>'Plant Inputs'!D62</f>
        <v>Natural Stone</v>
      </c>
      <c r="AD255" s="380">
        <f>IF('Plant Inputs'!$AR$22=0,0,'Plant Inputs'!$BC62*INDEX(Conversion_Table,MATCH(EnergyCalcUnit,Conversion_Rows,0),MATCH(AD$222,Conversion_Columns,0)))</f>
        <v>0</v>
      </c>
      <c r="AE255" s="380">
        <f>IF('Plant Inputs'!$AR$22=0,0,'Plant Inputs'!$DV62*INDEX(Conversion_Table,MATCH(EnergyCalcUnit,Conversion_Rows,0),MATCH(AE$222,Conversion_Columns,0)))</f>
        <v>0</v>
      </c>
      <c r="AF255" s="387">
        <f t="shared" si="58"/>
        <v>0</v>
      </c>
      <c r="AG255" s="388">
        <f t="shared" si="45"/>
        <v>0</v>
      </c>
      <c r="AH255" s="380" t="str">
        <f t="shared" si="46"/>
        <v/>
      </c>
      <c r="AI255" s="387" t="str">
        <f t="shared" si="59"/>
        <v/>
      </c>
      <c r="AJ255" s="380">
        <f t="shared" si="47"/>
        <v>0</v>
      </c>
      <c r="AK255" s="380" t="str">
        <f t="shared" si="48"/>
        <v/>
      </c>
      <c r="AL255" s="387" t="str">
        <f t="shared" si="49"/>
        <v/>
      </c>
      <c r="AN255" s="394">
        <f>IF('Plant Inputs'!$AR$22=0,0,'Plant Inputs'!$BC62*INDEX(Conversion_Table,MATCH(EnergyCalcUnit,Conversion_Rows,0),MATCH(EnergyPerTonneDisplayUnit,Conversion_Columns,0))/'Plant Inputs'!$AT$22)</f>
        <v>0</v>
      </c>
      <c r="AO255" s="394">
        <f>IF('Plant Inputs'!$AR$22=0,0,'Plant Inputs'!$DV62*INDEX(Conversion_Table,MATCH(EnergyCalcUnit,Conversion_Rows,0),MATCH(EnergyPerTonneDisplayUnit,Conversion_Columns,0))/'Plant Inputs'!$AT$22)</f>
        <v>0</v>
      </c>
      <c r="AP255" s="394">
        <f t="shared" si="60"/>
        <v>0</v>
      </c>
      <c r="AQ255" s="388">
        <f t="shared" si="50"/>
        <v>0</v>
      </c>
      <c r="AR255" s="380" t="str">
        <f t="shared" si="51"/>
        <v/>
      </c>
      <c r="AS255" s="387" t="str">
        <f t="shared" si="61"/>
        <v/>
      </c>
      <c r="AT255" s="387">
        <f t="shared" si="62"/>
        <v>0</v>
      </c>
      <c r="AU255" s="380" t="str">
        <f t="shared" si="52"/>
        <v/>
      </c>
      <c r="AV255" s="387" t="str">
        <f t="shared" si="53"/>
        <v/>
      </c>
    </row>
    <row r="256" spans="3:54">
      <c r="C256" s="292" t="str">
        <f>'Plant Inputs'!D63</f>
        <v>Pigments</v>
      </c>
      <c r="D256" s="293">
        <f t="shared" si="54"/>
        <v>0</v>
      </c>
      <c r="E256" s="293">
        <f t="shared" si="54"/>
        <v>0</v>
      </c>
      <c r="F256" s="293">
        <f t="shared" si="54"/>
        <v>0</v>
      </c>
      <c r="G256" s="294">
        <f t="shared" si="55"/>
        <v>0</v>
      </c>
      <c r="H256" s="294">
        <f t="shared" si="56"/>
        <v>0</v>
      </c>
      <c r="I256" s="294">
        <f t="shared" si="57"/>
        <v>0</v>
      </c>
      <c r="J256" s="295">
        <f t="shared" si="42"/>
        <v>0</v>
      </c>
      <c r="K256" s="295">
        <f t="shared" si="43"/>
        <v>0</v>
      </c>
      <c r="L256" s="295">
        <f t="shared" si="44"/>
        <v>0</v>
      </c>
      <c r="AB256" s="380">
        <f>'Plant Inputs'!C63</f>
        <v>34</v>
      </c>
      <c r="AC256" s="384" t="str">
        <f>'Plant Inputs'!D63</f>
        <v>Pigments</v>
      </c>
      <c r="AD256" s="380">
        <f>IF('Plant Inputs'!$AR$22=0,0,'Plant Inputs'!$BC63*INDEX(Conversion_Table,MATCH(EnergyCalcUnit,Conversion_Rows,0),MATCH(AD$222,Conversion_Columns,0)))</f>
        <v>0</v>
      </c>
      <c r="AE256" s="380">
        <f>IF('Plant Inputs'!$AR$22=0,0,'Plant Inputs'!$DV63*INDEX(Conversion_Table,MATCH(EnergyCalcUnit,Conversion_Rows,0),MATCH(AE$222,Conversion_Columns,0)))</f>
        <v>0</v>
      </c>
      <c r="AF256" s="387">
        <f t="shared" si="58"/>
        <v>0</v>
      </c>
      <c r="AG256" s="388">
        <f t="shared" si="45"/>
        <v>0</v>
      </c>
      <c r="AH256" s="380" t="str">
        <f t="shared" si="46"/>
        <v/>
      </c>
      <c r="AI256" s="387" t="str">
        <f t="shared" si="59"/>
        <v/>
      </c>
      <c r="AJ256" s="380">
        <f t="shared" si="47"/>
        <v>0</v>
      </c>
      <c r="AK256" s="380" t="str">
        <f t="shared" si="48"/>
        <v/>
      </c>
      <c r="AL256" s="387" t="str">
        <f t="shared" si="49"/>
        <v/>
      </c>
      <c r="AN256" s="394">
        <f>IF('Plant Inputs'!$AR$22=0,0,'Plant Inputs'!$BC63*INDEX(Conversion_Table,MATCH(EnergyCalcUnit,Conversion_Rows,0),MATCH(EnergyPerTonneDisplayUnit,Conversion_Columns,0))/'Plant Inputs'!$AT$22)</f>
        <v>0</v>
      </c>
      <c r="AO256" s="394">
        <f>IF('Plant Inputs'!$AR$22=0,0,'Plant Inputs'!$DV63*INDEX(Conversion_Table,MATCH(EnergyCalcUnit,Conversion_Rows,0),MATCH(EnergyPerTonneDisplayUnit,Conversion_Columns,0))/'Plant Inputs'!$AT$22)</f>
        <v>0</v>
      </c>
      <c r="AP256" s="394">
        <f t="shared" si="60"/>
        <v>0</v>
      </c>
      <c r="AQ256" s="388">
        <f t="shared" si="50"/>
        <v>0</v>
      </c>
      <c r="AR256" s="380" t="str">
        <f t="shared" si="51"/>
        <v/>
      </c>
      <c r="AS256" s="387" t="str">
        <f t="shared" si="61"/>
        <v/>
      </c>
      <c r="AT256" s="387">
        <f t="shared" si="62"/>
        <v>0</v>
      </c>
      <c r="AU256" s="380" t="str">
        <f t="shared" si="52"/>
        <v/>
      </c>
      <c r="AV256" s="387" t="str">
        <f t="shared" si="53"/>
        <v/>
      </c>
    </row>
    <row r="257" spans="2:77">
      <c r="C257" s="292" t="str">
        <f>'Plant Inputs'!D64</f>
        <v>Net Consumables</v>
      </c>
      <c r="D257" s="293">
        <f t="shared" si="54"/>
        <v>0</v>
      </c>
      <c r="E257" s="293">
        <f t="shared" si="54"/>
        <v>0</v>
      </c>
      <c r="F257" s="293">
        <f t="shared" si="54"/>
        <v>0</v>
      </c>
      <c r="G257" s="294">
        <f t="shared" si="55"/>
        <v>0</v>
      </c>
      <c r="H257" s="294">
        <f t="shared" si="56"/>
        <v>0</v>
      </c>
      <c r="I257" s="294">
        <f t="shared" si="57"/>
        <v>0</v>
      </c>
      <c r="J257" s="295">
        <f t="shared" si="42"/>
        <v>0</v>
      </c>
      <c r="K257" s="295">
        <f t="shared" si="43"/>
        <v>0</v>
      </c>
      <c r="L257" s="295">
        <f t="shared" si="44"/>
        <v>0</v>
      </c>
      <c r="AB257" s="380">
        <f>'Plant Inputs'!C64</f>
        <v>35</v>
      </c>
      <c r="AC257" s="384" t="str">
        <f>'Plant Inputs'!D64</f>
        <v>Net Consumables</v>
      </c>
      <c r="AD257" s="380">
        <f>IF('Plant Inputs'!$AR$22=0,0,'Plant Inputs'!$BC64*INDEX(Conversion_Table,MATCH(EnergyCalcUnit,Conversion_Rows,0),MATCH(AD$222,Conversion_Columns,0)))</f>
        <v>0</v>
      </c>
      <c r="AE257" s="380">
        <f>IF('Plant Inputs'!$AR$22=0,0,'Plant Inputs'!$DV64*INDEX(Conversion_Table,MATCH(EnergyCalcUnit,Conversion_Rows,0),MATCH(AE$222,Conversion_Columns,0)))</f>
        <v>0</v>
      </c>
      <c r="AF257" s="387">
        <f t="shared" si="58"/>
        <v>0</v>
      </c>
      <c r="AG257" s="388">
        <f t="shared" si="45"/>
        <v>0</v>
      </c>
      <c r="AH257" s="380" t="str">
        <f t="shared" si="46"/>
        <v/>
      </c>
      <c r="AI257" s="387" t="str">
        <f t="shared" si="59"/>
        <v/>
      </c>
      <c r="AJ257" s="380">
        <f t="shared" si="47"/>
        <v>0</v>
      </c>
      <c r="AK257" s="380" t="str">
        <f t="shared" si="48"/>
        <v/>
      </c>
      <c r="AL257" s="387" t="str">
        <f t="shared" si="49"/>
        <v/>
      </c>
      <c r="AN257" s="394">
        <f>IF('Plant Inputs'!$AR$22=0,0,'Plant Inputs'!$BC64*INDEX(Conversion_Table,MATCH(EnergyCalcUnit,Conversion_Rows,0),MATCH(EnergyPerTonneDisplayUnit,Conversion_Columns,0))/'Plant Inputs'!$AT$22)</f>
        <v>0</v>
      </c>
      <c r="AO257" s="394">
        <f>IF('Plant Inputs'!$AR$22=0,0,'Plant Inputs'!$DV64*INDEX(Conversion_Table,MATCH(EnergyCalcUnit,Conversion_Rows,0),MATCH(EnergyPerTonneDisplayUnit,Conversion_Columns,0))/'Plant Inputs'!$AT$22)</f>
        <v>0</v>
      </c>
      <c r="AP257" s="394">
        <f t="shared" si="60"/>
        <v>0</v>
      </c>
      <c r="AQ257" s="388">
        <f t="shared" si="50"/>
        <v>0</v>
      </c>
      <c r="AR257" s="380" t="str">
        <f t="shared" si="51"/>
        <v/>
      </c>
      <c r="AS257" s="387" t="str">
        <f t="shared" si="61"/>
        <v/>
      </c>
      <c r="AT257" s="387">
        <f t="shared" si="62"/>
        <v>0</v>
      </c>
      <c r="AU257" s="380" t="str">
        <f t="shared" si="52"/>
        <v/>
      </c>
      <c r="AV257" s="387" t="str">
        <f t="shared" si="53"/>
        <v/>
      </c>
    </row>
    <row r="258" spans="2:77" ht="15">
      <c r="C258" s="279" t="s">
        <v>19</v>
      </c>
      <c r="D258" s="293">
        <f t="shared" ref="D258:L258" si="83">SUM(D223:D257)</f>
        <v>0</v>
      </c>
      <c r="E258" s="293">
        <f t="shared" si="83"/>
        <v>0</v>
      </c>
      <c r="F258" s="293">
        <f t="shared" si="83"/>
        <v>0</v>
      </c>
      <c r="G258" s="294">
        <f t="shared" si="83"/>
        <v>0</v>
      </c>
      <c r="H258" s="294">
        <f t="shared" si="83"/>
        <v>0</v>
      </c>
      <c r="I258" s="294">
        <f t="shared" si="83"/>
        <v>0</v>
      </c>
      <c r="J258" s="295">
        <f t="shared" si="83"/>
        <v>0</v>
      </c>
      <c r="K258" s="295">
        <f t="shared" si="83"/>
        <v>0</v>
      </c>
      <c r="L258" s="295">
        <f t="shared" si="83"/>
        <v>0</v>
      </c>
      <c r="M258" s="3"/>
      <c r="AD258" s="380">
        <f>SUM(AD223:AD257)</f>
        <v>0</v>
      </c>
      <c r="AE258" s="380">
        <f>SUM(AE223:AE257)</f>
        <v>0</v>
      </c>
      <c r="AF258" s="380">
        <f>SUM(AF223:AF257)</f>
        <v>0</v>
      </c>
      <c r="AG258" s="392">
        <f>SUM(AG223:AG257)</f>
        <v>0</v>
      </c>
      <c r="AI258" s="387"/>
      <c r="AM258" s="389"/>
      <c r="AN258" s="380">
        <f>SUM(AN223:AN257)</f>
        <v>0</v>
      </c>
      <c r="AO258" s="380">
        <f>SUM(AO223:AO257)</f>
        <v>0</v>
      </c>
      <c r="AP258" s="380">
        <f>SUM(AP223:AP257)</f>
        <v>0</v>
      </c>
      <c r="AQ258" s="392">
        <f>SUM(AQ223:AQ257)</f>
        <v>0</v>
      </c>
    </row>
    <row r="259" spans="2:77" ht="15">
      <c r="M259" s="3"/>
      <c r="AD259" s="393">
        <f>AD258*INDEX(Conversion_Table,MATCH(AD$222,Conversion_Rows,0),MATCH(EnergyCalcUnit,Conversion_Columns,0))-'Plant Inputs'!BC68</f>
        <v>0</v>
      </c>
      <c r="AE259" s="393">
        <f>AE258*INDEX(Conversion_Table,MATCH(AE$222,Conversion_Rows,0),MATCH(EnergyCalcUnit,Conversion_Columns,0))-'Plant Inputs'!DV68</f>
        <v>0</v>
      </c>
      <c r="AF259" s="393">
        <f t="shared" si="58"/>
        <v>0</v>
      </c>
      <c r="AI259" s="387"/>
      <c r="AM259" s="389"/>
      <c r="AN259" s="389"/>
    </row>
    <row r="260" spans="2:77" ht="16" thickBot="1">
      <c r="M260" s="3"/>
      <c r="AC260" s="384" t="s">
        <v>18</v>
      </c>
      <c r="AH260" s="380" t="str">
        <f>AC260</f>
        <v>Other</v>
      </c>
      <c r="AI260" s="387" t="str">
        <f>IF(SUMIF($AG223:$AG257,"&lt;"&amp;$AD$218,AF223:AF257)=0,"",SUMIF($AG223:$AG257,"&lt;"&amp;$AD$218,AF223:AF257))</f>
        <v/>
      </c>
      <c r="AJ260" s="380">
        <f>SUM(AJ223:AJ257)</f>
        <v>0</v>
      </c>
      <c r="AK260" s="380" t="str">
        <f>INDEX($AH$223:$AH$260,MATCH(AL260,$AI$223:$AI$260,0))</f>
        <v/>
      </c>
      <c r="AL260" s="380" t="str">
        <f>IFERROR(LARGE($AI$223:$AI$260,33),"")</f>
        <v/>
      </c>
      <c r="AM260" s="389"/>
      <c r="AN260" s="389"/>
      <c r="AR260" s="380" t="str">
        <f>$AC260</f>
        <v>Other</v>
      </c>
      <c r="AS260" s="387" t="str">
        <f>IF(SUMIF($AQ223:$AQ257,"&lt;"&amp;$AD$218,AP223:AP257)=0,"",SUMIF($AQ223:$AQ257,"&lt;"&amp;$AD$218,AP223:AP257))</f>
        <v/>
      </c>
      <c r="AT260" s="387">
        <f>SUM(AT223:AT257)</f>
        <v>0</v>
      </c>
      <c r="AU260" s="380" t="str">
        <f>INDEX($AR$223:$AR$260,MATCH(AV260,$AS$223:$AS$260,0))</f>
        <v/>
      </c>
      <c r="AV260" s="380" t="str">
        <f>IFERROR(LARGE($AS$223:$AS$260,33),"")</f>
        <v/>
      </c>
    </row>
    <row r="261" spans="2:77" s="11" customFormat="1" ht="19" thickBot="1">
      <c r="B261" s="259" t="s">
        <v>664</v>
      </c>
      <c r="C261" s="260"/>
      <c r="D261" s="260"/>
      <c r="E261" s="260"/>
      <c r="F261" s="260"/>
      <c r="G261" s="260"/>
      <c r="H261" s="260"/>
      <c r="I261" s="260"/>
      <c r="J261" s="260"/>
      <c r="K261" s="260"/>
      <c r="L261" s="261"/>
      <c r="M261" s="249"/>
      <c r="N261" s="262"/>
      <c r="O261" s="262"/>
      <c r="P261" s="262"/>
      <c r="Q261" s="262"/>
      <c r="R261" s="262"/>
      <c r="S261" s="262"/>
      <c r="T261" s="262"/>
      <c r="U261" s="262"/>
      <c r="V261" s="262"/>
      <c r="W261" s="262"/>
      <c r="X261" s="262"/>
      <c r="Y261" s="262"/>
      <c r="Z261" s="262"/>
      <c r="AA261" s="381"/>
      <c r="AB261" s="382"/>
      <c r="AC261" s="382"/>
      <c r="AD261" s="382"/>
      <c r="AE261" s="382"/>
      <c r="AF261" s="382"/>
      <c r="AG261" s="382"/>
      <c r="AH261" s="382"/>
      <c r="AI261" s="382"/>
      <c r="AJ261" s="382"/>
      <c r="AK261" s="382"/>
      <c r="AL261" s="382"/>
      <c r="AM261" s="382"/>
      <c r="AN261" s="382"/>
      <c r="AO261" s="382"/>
      <c r="AP261" s="382"/>
      <c r="AQ261" s="382"/>
      <c r="AR261" s="382"/>
      <c r="AS261" s="382"/>
      <c r="AT261" s="382"/>
      <c r="AU261" s="382"/>
      <c r="AV261" s="382"/>
      <c r="AW261" s="382"/>
      <c r="AX261" s="381"/>
      <c r="AY261" s="381"/>
      <c r="AZ261" s="381"/>
      <c r="BA261" s="381"/>
      <c r="BB261" s="381"/>
      <c r="BC261" s="381"/>
      <c r="BD261" s="381"/>
      <c r="BE261" s="381"/>
      <c r="BF261" s="381"/>
      <c r="BG261" s="383"/>
      <c r="BH261" s="383"/>
      <c r="BI261" s="383"/>
      <c r="BJ261" s="383"/>
      <c r="BK261" s="383"/>
      <c r="BL261" s="383"/>
      <c r="BM261" s="383"/>
      <c r="BN261" s="383"/>
      <c r="BO261" s="383"/>
      <c r="BP261" s="383"/>
      <c r="BQ261" s="383"/>
      <c r="BR261" s="383"/>
      <c r="BS261" s="383"/>
      <c r="BT261" s="383"/>
      <c r="BU261" s="383"/>
      <c r="BV261" s="383"/>
      <c r="BW261" s="383"/>
      <c r="BX261" s="383"/>
      <c r="BY261" s="383"/>
    </row>
    <row r="263" spans="2:77" hidden="1"/>
    <row r="264" spans="2:77" hidden="1"/>
    <row r="265" spans="2:77" hidden="1"/>
    <row r="266" spans="2:77" hidden="1"/>
    <row r="267" spans="2:77" hidden="1"/>
    <row r="268" spans="2:77" hidden="1"/>
    <row r="269" spans="2:77" hidden="1"/>
    <row r="270" spans="2:77" hidden="1"/>
    <row r="271" spans="2:77" hidden="1"/>
    <row r="272" spans="2:77"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2:77" hidden="1"/>
    <row r="290" spans="2:77" hidden="1"/>
    <row r="291" spans="2:77" hidden="1"/>
    <row r="292" spans="2:77" hidden="1"/>
    <row r="294" spans="2:77">
      <c r="D294" s="265"/>
      <c r="E294" s="266" t="s">
        <v>669</v>
      </c>
      <c r="F294" s="267"/>
      <c r="H294" s="485" t="s">
        <v>667</v>
      </c>
    </row>
    <row r="295" spans="2:77">
      <c r="C295" s="265"/>
      <c r="D295" s="268" t="str">
        <f>"Total ("&amp;WaterTotalDisplayUnit&amp;")"</f>
        <v>Total (kgal)</v>
      </c>
      <c r="E295" s="302" t="str">
        <f>WaterPerTonneDisplayUnit&amp;"/"&amp;'Plant Inputs'!$AS$22&amp;" precast"</f>
        <v>gallon/tonne precast</v>
      </c>
      <c r="F295" s="270" t="s">
        <v>67</v>
      </c>
      <c r="H295" s="249" t="str">
        <f>"Material Manufacturing &amp; Transportation Upstream Water Use 
("&amp;WaterPerTonneDisplayUnit&amp;"/"&amp;MassDisplayUnit&amp;" precast)"</f>
        <v>Material Manufacturing &amp; Transportation Upstream Water Use 
(gallon/short ton precast)</v>
      </c>
    </row>
    <row r="296" spans="2:77">
      <c r="C296" s="271" t="s">
        <v>582</v>
      </c>
      <c r="D296" s="377">
        <f>'Plant Inputs'!$AX$14*INDEX(Conversion_Table,MATCH(WaterCalcUnit,Conversion_Rows,0),MATCH(WaterTotalDisplayUnit,Conversion_Columns,0))</f>
        <v>0</v>
      </c>
      <c r="E296" s="303">
        <f>IF('Plant Inputs'!$AR$22=0,0,'Plant Inputs'!$AX$14*INDEX(Conversion_Table,MATCH(WaterCalcUnit,Conversion_Rows,0),MATCH(WaterPerTonneDisplayUnit,Conversion_Columns,0))/'Plant Inputs'!$AT$22)</f>
        <v>0</v>
      </c>
      <c r="F296" s="274">
        <f>IF($D$299=0,0,D296/$D$299)</f>
        <v>0</v>
      </c>
      <c r="H296" s="485" t="s">
        <v>668</v>
      </c>
    </row>
    <row r="297" spans="2:77">
      <c r="C297" s="271" t="s">
        <v>680</v>
      </c>
      <c r="D297" s="377">
        <f>'Plant Inputs'!$AX$16*INDEX(Conversion_Table,MATCH(WaterCalcUnit,Conversion_Rows,0),MATCH(WaterTotalDisplayUnit,Conversion_Columns,0))</f>
        <v>0</v>
      </c>
      <c r="E297" s="303">
        <f>IF('Plant Inputs'!$AR$22=0,0,'Plant Inputs'!$AX$16*INDEX(Conversion_Table,MATCH(WaterCalcUnit,Conversion_Rows,0),MATCH(WaterPerTonneDisplayUnit,Conversion_Columns,0))/'Plant Inputs'!$AT$22)</f>
        <v>0</v>
      </c>
      <c r="F297" s="274">
        <f>IF($D$299=0,0,D297/$D$299)</f>
        <v>0</v>
      </c>
      <c r="H297" s="249" t="str">
        <f>WaterPerTonneDisplayUnit&amp;"/"&amp;MassDisplayUnit</f>
        <v>gallon/short ton</v>
      </c>
    </row>
    <row r="298" spans="2:77">
      <c r="C298" s="271" t="s">
        <v>332</v>
      </c>
      <c r="D298" s="272">
        <f>'Plant Inputs'!$AX$10*INDEX(Conversion_Table,MATCH(WaterCalcUnit,Conversion_Rows,0),MATCH(WaterTotalDisplayUnit,Conversion_Columns,0))</f>
        <v>0</v>
      </c>
      <c r="E298" s="303">
        <f>IF('Plant Inputs'!$AR$22=0,0,'Plant Inputs'!$AX$10*INDEX(Conversion_Table,MATCH(WaterCalcUnit,Conversion_Rows,0),MATCH(WaterPerTonneDisplayUnit,Conversion_Columns,0))/'Plant Inputs'!$AT$22)</f>
        <v>0</v>
      </c>
      <c r="F298" s="274">
        <f>IF($D$299=0,0,D298/$D$299)</f>
        <v>0</v>
      </c>
    </row>
    <row r="299" spans="2:77">
      <c r="C299" s="275" t="s">
        <v>19</v>
      </c>
      <c r="D299" s="276">
        <f>SUM(D296:D298)</f>
        <v>0</v>
      </c>
      <c r="E299" s="298">
        <f>SUM(E295:E298)</f>
        <v>0</v>
      </c>
      <c r="F299" s="278">
        <f>SUM(F295:F298)</f>
        <v>0</v>
      </c>
    </row>
    <row r="301" spans="2:77" ht="14" thickBot="1"/>
    <row r="302" spans="2:77" s="11" customFormat="1" ht="19" thickBot="1">
      <c r="B302" s="259" t="s">
        <v>665</v>
      </c>
      <c r="C302" s="260"/>
      <c r="D302" s="260"/>
      <c r="E302" s="260"/>
      <c r="F302" s="260"/>
      <c r="G302" s="260"/>
      <c r="H302" s="260"/>
      <c r="I302" s="260"/>
      <c r="J302" s="260"/>
      <c r="K302" s="260"/>
      <c r="L302" s="261"/>
      <c r="M302" s="249"/>
      <c r="N302" s="262"/>
      <c r="O302" s="262"/>
      <c r="P302" s="262"/>
      <c r="Q302" s="262"/>
      <c r="R302" s="262"/>
      <c r="S302" s="262"/>
      <c r="T302" s="262"/>
      <c r="U302" s="262"/>
      <c r="V302" s="262"/>
      <c r="W302" s="262"/>
      <c r="X302" s="262"/>
      <c r="Y302" s="262"/>
      <c r="Z302" s="262"/>
      <c r="AA302" s="381"/>
      <c r="AB302" s="382"/>
      <c r="AC302" s="382"/>
      <c r="AD302" s="382"/>
      <c r="AE302" s="382"/>
      <c r="AF302" s="382"/>
      <c r="AG302" s="382"/>
      <c r="AH302" s="382"/>
      <c r="AI302" s="382"/>
      <c r="AJ302" s="382"/>
      <c r="AK302" s="382"/>
      <c r="AL302" s="382"/>
      <c r="AM302" s="382"/>
      <c r="AN302" s="382"/>
      <c r="AO302" s="382"/>
      <c r="AP302" s="382"/>
      <c r="AQ302" s="382"/>
      <c r="AR302" s="382"/>
      <c r="AS302" s="382"/>
      <c r="AT302" s="382"/>
      <c r="AU302" s="382"/>
      <c r="AV302" s="382"/>
      <c r="AW302" s="382"/>
      <c r="AX302" s="381"/>
      <c r="AY302" s="381"/>
      <c r="AZ302" s="381"/>
      <c r="BA302" s="381"/>
      <c r="BB302" s="381"/>
      <c r="BC302" s="381"/>
      <c r="BD302" s="381"/>
      <c r="BE302" s="381"/>
      <c r="BF302" s="381"/>
      <c r="BG302" s="383"/>
      <c r="BH302" s="383"/>
      <c r="BI302" s="383"/>
      <c r="BJ302" s="383"/>
      <c r="BK302" s="383"/>
      <c r="BL302" s="383"/>
      <c r="BM302" s="383"/>
      <c r="BN302" s="383"/>
      <c r="BO302" s="383"/>
      <c r="BP302" s="383"/>
      <c r="BQ302" s="383"/>
      <c r="BR302" s="383"/>
      <c r="BS302" s="383"/>
      <c r="BT302" s="383"/>
      <c r="BU302" s="383"/>
      <c r="BV302" s="383"/>
      <c r="BW302" s="383"/>
      <c r="BX302" s="383"/>
      <c r="BY302" s="383"/>
    </row>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spans="4:30" hidden="1"/>
    <row r="322" spans="4:30" hidden="1"/>
    <row r="323" spans="4:30" hidden="1"/>
    <row r="324" spans="4:30" hidden="1"/>
    <row r="325" spans="4:30" hidden="1"/>
    <row r="326" spans="4:30" hidden="1"/>
    <row r="327" spans="4:30" hidden="1"/>
    <row r="328" spans="4:30" hidden="1"/>
    <row r="329" spans="4:30" hidden="1"/>
    <row r="330" spans="4:30" hidden="1"/>
    <row r="331" spans="4:30" hidden="1"/>
    <row r="332" spans="4:30" hidden="1"/>
    <row r="333" spans="4:30" hidden="1"/>
    <row r="334" spans="4:30">
      <c r="H334" s="485" t="s">
        <v>667</v>
      </c>
    </row>
    <row r="335" spans="4:30">
      <c r="D335" s="279" t="s">
        <v>233</v>
      </c>
      <c r="H335" s="249" t="str">
        <f>"Material Manufacturing &amp; Transportation Upstream Water Use 
("&amp;WaterPerTonneDisplayUnit&amp;"/"&amp;MassDisplayUnit&amp;" precast)"</f>
        <v>Material Manufacturing &amp; Transportation Upstream Water Use 
(gallon/short ton precast)</v>
      </c>
    </row>
    <row r="336" spans="4:30">
      <c r="D336" s="280">
        <f>'Principal Summary'!D336</f>
        <v>0.01</v>
      </c>
      <c r="H336" s="485" t="s">
        <v>668</v>
      </c>
      <c r="AC336" s="384" t="s">
        <v>682</v>
      </c>
      <c r="AD336" s="385">
        <f>D336</f>
        <v>0.01</v>
      </c>
    </row>
    <row r="337" spans="3:54">
      <c r="H337" s="249" t="str">
        <f>WaterPerTonneDisplayUnit&amp;"/"&amp;MassDisplayUnit</f>
        <v>gallon/short ton</v>
      </c>
    </row>
    <row r="338" spans="3:54" ht="14.25" customHeight="1">
      <c r="AD338" s="724" t="s">
        <v>19</v>
      </c>
      <c r="AE338" s="724"/>
      <c r="AF338" s="724"/>
      <c r="AG338" s="724"/>
      <c r="AN338" s="724" t="str">
        <f>"Per " &amp;MassDisplayUnit</f>
        <v>Per short ton</v>
      </c>
      <c r="AO338" s="724"/>
      <c r="AP338" s="724"/>
      <c r="AQ338" s="724"/>
    </row>
    <row r="339" spans="3:54" ht="13.5" customHeight="1">
      <c r="D339" s="281"/>
      <c r="E339" s="282" t="str">
        <f>"Material Manuf. &amp; Transp. Upstream Water Use ("&amp;WaterTotalDisplayUnit&amp;")"</f>
        <v>Material Manuf. &amp; Transp. Upstream Water Use (kgal)</v>
      </c>
      <c r="F339" s="283"/>
      <c r="G339" s="301"/>
      <c r="H339" s="285" t="str">
        <f>"Material Manuf. &amp; Transp. Upstream Water Use ("&amp;WaterPerTonneDisplayUnit&amp;"/"&amp;MassDisplayUnit&amp;" precast)"</f>
        <v>Material Manuf. &amp; Transp. Upstream Water Use (gallon/short ton precast)</v>
      </c>
      <c r="I339" s="286"/>
      <c r="J339" s="287"/>
      <c r="K339" s="288" t="s">
        <v>67</v>
      </c>
      <c r="L339" s="289"/>
      <c r="AD339" s="380" t="s">
        <v>657</v>
      </c>
      <c r="AE339" s="380" t="s">
        <v>663</v>
      </c>
      <c r="AF339" s="380" t="s">
        <v>662</v>
      </c>
      <c r="AN339" s="380" t="s">
        <v>657</v>
      </c>
      <c r="AO339" s="380" t="s">
        <v>663</v>
      </c>
      <c r="AP339" s="380" t="s">
        <v>662</v>
      </c>
    </row>
    <row r="340" spans="3:54" ht="13.5" customHeight="1">
      <c r="C340" s="290" t="s">
        <v>5</v>
      </c>
      <c r="D340" s="291" t="s">
        <v>5</v>
      </c>
      <c r="E340" s="291" t="s">
        <v>38</v>
      </c>
      <c r="F340" s="291" t="s">
        <v>19</v>
      </c>
      <c r="G340" s="269" t="s">
        <v>5</v>
      </c>
      <c r="H340" s="269" t="s">
        <v>38</v>
      </c>
      <c r="I340" s="269" t="s">
        <v>19</v>
      </c>
      <c r="J340" s="270" t="s">
        <v>5</v>
      </c>
      <c r="K340" s="270" t="s">
        <v>38</v>
      </c>
      <c r="L340" s="270" t="s">
        <v>19</v>
      </c>
      <c r="AD340" s="380" t="str">
        <f>WaterTotalDisplayUnit</f>
        <v>kgal</v>
      </c>
      <c r="AE340" s="380" t="str">
        <f>WaterTotalDisplayUnit</f>
        <v>kgal</v>
      </c>
      <c r="AF340" s="380" t="str">
        <f>WaterTotalDisplayUnit</f>
        <v>kgal</v>
      </c>
      <c r="AG340" s="380" t="s">
        <v>153</v>
      </c>
      <c r="AH340" s="386"/>
      <c r="AI340" s="386"/>
      <c r="AK340" s="380" t="s">
        <v>659</v>
      </c>
      <c r="AL340" s="384"/>
      <c r="AN340" s="380" t="str">
        <f>WaterPerTonneDisplayUnit&amp;"/"&amp;MassDisplayUnit</f>
        <v>gallon/short ton</v>
      </c>
      <c r="AO340" s="380" t="str">
        <f>WaterPerTonneDisplayUnit&amp;"/"&amp;MassDisplayUnit</f>
        <v>gallon/short ton</v>
      </c>
      <c r="AP340" s="380" t="str">
        <f>WaterPerTonneDisplayUnit&amp;"/"&amp;MassDisplayUnit</f>
        <v>gallon/short ton</v>
      </c>
      <c r="AQ340" s="380" t="s">
        <v>153</v>
      </c>
      <c r="AS340" s="386"/>
      <c r="AU340" s="380" t="s">
        <v>660</v>
      </c>
      <c r="AV340" s="384"/>
    </row>
    <row r="341" spans="3:54" ht="15">
      <c r="C341" s="292" t="str">
        <f>'Plant Inputs'!D30</f>
        <v>Portland Cement</v>
      </c>
      <c r="D341" s="293">
        <f>AD341</f>
        <v>0</v>
      </c>
      <c r="E341" s="293">
        <f>AE341</f>
        <v>0</v>
      </c>
      <c r="F341" s="293">
        <f>AF341</f>
        <v>0</v>
      </c>
      <c r="G341" s="294">
        <f>AN341</f>
        <v>0</v>
      </c>
      <c r="H341" s="294">
        <f>AO341</f>
        <v>0</v>
      </c>
      <c r="I341" s="294">
        <f>AP341</f>
        <v>0</v>
      </c>
      <c r="J341" s="295">
        <f t="shared" ref="J341:J375" si="84">IF(D$376=0,0,D341/D$376)</f>
        <v>0</v>
      </c>
      <c r="K341" s="295">
        <f t="shared" ref="K341:K375" si="85">IF(E$376=0,0,E341/E$376)</f>
        <v>0</v>
      </c>
      <c r="L341" s="295">
        <f t="shared" ref="L341:L375" si="86">IF(F$376=0,0,F341/F$376)</f>
        <v>0</v>
      </c>
      <c r="AB341" s="380">
        <f>'Plant Inputs'!C30</f>
        <v>1</v>
      </c>
      <c r="AC341" s="384" t="str">
        <f>'Plant Inputs'!D30</f>
        <v>Portland Cement</v>
      </c>
      <c r="AD341" s="380">
        <f>IF('Plant Inputs'!$AR$22=0,0,'Plant Inputs'!$BI30*INDEX(Conversion_Table,MATCH(WaterCalcUnit,Conversion_Rows,0),MATCH(AD$340,Conversion_Columns,0)))</f>
        <v>0</v>
      </c>
      <c r="AE341" s="380">
        <f>IF('Plant Inputs'!$AR$22=0,0,'Plant Inputs'!$EB30*INDEX(Conversion_Table,MATCH(EnergyCalcUnit,Conversion_Rows,0),MATCH(AE$222,Conversion_Columns,0)))</f>
        <v>0</v>
      </c>
      <c r="AF341" s="387">
        <f>AE341+AD341</f>
        <v>0</v>
      </c>
      <c r="AG341" s="388">
        <f t="shared" ref="AG341:AG375" si="87">IF($AF$376=0,0,AF341/$AF$376)</f>
        <v>0</v>
      </c>
      <c r="AH341" s="380" t="str">
        <f>IF(AG341&gt;$AD$336,AC341,"")</f>
        <v/>
      </c>
      <c r="AI341" s="387" t="str">
        <f>IF(AG341&gt;=$AD$336,AF341-ROW()/1000000000000,"")</f>
        <v/>
      </c>
      <c r="AJ341" s="380">
        <f>IF(AG341&lt;$AD$336,AF341,"")</f>
        <v>0</v>
      </c>
      <c r="AK341" s="380" t="str">
        <f t="shared" ref="AK341:AK375" si="88">INDEX($AH$341:$AH$378,MATCH(AL341,$AI$341:$AI$378,0))</f>
        <v/>
      </c>
      <c r="AL341" s="387" t="str">
        <f t="shared" ref="AL341:AL375" si="89">IFERROR(LARGE($AI$341:$AI$378,$AB341),"")</f>
        <v/>
      </c>
      <c r="AM341" s="389"/>
      <c r="AN341" s="394">
        <f>IF('Plant Inputs'!$AR$22=0,0,'Plant Inputs'!$BI30*INDEX(Conversion_Table,MATCH(WaterCalcUnit,Conversion_Rows,0),MATCH(WaterPerTonneDisplayUnit,Conversion_Columns,0))/'Plant Inputs'!$AT$22)</f>
        <v>0</v>
      </c>
      <c r="AO341" s="394">
        <f>IF('Plant Inputs'!$AR$22=0,0,'Plant Inputs'!$EB30*INDEX(Conversion_Table,MATCH(WaterCalcUnit,Conversion_Rows,0),MATCH(WaterPerTonneDisplayUnit,Conversion_Columns,0))/'Plant Inputs'!$AT$22)</f>
        <v>0</v>
      </c>
      <c r="AP341" s="394">
        <f>AN341+AO341</f>
        <v>0</v>
      </c>
      <c r="AQ341" s="388">
        <f t="shared" ref="AQ341:AQ375" si="90">IF($AP$376=0,0,AP341/$AP$376)</f>
        <v>0</v>
      </c>
      <c r="AR341" s="380" t="str">
        <f>IF(AQ341&gt;$AD$336,$AC341,"")</f>
        <v/>
      </c>
      <c r="AS341" s="387" t="str">
        <f>IF(AQ341&gt;=$AD$336,AP341-ROW()/1000000000000,"")</f>
        <v/>
      </c>
      <c r="AT341" s="387">
        <f>IF(AQ341&lt;$AD$336,AP341,"")</f>
        <v>0</v>
      </c>
      <c r="AU341" s="380" t="str">
        <f t="shared" ref="AU341:AU375" si="91">INDEX($AR$341:$AR$378,MATCH(AV341,$AS$341:$AS$378,0))</f>
        <v/>
      </c>
      <c r="AV341" s="387" t="str">
        <f t="shared" ref="AV341:AV375" si="92">IFERROR(LARGE($AS$341:$AS$378,$AB341),"")</f>
        <v/>
      </c>
      <c r="AW341" s="389"/>
      <c r="AX341" s="391"/>
      <c r="AY341" s="391"/>
      <c r="AZ341" s="391"/>
      <c r="BA341" s="391"/>
      <c r="BB341" s="391"/>
    </row>
    <row r="342" spans="3:54" ht="15">
      <c r="C342" s="292" t="str">
        <f>'Plant Inputs'!D31</f>
        <v>Portland Limestone Cement (PLC)</v>
      </c>
      <c r="D342" s="293">
        <f t="shared" ref="D342:D375" si="93">AD342</f>
        <v>0</v>
      </c>
      <c r="E342" s="293">
        <f t="shared" ref="E342:E375" si="94">AE342</f>
        <v>0</v>
      </c>
      <c r="F342" s="293">
        <f t="shared" ref="F342:F375" si="95">AF342</f>
        <v>0</v>
      </c>
      <c r="G342" s="294">
        <f t="shared" ref="G342:G375" si="96">AN342</f>
        <v>0</v>
      </c>
      <c r="H342" s="294">
        <f t="shared" ref="H342:H375" si="97">AO342</f>
        <v>0</v>
      </c>
      <c r="I342" s="294">
        <f t="shared" ref="I342:I375" si="98">AP342</f>
        <v>0</v>
      </c>
      <c r="J342" s="295">
        <f t="shared" si="84"/>
        <v>0</v>
      </c>
      <c r="K342" s="295">
        <f t="shared" si="85"/>
        <v>0</v>
      </c>
      <c r="L342" s="295">
        <f t="shared" si="86"/>
        <v>0</v>
      </c>
      <c r="AB342" s="380">
        <f>'Plant Inputs'!C31</f>
        <v>2</v>
      </c>
      <c r="AC342" s="384" t="str">
        <f>'Plant Inputs'!D31</f>
        <v>Portland Limestone Cement (PLC)</v>
      </c>
      <c r="AD342" s="380">
        <f>IF('Plant Inputs'!$AR$22=0,0,'Plant Inputs'!$BI31*INDEX(Conversion_Table,MATCH(WaterCalcUnit,Conversion_Rows,0),MATCH(AD$340,Conversion_Columns,0)))</f>
        <v>0</v>
      </c>
      <c r="AE342" s="380">
        <f>IF('Plant Inputs'!$AR$22=0,0,'Plant Inputs'!$EB31*INDEX(Conversion_Table,MATCH(EnergyCalcUnit,Conversion_Rows,0),MATCH(AE$222,Conversion_Columns,0)))</f>
        <v>0</v>
      </c>
      <c r="AF342" s="387">
        <f t="shared" ref="AF342:AF375" si="99">AE342+AD342</f>
        <v>0</v>
      </c>
      <c r="AG342" s="388">
        <f t="shared" si="87"/>
        <v>0</v>
      </c>
      <c r="AH342" s="380" t="str">
        <f t="shared" ref="AH342:AH375" si="100">IF(AG342&gt;$AD$336,AC342,"")</f>
        <v/>
      </c>
      <c r="AI342" s="387" t="str">
        <f t="shared" ref="AI342:AI375" si="101">IF(AG342&gt;=$AD$336,AF342-ROW()/1000000000000,"")</f>
        <v/>
      </c>
      <c r="AJ342" s="380">
        <f t="shared" ref="AJ342:AJ375" si="102">IF(AG342&lt;$AD$336,AF342,"")</f>
        <v>0</v>
      </c>
      <c r="AK342" s="380" t="str">
        <f t="shared" si="88"/>
        <v/>
      </c>
      <c r="AL342" s="387" t="str">
        <f t="shared" si="89"/>
        <v/>
      </c>
      <c r="AM342" s="389"/>
      <c r="AN342" s="394">
        <f>IF('Plant Inputs'!$AR$22=0,0,'Plant Inputs'!$BI31*INDEX(Conversion_Table,MATCH(WaterCalcUnit,Conversion_Rows,0),MATCH(WaterPerTonneDisplayUnit,Conversion_Columns,0))/'Plant Inputs'!$AT$22)</f>
        <v>0</v>
      </c>
      <c r="AO342" s="394">
        <f>IF('Plant Inputs'!$AR$22=0,0,'Plant Inputs'!$EB31*INDEX(Conversion_Table,MATCH(WaterCalcUnit,Conversion_Rows,0),MATCH(WaterPerTonneDisplayUnit,Conversion_Columns,0))/'Plant Inputs'!$AT$22)</f>
        <v>0</v>
      </c>
      <c r="AP342" s="394">
        <f t="shared" ref="AP342:AP375" si="103">AN342+AO342</f>
        <v>0</v>
      </c>
      <c r="AQ342" s="388">
        <f t="shared" si="90"/>
        <v>0</v>
      </c>
      <c r="AR342" s="380" t="str">
        <f t="shared" ref="AR342:AR375" si="104">IF(AQ342&gt;$AD$336,$AC342,"")</f>
        <v/>
      </c>
      <c r="AS342" s="387" t="str">
        <f t="shared" ref="AS342:AS375" si="105">IF(AQ342&gt;=$AD$336,AP342-ROW()/1000000000000,"")</f>
        <v/>
      </c>
      <c r="AT342" s="387">
        <f t="shared" ref="AT342:AT375" si="106">IF(AQ342&lt;$AD$336,AP342,"")</f>
        <v>0</v>
      </c>
      <c r="AU342" s="380" t="str">
        <f t="shared" si="91"/>
        <v/>
      </c>
      <c r="AV342" s="387" t="str">
        <f t="shared" si="92"/>
        <v/>
      </c>
      <c r="AW342" s="389"/>
      <c r="AX342" s="391"/>
      <c r="AY342" s="391"/>
      <c r="AZ342" s="391"/>
      <c r="BA342" s="391"/>
      <c r="BB342" s="391"/>
    </row>
    <row r="343" spans="3:54" ht="15">
      <c r="C343" s="292" t="str">
        <f>'Plant Inputs'!D32</f>
        <v>Pre-Blended Cement</v>
      </c>
      <c r="D343" s="293">
        <f t="shared" ref="D343" si="107">AD343</f>
        <v>0</v>
      </c>
      <c r="E343" s="293">
        <f t="shared" ref="E343" si="108">AE343</f>
        <v>0</v>
      </c>
      <c r="F343" s="293">
        <f t="shared" ref="F343" si="109">AF343</f>
        <v>0</v>
      </c>
      <c r="G343" s="294">
        <f t="shared" ref="G343" si="110">AN343</f>
        <v>0</v>
      </c>
      <c r="H343" s="294">
        <f t="shared" ref="H343" si="111">AO343</f>
        <v>0</v>
      </c>
      <c r="I343" s="294">
        <f t="shared" ref="I343" si="112">AP343</f>
        <v>0</v>
      </c>
      <c r="J343" s="295">
        <f t="shared" si="84"/>
        <v>0</v>
      </c>
      <c r="K343" s="295">
        <f t="shared" si="85"/>
        <v>0</v>
      </c>
      <c r="L343" s="295">
        <f t="shared" si="86"/>
        <v>0</v>
      </c>
      <c r="AB343" s="380">
        <f>'Plant Inputs'!C32</f>
        <v>3</v>
      </c>
      <c r="AC343" s="384" t="str">
        <f>'Plant Inputs'!D32</f>
        <v>Pre-Blended Cement</v>
      </c>
      <c r="AD343" s="380">
        <f>IF('Plant Inputs'!$AR$22=0,0,'Plant Inputs'!$BI32*INDEX(Conversion_Table,MATCH(WaterCalcUnit,Conversion_Rows,0),MATCH(AD$340,Conversion_Columns,0)))</f>
        <v>0</v>
      </c>
      <c r="AE343" s="380">
        <f>IF('Plant Inputs'!$AR$22=0,0,'Plant Inputs'!$EB32*INDEX(Conversion_Table,MATCH(EnergyCalcUnit,Conversion_Rows,0),MATCH(AE$222,Conversion_Columns,0)))</f>
        <v>0</v>
      </c>
      <c r="AF343" s="387">
        <f t="shared" ref="AF343" si="113">AE343+AD343</f>
        <v>0</v>
      </c>
      <c r="AG343" s="388">
        <f t="shared" si="87"/>
        <v>0</v>
      </c>
      <c r="AH343" s="380" t="str">
        <f t="shared" ref="AH343" si="114">IF(AG343&gt;$AD$336,AC343,"")</f>
        <v/>
      </c>
      <c r="AI343" s="387" t="str">
        <f t="shared" ref="AI343" si="115">IF(AG343&gt;=$AD$336,AF343-ROW()/1000000000000,"")</f>
        <v/>
      </c>
      <c r="AJ343" s="380">
        <f t="shared" ref="AJ343" si="116">IF(AG343&lt;$AD$336,AF343,"")</f>
        <v>0</v>
      </c>
      <c r="AK343" s="380" t="str">
        <f t="shared" si="88"/>
        <v/>
      </c>
      <c r="AL343" s="387" t="str">
        <f t="shared" si="89"/>
        <v/>
      </c>
      <c r="AM343" s="389"/>
      <c r="AN343" s="394">
        <f>IF('Plant Inputs'!$AR$22=0,0,'Plant Inputs'!$BI32*INDEX(Conversion_Table,MATCH(WaterCalcUnit,Conversion_Rows,0),MATCH(WaterPerTonneDisplayUnit,Conversion_Columns,0))/'Plant Inputs'!$AT$22)</f>
        <v>0</v>
      </c>
      <c r="AO343" s="394">
        <f>IF('Plant Inputs'!$AR$22=0,0,'Plant Inputs'!$EB32*INDEX(Conversion_Table,MATCH(WaterCalcUnit,Conversion_Rows,0),MATCH(WaterPerTonneDisplayUnit,Conversion_Columns,0))/'Plant Inputs'!$AT$22)</f>
        <v>0</v>
      </c>
      <c r="AP343" s="394">
        <f t="shared" ref="AP343" si="117">AN343+AO343</f>
        <v>0</v>
      </c>
      <c r="AQ343" s="388">
        <f t="shared" si="90"/>
        <v>0</v>
      </c>
      <c r="AR343" s="380" t="str">
        <f t="shared" ref="AR343" si="118">IF(AQ343&gt;$AD$336,$AC343,"")</f>
        <v/>
      </c>
      <c r="AS343" s="387" t="str">
        <f t="shared" ref="AS343" si="119">IF(AQ343&gt;=$AD$336,AP343-ROW()/1000000000000,"")</f>
        <v/>
      </c>
      <c r="AT343" s="387">
        <f t="shared" ref="AT343" si="120">IF(AQ343&lt;$AD$336,AP343,"")</f>
        <v>0</v>
      </c>
      <c r="AU343" s="380" t="str">
        <f t="shared" si="91"/>
        <v/>
      </c>
      <c r="AV343" s="387" t="str">
        <f t="shared" si="92"/>
        <v/>
      </c>
      <c r="AW343" s="389"/>
      <c r="AX343" s="391"/>
      <c r="AY343" s="391"/>
      <c r="AZ343" s="391"/>
      <c r="BA343" s="391"/>
      <c r="BB343" s="391"/>
    </row>
    <row r="344" spans="3:54" ht="15">
      <c r="C344" s="292" t="str">
        <f>'Plant Inputs'!D33</f>
        <v>Fine Aggregate - natural sand</v>
      </c>
      <c r="D344" s="293">
        <f t="shared" si="93"/>
        <v>0</v>
      </c>
      <c r="E344" s="293">
        <f t="shared" si="94"/>
        <v>0</v>
      </c>
      <c r="F344" s="293">
        <f t="shared" si="95"/>
        <v>0</v>
      </c>
      <c r="G344" s="294">
        <f t="shared" si="96"/>
        <v>0</v>
      </c>
      <c r="H344" s="294">
        <f t="shared" si="97"/>
        <v>0</v>
      </c>
      <c r="I344" s="294">
        <f t="shared" si="98"/>
        <v>0</v>
      </c>
      <c r="J344" s="295">
        <f t="shared" si="84"/>
        <v>0</v>
      </c>
      <c r="K344" s="295">
        <f t="shared" si="85"/>
        <v>0</v>
      </c>
      <c r="L344" s="295">
        <f t="shared" si="86"/>
        <v>0</v>
      </c>
      <c r="AB344" s="380">
        <f>'Plant Inputs'!C33</f>
        <v>4</v>
      </c>
      <c r="AC344" s="384" t="str">
        <f>'Plant Inputs'!D33</f>
        <v>Fine Aggregate - natural sand</v>
      </c>
      <c r="AD344" s="380">
        <f>IF('Plant Inputs'!$AR$22=0,0,'Plant Inputs'!$BI32*INDEX(Conversion_Table,MATCH(WaterCalcUnit,Conversion_Rows,0),MATCH(AD$340,Conversion_Columns,0)))</f>
        <v>0</v>
      </c>
      <c r="AE344" s="380">
        <f>IF('Plant Inputs'!$AR$22=0,0,'Plant Inputs'!$EB32*INDEX(Conversion_Table,MATCH(EnergyCalcUnit,Conversion_Rows,0),MATCH(AE$222,Conversion_Columns,0)))</f>
        <v>0</v>
      </c>
      <c r="AF344" s="387">
        <f t="shared" si="99"/>
        <v>0</v>
      </c>
      <c r="AG344" s="388">
        <f t="shared" si="87"/>
        <v>0</v>
      </c>
      <c r="AH344" s="380" t="str">
        <f t="shared" si="100"/>
        <v/>
      </c>
      <c r="AI344" s="387" t="str">
        <f t="shared" si="101"/>
        <v/>
      </c>
      <c r="AJ344" s="380">
        <f t="shared" si="102"/>
        <v>0</v>
      </c>
      <c r="AK344" s="380" t="str">
        <f t="shared" si="88"/>
        <v/>
      </c>
      <c r="AL344" s="387" t="str">
        <f t="shared" si="89"/>
        <v/>
      </c>
      <c r="AM344" s="389"/>
      <c r="AN344" s="394">
        <f>IF('Plant Inputs'!$AR$22=0,0,'Plant Inputs'!$BI32*INDEX(Conversion_Table,MATCH(WaterCalcUnit,Conversion_Rows,0),MATCH(WaterPerTonneDisplayUnit,Conversion_Columns,0))/'Plant Inputs'!$AT$22)</f>
        <v>0</v>
      </c>
      <c r="AO344" s="394">
        <f>IF('Plant Inputs'!$AR$22=0,0,'Plant Inputs'!$EB32*INDEX(Conversion_Table,MATCH(WaterCalcUnit,Conversion_Rows,0),MATCH(WaterPerTonneDisplayUnit,Conversion_Columns,0))/'Plant Inputs'!$AT$22)</f>
        <v>0</v>
      </c>
      <c r="AP344" s="394">
        <f t="shared" si="103"/>
        <v>0</v>
      </c>
      <c r="AQ344" s="388">
        <f t="shared" si="90"/>
        <v>0</v>
      </c>
      <c r="AR344" s="380" t="str">
        <f t="shared" si="104"/>
        <v/>
      </c>
      <c r="AS344" s="387" t="str">
        <f t="shared" si="105"/>
        <v/>
      </c>
      <c r="AT344" s="387">
        <f t="shared" si="106"/>
        <v>0</v>
      </c>
      <c r="AU344" s="380" t="str">
        <f t="shared" si="91"/>
        <v/>
      </c>
      <c r="AV344" s="387" t="str">
        <f t="shared" si="92"/>
        <v/>
      </c>
      <c r="AW344" s="389"/>
      <c r="AX344" s="391"/>
      <c r="AY344" s="391"/>
      <c r="AZ344" s="391"/>
      <c r="BA344" s="391"/>
      <c r="BB344" s="391"/>
    </row>
    <row r="345" spans="3:54" ht="15">
      <c r="C345" s="292" t="str">
        <f>'Plant Inputs'!D34</f>
        <v>Fine Aggregate - manufactured</v>
      </c>
      <c r="D345" s="293">
        <f t="shared" si="93"/>
        <v>0</v>
      </c>
      <c r="E345" s="293">
        <f t="shared" si="94"/>
        <v>0</v>
      </c>
      <c r="F345" s="293">
        <f t="shared" si="95"/>
        <v>0</v>
      </c>
      <c r="G345" s="294">
        <f t="shared" si="96"/>
        <v>0</v>
      </c>
      <c r="H345" s="294">
        <f t="shared" si="97"/>
        <v>0</v>
      </c>
      <c r="I345" s="294">
        <f t="shared" si="98"/>
        <v>0</v>
      </c>
      <c r="J345" s="295">
        <f t="shared" si="84"/>
        <v>0</v>
      </c>
      <c r="K345" s="295">
        <f t="shared" si="85"/>
        <v>0</v>
      </c>
      <c r="L345" s="295">
        <f t="shared" si="86"/>
        <v>0</v>
      </c>
      <c r="AB345" s="380">
        <f>'Plant Inputs'!C34</f>
        <v>5</v>
      </c>
      <c r="AC345" s="384" t="str">
        <f>'Plant Inputs'!D34</f>
        <v>Fine Aggregate - manufactured</v>
      </c>
      <c r="AD345" s="380">
        <f>IF('Plant Inputs'!$AR$22=0,0,'Plant Inputs'!$BI33*INDEX(Conversion_Table,MATCH(WaterCalcUnit,Conversion_Rows,0),MATCH(AD$340,Conversion_Columns,0)))</f>
        <v>0</v>
      </c>
      <c r="AE345" s="380">
        <f>IF('Plant Inputs'!$AR$22=0,0,'Plant Inputs'!$EB33*INDEX(Conversion_Table,MATCH(EnergyCalcUnit,Conversion_Rows,0),MATCH(AE$222,Conversion_Columns,0)))</f>
        <v>0</v>
      </c>
      <c r="AF345" s="387">
        <f t="shared" si="99"/>
        <v>0</v>
      </c>
      <c r="AG345" s="388">
        <f t="shared" si="87"/>
        <v>0</v>
      </c>
      <c r="AH345" s="380" t="str">
        <f t="shared" si="100"/>
        <v/>
      </c>
      <c r="AI345" s="387" t="str">
        <f t="shared" si="101"/>
        <v/>
      </c>
      <c r="AJ345" s="380">
        <f t="shared" si="102"/>
        <v>0</v>
      </c>
      <c r="AK345" s="380" t="str">
        <f t="shared" si="88"/>
        <v/>
      </c>
      <c r="AL345" s="387" t="str">
        <f t="shared" si="89"/>
        <v/>
      </c>
      <c r="AM345" s="389"/>
      <c r="AN345" s="394">
        <f>IF('Plant Inputs'!$AR$22=0,0,'Plant Inputs'!$BI33*INDEX(Conversion_Table,MATCH(WaterCalcUnit,Conversion_Rows,0),MATCH(WaterPerTonneDisplayUnit,Conversion_Columns,0))/'Plant Inputs'!$AT$22)</f>
        <v>0</v>
      </c>
      <c r="AO345" s="394">
        <f>IF('Plant Inputs'!$AR$22=0,0,'Plant Inputs'!$EB33*INDEX(Conversion_Table,MATCH(WaterCalcUnit,Conversion_Rows,0),MATCH(WaterPerTonneDisplayUnit,Conversion_Columns,0))/'Plant Inputs'!$AT$22)</f>
        <v>0</v>
      </c>
      <c r="AP345" s="394">
        <f t="shared" si="103"/>
        <v>0</v>
      </c>
      <c r="AQ345" s="388">
        <f t="shared" si="90"/>
        <v>0</v>
      </c>
      <c r="AR345" s="380" t="str">
        <f t="shared" si="104"/>
        <v/>
      </c>
      <c r="AS345" s="387" t="str">
        <f t="shared" si="105"/>
        <v/>
      </c>
      <c r="AT345" s="387">
        <f t="shared" si="106"/>
        <v>0</v>
      </c>
      <c r="AU345" s="380" t="str">
        <f t="shared" si="91"/>
        <v/>
      </c>
      <c r="AV345" s="387" t="str">
        <f t="shared" si="92"/>
        <v/>
      </c>
      <c r="AW345" s="389"/>
      <c r="AX345" s="391"/>
      <c r="AY345" s="391"/>
      <c r="AZ345" s="391"/>
      <c r="BA345" s="391"/>
      <c r="BB345" s="391"/>
    </row>
    <row r="346" spans="3:54" ht="15">
      <c r="C346" s="292" t="str">
        <f>'Plant Inputs'!D35</f>
        <v>Coarse Aggregate - natural gravel</v>
      </c>
      <c r="D346" s="293">
        <f t="shared" si="93"/>
        <v>0</v>
      </c>
      <c r="E346" s="293">
        <f t="shared" si="94"/>
        <v>0</v>
      </c>
      <c r="F346" s="293">
        <f t="shared" si="95"/>
        <v>0</v>
      </c>
      <c r="G346" s="294">
        <f t="shared" si="96"/>
        <v>0</v>
      </c>
      <c r="H346" s="294">
        <f t="shared" si="97"/>
        <v>0</v>
      </c>
      <c r="I346" s="294">
        <f t="shared" si="98"/>
        <v>0</v>
      </c>
      <c r="J346" s="295">
        <f t="shared" si="84"/>
        <v>0</v>
      </c>
      <c r="K346" s="295">
        <f t="shared" si="85"/>
        <v>0</v>
      </c>
      <c r="L346" s="295">
        <f t="shared" si="86"/>
        <v>0</v>
      </c>
      <c r="AB346" s="380">
        <f>'Plant Inputs'!C35</f>
        <v>6</v>
      </c>
      <c r="AC346" s="384" t="str">
        <f>'Plant Inputs'!D35</f>
        <v>Coarse Aggregate - natural gravel</v>
      </c>
      <c r="AD346" s="380">
        <f>IF('Plant Inputs'!$AR$22=0,0,'Plant Inputs'!$BI34*INDEX(Conversion_Table,MATCH(WaterCalcUnit,Conversion_Rows,0),MATCH(AD$340,Conversion_Columns,0)))</f>
        <v>0</v>
      </c>
      <c r="AE346" s="380">
        <f>IF('Plant Inputs'!$AR$22=0,0,'Plant Inputs'!$EB34*INDEX(Conversion_Table,MATCH(EnergyCalcUnit,Conversion_Rows,0),MATCH(AE$222,Conversion_Columns,0)))</f>
        <v>0</v>
      </c>
      <c r="AF346" s="387">
        <f t="shared" si="99"/>
        <v>0</v>
      </c>
      <c r="AG346" s="388">
        <f t="shared" si="87"/>
        <v>0</v>
      </c>
      <c r="AH346" s="380" t="str">
        <f t="shared" si="100"/>
        <v/>
      </c>
      <c r="AI346" s="387" t="str">
        <f t="shared" si="101"/>
        <v/>
      </c>
      <c r="AJ346" s="380">
        <f t="shared" si="102"/>
        <v>0</v>
      </c>
      <c r="AK346" s="380" t="str">
        <f t="shared" si="88"/>
        <v/>
      </c>
      <c r="AL346" s="387" t="str">
        <f t="shared" si="89"/>
        <v/>
      </c>
      <c r="AM346" s="389"/>
      <c r="AN346" s="394">
        <f>IF('Plant Inputs'!$AR$22=0,0,'Plant Inputs'!$BI34*INDEX(Conversion_Table,MATCH(WaterCalcUnit,Conversion_Rows,0),MATCH(WaterPerTonneDisplayUnit,Conversion_Columns,0))/'Plant Inputs'!$AT$22)</f>
        <v>0</v>
      </c>
      <c r="AO346" s="394">
        <f>IF('Plant Inputs'!$AR$22=0,0,'Plant Inputs'!$EB34*INDEX(Conversion_Table,MATCH(WaterCalcUnit,Conversion_Rows,0),MATCH(WaterPerTonneDisplayUnit,Conversion_Columns,0))/'Plant Inputs'!$AT$22)</f>
        <v>0</v>
      </c>
      <c r="AP346" s="394">
        <f t="shared" si="103"/>
        <v>0</v>
      </c>
      <c r="AQ346" s="388">
        <f t="shared" si="90"/>
        <v>0</v>
      </c>
      <c r="AR346" s="380" t="str">
        <f t="shared" si="104"/>
        <v/>
      </c>
      <c r="AS346" s="387" t="str">
        <f t="shared" si="105"/>
        <v/>
      </c>
      <c r="AT346" s="387">
        <f t="shared" si="106"/>
        <v>0</v>
      </c>
      <c r="AU346" s="380" t="str">
        <f t="shared" si="91"/>
        <v/>
      </c>
      <c r="AV346" s="387" t="str">
        <f t="shared" si="92"/>
        <v/>
      </c>
      <c r="AW346" s="389"/>
      <c r="AX346" s="391"/>
      <c r="AY346" s="391"/>
      <c r="AZ346" s="391"/>
      <c r="BA346" s="391"/>
      <c r="BB346" s="391"/>
    </row>
    <row r="347" spans="3:54" ht="15">
      <c r="C347" s="292" t="str">
        <f>'Plant Inputs'!D36</f>
        <v>Coarse Aggregate - crushed</v>
      </c>
      <c r="D347" s="293">
        <f t="shared" si="93"/>
        <v>0</v>
      </c>
      <c r="E347" s="293">
        <f t="shared" si="94"/>
        <v>0</v>
      </c>
      <c r="F347" s="293">
        <f t="shared" si="95"/>
        <v>0</v>
      </c>
      <c r="G347" s="294">
        <f t="shared" si="96"/>
        <v>0</v>
      </c>
      <c r="H347" s="294">
        <f t="shared" si="97"/>
        <v>0</v>
      </c>
      <c r="I347" s="294">
        <f t="shared" si="98"/>
        <v>0</v>
      </c>
      <c r="J347" s="295">
        <f t="shared" si="84"/>
        <v>0</v>
      </c>
      <c r="K347" s="295">
        <f t="shared" si="85"/>
        <v>0</v>
      </c>
      <c r="L347" s="295">
        <f t="shared" si="86"/>
        <v>0</v>
      </c>
      <c r="AB347" s="380">
        <f>'Plant Inputs'!C36</f>
        <v>7</v>
      </c>
      <c r="AC347" s="384" t="str">
        <f>'Plant Inputs'!D36</f>
        <v>Coarse Aggregate - crushed</v>
      </c>
      <c r="AD347" s="380">
        <f>IF('Plant Inputs'!$AR$22=0,0,'Plant Inputs'!$BI35*INDEX(Conversion_Table,MATCH(WaterCalcUnit,Conversion_Rows,0),MATCH(AD$340,Conversion_Columns,0)))</f>
        <v>0</v>
      </c>
      <c r="AE347" s="380">
        <f>IF('Plant Inputs'!$AR$22=0,0,'Plant Inputs'!$EB35*INDEX(Conversion_Table,MATCH(EnergyCalcUnit,Conversion_Rows,0),MATCH(AE$222,Conversion_Columns,0)))</f>
        <v>0</v>
      </c>
      <c r="AF347" s="387">
        <f t="shared" si="99"/>
        <v>0</v>
      </c>
      <c r="AG347" s="388">
        <f t="shared" si="87"/>
        <v>0</v>
      </c>
      <c r="AH347" s="380" t="str">
        <f t="shared" si="100"/>
        <v/>
      </c>
      <c r="AI347" s="387" t="str">
        <f t="shared" si="101"/>
        <v/>
      </c>
      <c r="AJ347" s="380">
        <f t="shared" si="102"/>
        <v>0</v>
      </c>
      <c r="AK347" s="380" t="str">
        <f t="shared" si="88"/>
        <v/>
      </c>
      <c r="AL347" s="387" t="str">
        <f t="shared" si="89"/>
        <v/>
      </c>
      <c r="AM347" s="389"/>
      <c r="AN347" s="394">
        <f>IF('Plant Inputs'!$AR$22=0,0,'Plant Inputs'!$BI35*INDEX(Conversion_Table,MATCH(WaterCalcUnit,Conversion_Rows,0),MATCH(WaterPerTonneDisplayUnit,Conversion_Columns,0))/'Plant Inputs'!$AT$22)</f>
        <v>0</v>
      </c>
      <c r="AO347" s="394">
        <f>IF('Plant Inputs'!$AR$22=0,0,'Plant Inputs'!$EB35*INDEX(Conversion_Table,MATCH(WaterCalcUnit,Conversion_Rows,0),MATCH(WaterPerTonneDisplayUnit,Conversion_Columns,0))/'Plant Inputs'!$AT$22)</f>
        <v>0</v>
      </c>
      <c r="AP347" s="394">
        <f t="shared" si="103"/>
        <v>0</v>
      </c>
      <c r="AQ347" s="388">
        <f t="shared" si="90"/>
        <v>0</v>
      </c>
      <c r="AR347" s="380" t="str">
        <f t="shared" si="104"/>
        <v/>
      </c>
      <c r="AS347" s="387" t="str">
        <f t="shared" si="105"/>
        <v/>
      </c>
      <c r="AT347" s="387">
        <f t="shared" si="106"/>
        <v>0</v>
      </c>
      <c r="AU347" s="380" t="str">
        <f t="shared" si="91"/>
        <v/>
      </c>
      <c r="AV347" s="387" t="str">
        <f t="shared" si="92"/>
        <v/>
      </c>
      <c r="AW347" s="389"/>
      <c r="AX347" s="391"/>
      <c r="AY347" s="391"/>
      <c r="AZ347" s="391"/>
      <c r="BA347" s="391"/>
      <c r="BB347" s="391"/>
    </row>
    <row r="348" spans="3:54" ht="15">
      <c r="C348" s="292" t="str">
        <f>'Plant Inputs'!D37</f>
        <v>Manufactured Lightweight Aggregate</v>
      </c>
      <c r="D348" s="293">
        <f t="shared" si="93"/>
        <v>0</v>
      </c>
      <c r="E348" s="293">
        <f t="shared" si="94"/>
        <v>0</v>
      </c>
      <c r="F348" s="293">
        <f t="shared" si="95"/>
        <v>0</v>
      </c>
      <c r="G348" s="294">
        <f t="shared" si="96"/>
        <v>0</v>
      </c>
      <c r="H348" s="294">
        <f t="shared" si="97"/>
        <v>0</v>
      </c>
      <c r="I348" s="294">
        <f t="shared" si="98"/>
        <v>0</v>
      </c>
      <c r="J348" s="295">
        <f t="shared" si="84"/>
        <v>0</v>
      </c>
      <c r="K348" s="295">
        <f t="shared" si="85"/>
        <v>0</v>
      </c>
      <c r="L348" s="295">
        <f t="shared" si="86"/>
        <v>0</v>
      </c>
      <c r="AB348" s="380">
        <f>'Plant Inputs'!C37</f>
        <v>8</v>
      </c>
      <c r="AC348" s="384" t="str">
        <f>'Plant Inputs'!D37</f>
        <v>Manufactured Lightweight Aggregate</v>
      </c>
      <c r="AD348" s="380">
        <f>IF('Plant Inputs'!$AR$22=0,0,'Plant Inputs'!$BI36*INDEX(Conversion_Table,MATCH(WaterCalcUnit,Conversion_Rows,0),MATCH(AD$340,Conversion_Columns,0)))</f>
        <v>0</v>
      </c>
      <c r="AE348" s="380">
        <f>IF('Plant Inputs'!$AR$22=0,0,'Plant Inputs'!$EB36*INDEX(Conversion_Table,MATCH(EnergyCalcUnit,Conversion_Rows,0),MATCH(AE$222,Conversion_Columns,0)))</f>
        <v>0</v>
      </c>
      <c r="AF348" s="387">
        <f t="shared" si="99"/>
        <v>0</v>
      </c>
      <c r="AG348" s="388">
        <f t="shared" si="87"/>
        <v>0</v>
      </c>
      <c r="AH348" s="380" t="str">
        <f t="shared" si="100"/>
        <v/>
      </c>
      <c r="AI348" s="387" t="str">
        <f t="shared" si="101"/>
        <v/>
      </c>
      <c r="AJ348" s="380">
        <f t="shared" si="102"/>
        <v>0</v>
      </c>
      <c r="AK348" s="380" t="str">
        <f t="shared" si="88"/>
        <v/>
      </c>
      <c r="AL348" s="387" t="str">
        <f t="shared" si="89"/>
        <v/>
      </c>
      <c r="AM348" s="389"/>
      <c r="AN348" s="394">
        <f>IF('Plant Inputs'!$AR$22=0,0,'Plant Inputs'!$BI36*INDEX(Conversion_Table,MATCH(WaterCalcUnit,Conversion_Rows,0),MATCH(WaterPerTonneDisplayUnit,Conversion_Columns,0))/'Plant Inputs'!$AT$22)</f>
        <v>0</v>
      </c>
      <c r="AO348" s="394">
        <f>IF('Plant Inputs'!$AR$22=0,0,'Plant Inputs'!$EB36*INDEX(Conversion_Table,MATCH(WaterCalcUnit,Conversion_Rows,0),MATCH(WaterPerTonneDisplayUnit,Conversion_Columns,0))/'Plant Inputs'!$AT$22)</f>
        <v>0</v>
      </c>
      <c r="AP348" s="394">
        <f t="shared" si="103"/>
        <v>0</v>
      </c>
      <c r="AQ348" s="388">
        <f t="shared" si="90"/>
        <v>0</v>
      </c>
      <c r="AR348" s="380" t="str">
        <f t="shared" si="104"/>
        <v/>
      </c>
      <c r="AS348" s="387" t="str">
        <f t="shared" si="105"/>
        <v/>
      </c>
      <c r="AT348" s="387">
        <f t="shared" si="106"/>
        <v>0</v>
      </c>
      <c r="AU348" s="380" t="str">
        <f t="shared" si="91"/>
        <v/>
      </c>
      <c r="AV348" s="387" t="str">
        <f t="shared" si="92"/>
        <v/>
      </c>
      <c r="AW348" s="389"/>
      <c r="AX348" s="391"/>
      <c r="AY348" s="391"/>
      <c r="AZ348" s="391"/>
      <c r="BA348" s="391"/>
      <c r="BB348" s="391"/>
    </row>
    <row r="349" spans="3:54" ht="15">
      <c r="C349" s="292" t="str">
        <f>'Plant Inputs'!D38</f>
        <v>Natural Lightweight Aggregate</v>
      </c>
      <c r="D349" s="293">
        <f t="shared" si="93"/>
        <v>0</v>
      </c>
      <c r="E349" s="293">
        <f t="shared" si="94"/>
        <v>0</v>
      </c>
      <c r="F349" s="293">
        <f t="shared" si="95"/>
        <v>0</v>
      </c>
      <c r="G349" s="294">
        <f t="shared" si="96"/>
        <v>0</v>
      </c>
      <c r="H349" s="294">
        <f t="shared" si="97"/>
        <v>0</v>
      </c>
      <c r="I349" s="294">
        <f t="shared" si="98"/>
        <v>0</v>
      </c>
      <c r="J349" s="295">
        <f t="shared" si="84"/>
        <v>0</v>
      </c>
      <c r="K349" s="295">
        <f t="shared" si="85"/>
        <v>0</v>
      </c>
      <c r="L349" s="295">
        <f t="shared" si="86"/>
        <v>0</v>
      </c>
      <c r="AB349" s="380">
        <f>'Plant Inputs'!C38</f>
        <v>9</v>
      </c>
      <c r="AC349" s="384" t="str">
        <f>'Plant Inputs'!D38</f>
        <v>Natural Lightweight Aggregate</v>
      </c>
      <c r="AD349" s="380">
        <f>IF('Plant Inputs'!$AR$22=0,0,'Plant Inputs'!$BI37*INDEX(Conversion_Table,MATCH(WaterCalcUnit,Conversion_Rows,0),MATCH(AD$340,Conversion_Columns,0)))</f>
        <v>0</v>
      </c>
      <c r="AE349" s="380">
        <f>IF('Plant Inputs'!$AR$22=0,0,'Plant Inputs'!$EB37*INDEX(Conversion_Table,MATCH(EnergyCalcUnit,Conversion_Rows,0),MATCH(AE$222,Conversion_Columns,0)))</f>
        <v>0</v>
      </c>
      <c r="AF349" s="387">
        <f t="shared" si="99"/>
        <v>0</v>
      </c>
      <c r="AG349" s="388">
        <f t="shared" si="87"/>
        <v>0</v>
      </c>
      <c r="AH349" s="380" t="str">
        <f t="shared" si="100"/>
        <v/>
      </c>
      <c r="AI349" s="387" t="str">
        <f t="shared" si="101"/>
        <v/>
      </c>
      <c r="AJ349" s="380">
        <f t="shared" si="102"/>
        <v>0</v>
      </c>
      <c r="AK349" s="380" t="str">
        <f t="shared" si="88"/>
        <v/>
      </c>
      <c r="AL349" s="387" t="str">
        <f t="shared" si="89"/>
        <v/>
      </c>
      <c r="AM349" s="389"/>
      <c r="AN349" s="394">
        <f>IF('Plant Inputs'!$AR$22=0,0,'Plant Inputs'!$BI37*INDEX(Conversion_Table,MATCH(WaterCalcUnit,Conversion_Rows,0),MATCH(WaterPerTonneDisplayUnit,Conversion_Columns,0))/'Plant Inputs'!$AT$22)</f>
        <v>0</v>
      </c>
      <c r="AO349" s="394">
        <f>IF('Plant Inputs'!$AR$22=0,0,'Plant Inputs'!$EB37*INDEX(Conversion_Table,MATCH(WaterCalcUnit,Conversion_Rows,0),MATCH(WaterPerTonneDisplayUnit,Conversion_Columns,0))/'Plant Inputs'!$AT$22)</f>
        <v>0</v>
      </c>
      <c r="AP349" s="394">
        <f t="shared" si="103"/>
        <v>0</v>
      </c>
      <c r="AQ349" s="388">
        <f t="shared" si="90"/>
        <v>0</v>
      </c>
      <c r="AR349" s="380" t="str">
        <f t="shared" si="104"/>
        <v/>
      </c>
      <c r="AS349" s="387" t="str">
        <f t="shared" si="105"/>
        <v/>
      </c>
      <c r="AT349" s="387">
        <f t="shared" si="106"/>
        <v>0</v>
      </c>
      <c r="AU349" s="380" t="str">
        <f t="shared" si="91"/>
        <v/>
      </c>
      <c r="AV349" s="387" t="str">
        <f t="shared" si="92"/>
        <v/>
      </c>
      <c r="AW349" s="389"/>
      <c r="AX349" s="391"/>
      <c r="AY349" s="391"/>
      <c r="AZ349" s="391"/>
      <c r="BA349" s="391"/>
      <c r="BB349" s="391"/>
    </row>
    <row r="350" spans="3:54" ht="15">
      <c r="C350" s="292" t="str">
        <f>'Plant Inputs'!D39</f>
        <v>SCMs - Fly Ash</v>
      </c>
      <c r="D350" s="293">
        <f t="shared" si="93"/>
        <v>0</v>
      </c>
      <c r="E350" s="293">
        <f t="shared" si="94"/>
        <v>0</v>
      </c>
      <c r="F350" s="293">
        <f t="shared" si="95"/>
        <v>0</v>
      </c>
      <c r="G350" s="294">
        <f t="shared" si="96"/>
        <v>0</v>
      </c>
      <c r="H350" s="294">
        <f t="shared" si="97"/>
        <v>0</v>
      </c>
      <c r="I350" s="294">
        <f t="shared" si="98"/>
        <v>0</v>
      </c>
      <c r="J350" s="295">
        <f t="shared" si="84"/>
        <v>0</v>
      </c>
      <c r="K350" s="295">
        <f t="shared" si="85"/>
        <v>0</v>
      </c>
      <c r="L350" s="295">
        <f t="shared" si="86"/>
        <v>0</v>
      </c>
      <c r="AB350" s="380">
        <f>'Plant Inputs'!C39</f>
        <v>10</v>
      </c>
      <c r="AC350" s="384" t="str">
        <f>'Plant Inputs'!D39</f>
        <v>SCMs - Fly Ash</v>
      </c>
      <c r="AD350" s="380">
        <f>IF('Plant Inputs'!$AR$22=0,0,'Plant Inputs'!$BI38*INDEX(Conversion_Table,MATCH(WaterCalcUnit,Conversion_Rows,0),MATCH(AD$340,Conversion_Columns,0)))</f>
        <v>0</v>
      </c>
      <c r="AE350" s="380">
        <f>IF('Plant Inputs'!$AR$22=0,0,'Plant Inputs'!$EB38*INDEX(Conversion_Table,MATCH(EnergyCalcUnit,Conversion_Rows,0),MATCH(AE$222,Conversion_Columns,0)))</f>
        <v>0</v>
      </c>
      <c r="AF350" s="387">
        <f t="shared" si="99"/>
        <v>0</v>
      </c>
      <c r="AG350" s="388">
        <f t="shared" si="87"/>
        <v>0</v>
      </c>
      <c r="AH350" s="380" t="str">
        <f t="shared" si="100"/>
        <v/>
      </c>
      <c r="AI350" s="387" t="str">
        <f t="shared" si="101"/>
        <v/>
      </c>
      <c r="AJ350" s="380">
        <f t="shared" si="102"/>
        <v>0</v>
      </c>
      <c r="AK350" s="380" t="str">
        <f t="shared" si="88"/>
        <v/>
      </c>
      <c r="AL350" s="387" t="str">
        <f t="shared" si="89"/>
        <v/>
      </c>
      <c r="AM350" s="389"/>
      <c r="AN350" s="394">
        <f>IF('Plant Inputs'!$AR$22=0,0,'Plant Inputs'!$BI38*INDEX(Conversion_Table,MATCH(WaterCalcUnit,Conversion_Rows,0),MATCH(WaterPerTonneDisplayUnit,Conversion_Columns,0))/'Plant Inputs'!$AT$22)</f>
        <v>0</v>
      </c>
      <c r="AO350" s="394">
        <f>IF('Plant Inputs'!$AR$22=0,0,'Plant Inputs'!$EB38*INDEX(Conversion_Table,MATCH(WaterCalcUnit,Conversion_Rows,0),MATCH(WaterPerTonneDisplayUnit,Conversion_Columns,0))/'Plant Inputs'!$AT$22)</f>
        <v>0</v>
      </c>
      <c r="AP350" s="394">
        <f t="shared" si="103"/>
        <v>0</v>
      </c>
      <c r="AQ350" s="388">
        <f t="shared" si="90"/>
        <v>0</v>
      </c>
      <c r="AR350" s="380" t="str">
        <f t="shared" si="104"/>
        <v/>
      </c>
      <c r="AS350" s="387" t="str">
        <f t="shared" si="105"/>
        <v/>
      </c>
      <c r="AT350" s="387">
        <f t="shared" si="106"/>
        <v>0</v>
      </c>
      <c r="AU350" s="380" t="str">
        <f t="shared" si="91"/>
        <v/>
      </c>
      <c r="AV350" s="387" t="str">
        <f t="shared" si="92"/>
        <v/>
      </c>
      <c r="AW350" s="389"/>
      <c r="AX350" s="391"/>
      <c r="AY350" s="391"/>
      <c r="AZ350" s="391"/>
      <c r="BA350" s="391"/>
      <c r="BB350" s="391"/>
    </row>
    <row r="351" spans="3:54" ht="15">
      <c r="C351" s="292" t="str">
        <f>'Plant Inputs'!D40</f>
        <v>SCMs - Silica Fume</v>
      </c>
      <c r="D351" s="293">
        <f t="shared" si="93"/>
        <v>0</v>
      </c>
      <c r="E351" s="293">
        <f t="shared" si="94"/>
        <v>0</v>
      </c>
      <c r="F351" s="293">
        <f t="shared" si="95"/>
        <v>0</v>
      </c>
      <c r="G351" s="294">
        <f t="shared" si="96"/>
        <v>0</v>
      </c>
      <c r="H351" s="294">
        <f t="shared" si="97"/>
        <v>0</v>
      </c>
      <c r="I351" s="294">
        <f t="shared" si="98"/>
        <v>0</v>
      </c>
      <c r="J351" s="295">
        <f t="shared" si="84"/>
        <v>0</v>
      </c>
      <c r="K351" s="295">
        <f t="shared" si="85"/>
        <v>0</v>
      </c>
      <c r="L351" s="295">
        <f t="shared" si="86"/>
        <v>0</v>
      </c>
      <c r="AB351" s="380">
        <f>'Plant Inputs'!C40</f>
        <v>11</v>
      </c>
      <c r="AC351" s="384" t="str">
        <f>'Plant Inputs'!D40</f>
        <v>SCMs - Silica Fume</v>
      </c>
      <c r="AD351" s="380">
        <f>IF('Plant Inputs'!$AR$22=0,0,'Plant Inputs'!$BI39*INDEX(Conversion_Table,MATCH(WaterCalcUnit,Conversion_Rows,0),MATCH(AD$340,Conversion_Columns,0)))</f>
        <v>0</v>
      </c>
      <c r="AE351" s="380">
        <f>IF('Plant Inputs'!$AR$22=0,0,'Plant Inputs'!$EB39*INDEX(Conversion_Table,MATCH(EnergyCalcUnit,Conversion_Rows,0),MATCH(AE$222,Conversion_Columns,0)))</f>
        <v>0</v>
      </c>
      <c r="AF351" s="387">
        <f t="shared" si="99"/>
        <v>0</v>
      </c>
      <c r="AG351" s="388">
        <f t="shared" si="87"/>
        <v>0</v>
      </c>
      <c r="AH351" s="380" t="str">
        <f t="shared" si="100"/>
        <v/>
      </c>
      <c r="AI351" s="387" t="str">
        <f t="shared" si="101"/>
        <v/>
      </c>
      <c r="AJ351" s="380">
        <f t="shared" si="102"/>
        <v>0</v>
      </c>
      <c r="AK351" s="380" t="str">
        <f t="shared" si="88"/>
        <v/>
      </c>
      <c r="AL351" s="387" t="str">
        <f t="shared" si="89"/>
        <v/>
      </c>
      <c r="AM351" s="389"/>
      <c r="AN351" s="394">
        <f>IF('Plant Inputs'!$AR$22=0,0,'Plant Inputs'!$BI39*INDEX(Conversion_Table,MATCH(WaterCalcUnit,Conversion_Rows,0),MATCH(WaterPerTonneDisplayUnit,Conversion_Columns,0))/'Plant Inputs'!$AT$22)</f>
        <v>0</v>
      </c>
      <c r="AO351" s="394">
        <f>IF('Plant Inputs'!$AR$22=0,0,'Plant Inputs'!$EB39*INDEX(Conversion_Table,MATCH(WaterCalcUnit,Conversion_Rows,0),MATCH(WaterPerTonneDisplayUnit,Conversion_Columns,0))/'Plant Inputs'!$AT$22)</f>
        <v>0</v>
      </c>
      <c r="AP351" s="394">
        <f t="shared" si="103"/>
        <v>0</v>
      </c>
      <c r="AQ351" s="388">
        <f t="shared" si="90"/>
        <v>0</v>
      </c>
      <c r="AR351" s="380" t="str">
        <f t="shared" si="104"/>
        <v/>
      </c>
      <c r="AS351" s="387" t="str">
        <f t="shared" si="105"/>
        <v/>
      </c>
      <c r="AT351" s="387">
        <f t="shared" si="106"/>
        <v>0</v>
      </c>
      <c r="AU351" s="380" t="str">
        <f t="shared" si="91"/>
        <v/>
      </c>
      <c r="AV351" s="387" t="str">
        <f t="shared" si="92"/>
        <v/>
      </c>
      <c r="AW351" s="389"/>
      <c r="AX351" s="391"/>
      <c r="AY351" s="391"/>
      <c r="AZ351" s="391"/>
      <c r="BA351" s="391"/>
      <c r="BB351" s="391"/>
    </row>
    <row r="352" spans="3:54" ht="15">
      <c r="C352" s="292" t="str">
        <f>'Plant Inputs'!D41</f>
        <v>Slag Cement</v>
      </c>
      <c r="D352" s="293">
        <f t="shared" si="93"/>
        <v>0</v>
      </c>
      <c r="E352" s="293">
        <f t="shared" si="94"/>
        <v>0</v>
      </c>
      <c r="F352" s="293">
        <f t="shared" si="95"/>
        <v>0</v>
      </c>
      <c r="G352" s="294">
        <f t="shared" si="96"/>
        <v>0</v>
      </c>
      <c r="H352" s="294">
        <f t="shared" si="97"/>
        <v>0</v>
      </c>
      <c r="I352" s="294">
        <f t="shared" si="98"/>
        <v>0</v>
      </c>
      <c r="J352" s="295">
        <f t="shared" si="84"/>
        <v>0</v>
      </c>
      <c r="K352" s="295">
        <f t="shared" si="85"/>
        <v>0</v>
      </c>
      <c r="L352" s="295">
        <f t="shared" si="86"/>
        <v>0</v>
      </c>
      <c r="AB352" s="380">
        <f>'Plant Inputs'!C41</f>
        <v>12</v>
      </c>
      <c r="AC352" s="384" t="str">
        <f>'Plant Inputs'!D41</f>
        <v>Slag Cement</v>
      </c>
      <c r="AD352" s="380">
        <f>IF('Plant Inputs'!$AR$22=0,0,'Plant Inputs'!$BI40*INDEX(Conversion_Table,MATCH(WaterCalcUnit,Conversion_Rows,0),MATCH(AD$340,Conversion_Columns,0)))</f>
        <v>0</v>
      </c>
      <c r="AE352" s="380">
        <f>IF('Plant Inputs'!$AR$22=0,0,'Plant Inputs'!$EB40*INDEX(Conversion_Table,MATCH(EnergyCalcUnit,Conversion_Rows,0),MATCH(AE$222,Conversion_Columns,0)))</f>
        <v>0</v>
      </c>
      <c r="AF352" s="387">
        <f t="shared" si="99"/>
        <v>0</v>
      </c>
      <c r="AG352" s="388">
        <f t="shared" si="87"/>
        <v>0</v>
      </c>
      <c r="AH352" s="380" t="str">
        <f t="shared" si="100"/>
        <v/>
      </c>
      <c r="AI352" s="387" t="str">
        <f t="shared" si="101"/>
        <v/>
      </c>
      <c r="AJ352" s="380">
        <f t="shared" si="102"/>
        <v>0</v>
      </c>
      <c r="AK352" s="380" t="str">
        <f t="shared" si="88"/>
        <v/>
      </c>
      <c r="AL352" s="387" t="str">
        <f t="shared" si="89"/>
        <v/>
      </c>
      <c r="AM352" s="389"/>
      <c r="AN352" s="394">
        <f>IF('Plant Inputs'!$AR$22=0,0,'Plant Inputs'!$BI40*INDEX(Conversion_Table,MATCH(WaterCalcUnit,Conversion_Rows,0),MATCH(WaterPerTonneDisplayUnit,Conversion_Columns,0))/'Plant Inputs'!$AT$22)</f>
        <v>0</v>
      </c>
      <c r="AO352" s="394">
        <f>IF('Plant Inputs'!$AR$22=0,0,'Plant Inputs'!$EB40*INDEX(Conversion_Table,MATCH(WaterCalcUnit,Conversion_Rows,0),MATCH(WaterPerTonneDisplayUnit,Conversion_Columns,0))/'Plant Inputs'!$AT$22)</f>
        <v>0</v>
      </c>
      <c r="AP352" s="394">
        <f t="shared" si="103"/>
        <v>0</v>
      </c>
      <c r="AQ352" s="388">
        <f t="shared" si="90"/>
        <v>0</v>
      </c>
      <c r="AR352" s="380" t="str">
        <f t="shared" si="104"/>
        <v/>
      </c>
      <c r="AS352" s="387" t="str">
        <f t="shared" si="105"/>
        <v/>
      </c>
      <c r="AT352" s="387">
        <f t="shared" si="106"/>
        <v>0</v>
      </c>
      <c r="AU352" s="380" t="str">
        <f t="shared" si="91"/>
        <v/>
      </c>
      <c r="AV352" s="387" t="str">
        <f t="shared" si="92"/>
        <v/>
      </c>
      <c r="AW352" s="389"/>
      <c r="AX352" s="391"/>
      <c r="AY352" s="391"/>
      <c r="AZ352" s="391"/>
      <c r="BA352" s="391"/>
      <c r="BB352" s="391"/>
    </row>
    <row r="353" spans="3:54" ht="15">
      <c r="C353" s="292" t="str">
        <f>'Plant Inputs'!D42</f>
        <v>Chemical Admixture - Air Entraining Agent</v>
      </c>
      <c r="D353" s="293">
        <f t="shared" si="93"/>
        <v>0</v>
      </c>
      <c r="E353" s="293">
        <f t="shared" si="94"/>
        <v>0</v>
      </c>
      <c r="F353" s="293">
        <f t="shared" si="95"/>
        <v>0</v>
      </c>
      <c r="G353" s="294">
        <f t="shared" si="96"/>
        <v>0</v>
      </c>
      <c r="H353" s="294">
        <f t="shared" si="97"/>
        <v>0</v>
      </c>
      <c r="I353" s="294">
        <f t="shared" si="98"/>
        <v>0</v>
      </c>
      <c r="J353" s="295">
        <f t="shared" si="84"/>
        <v>0</v>
      </c>
      <c r="K353" s="295">
        <f t="shared" si="85"/>
        <v>0</v>
      </c>
      <c r="L353" s="295">
        <f t="shared" si="86"/>
        <v>0</v>
      </c>
      <c r="AB353" s="380">
        <f>'Plant Inputs'!C42</f>
        <v>13</v>
      </c>
      <c r="AC353" s="384" t="str">
        <f>'Plant Inputs'!D42</f>
        <v>Chemical Admixture - Air Entraining Agent</v>
      </c>
      <c r="AD353" s="380">
        <f>IF('Plant Inputs'!$AR$22=0,0,'Plant Inputs'!$BI41*INDEX(Conversion_Table,MATCH(WaterCalcUnit,Conversion_Rows,0),MATCH(AD$340,Conversion_Columns,0)))</f>
        <v>0</v>
      </c>
      <c r="AE353" s="380">
        <f>IF('Plant Inputs'!$AR$22=0,0,'Plant Inputs'!$EB41*INDEX(Conversion_Table,MATCH(EnergyCalcUnit,Conversion_Rows,0),MATCH(AE$222,Conversion_Columns,0)))</f>
        <v>0</v>
      </c>
      <c r="AF353" s="387">
        <f t="shared" si="99"/>
        <v>0</v>
      </c>
      <c r="AG353" s="388">
        <f t="shared" si="87"/>
        <v>0</v>
      </c>
      <c r="AH353" s="380" t="str">
        <f t="shared" si="100"/>
        <v/>
      </c>
      <c r="AI353" s="387" t="str">
        <f t="shared" si="101"/>
        <v/>
      </c>
      <c r="AJ353" s="380">
        <f t="shared" si="102"/>
        <v>0</v>
      </c>
      <c r="AK353" s="380" t="str">
        <f t="shared" si="88"/>
        <v/>
      </c>
      <c r="AL353" s="387" t="str">
        <f t="shared" si="89"/>
        <v/>
      </c>
      <c r="AM353" s="389"/>
      <c r="AN353" s="394">
        <f>IF('Plant Inputs'!$AR$22=0,0,'Plant Inputs'!$BI41*INDEX(Conversion_Table,MATCH(WaterCalcUnit,Conversion_Rows,0),MATCH(WaterPerTonneDisplayUnit,Conversion_Columns,0))/'Plant Inputs'!$AT$22)</f>
        <v>0</v>
      </c>
      <c r="AO353" s="394">
        <f>IF('Plant Inputs'!$AR$22=0,0,'Plant Inputs'!$EB41*INDEX(Conversion_Table,MATCH(WaterCalcUnit,Conversion_Rows,0),MATCH(WaterPerTonneDisplayUnit,Conversion_Columns,0))/'Plant Inputs'!$AT$22)</f>
        <v>0</v>
      </c>
      <c r="AP353" s="394">
        <f t="shared" si="103"/>
        <v>0</v>
      </c>
      <c r="AQ353" s="388">
        <f t="shared" si="90"/>
        <v>0</v>
      </c>
      <c r="AR353" s="380" t="str">
        <f t="shared" si="104"/>
        <v/>
      </c>
      <c r="AS353" s="387" t="str">
        <f t="shared" si="105"/>
        <v/>
      </c>
      <c r="AT353" s="387">
        <f t="shared" si="106"/>
        <v>0</v>
      </c>
      <c r="AU353" s="380" t="str">
        <f t="shared" si="91"/>
        <v/>
      </c>
      <c r="AV353" s="387" t="str">
        <f t="shared" si="92"/>
        <v/>
      </c>
      <c r="AW353" s="389"/>
      <c r="AX353" s="391"/>
      <c r="AY353" s="391"/>
      <c r="AZ353" s="391"/>
      <c r="BA353" s="391"/>
      <c r="BB353" s="391"/>
    </row>
    <row r="354" spans="3:54" ht="15">
      <c r="C354" s="292" t="str">
        <f>'Plant Inputs'!D43</f>
        <v>Chemical Admixture - Water Reducer/Plasticizer</v>
      </c>
      <c r="D354" s="293">
        <f t="shared" si="93"/>
        <v>0</v>
      </c>
      <c r="E354" s="293">
        <f t="shared" si="94"/>
        <v>0</v>
      </c>
      <c r="F354" s="293">
        <f t="shared" si="95"/>
        <v>0</v>
      </c>
      <c r="G354" s="294">
        <f t="shared" si="96"/>
        <v>0</v>
      </c>
      <c r="H354" s="294">
        <f t="shared" si="97"/>
        <v>0</v>
      </c>
      <c r="I354" s="294">
        <f t="shared" si="98"/>
        <v>0</v>
      </c>
      <c r="J354" s="295">
        <f t="shared" si="84"/>
        <v>0</v>
      </c>
      <c r="K354" s="295">
        <f t="shared" si="85"/>
        <v>0</v>
      </c>
      <c r="L354" s="295">
        <f t="shared" si="86"/>
        <v>0</v>
      </c>
      <c r="AB354" s="380">
        <f>'Plant Inputs'!C43</f>
        <v>14</v>
      </c>
      <c r="AC354" s="384" t="str">
        <f>'Plant Inputs'!D43</f>
        <v>Chemical Admixture - Water Reducer/Plasticizer</v>
      </c>
      <c r="AD354" s="380">
        <f>IF('Plant Inputs'!$AR$22=0,0,'Plant Inputs'!$BI42*INDEX(Conversion_Table,MATCH(WaterCalcUnit,Conversion_Rows,0),MATCH(AD$340,Conversion_Columns,0)))</f>
        <v>0</v>
      </c>
      <c r="AE354" s="380">
        <f>IF('Plant Inputs'!$AR$22=0,0,'Plant Inputs'!$EB42*INDEX(Conversion_Table,MATCH(EnergyCalcUnit,Conversion_Rows,0),MATCH(AE$222,Conversion_Columns,0)))</f>
        <v>0</v>
      </c>
      <c r="AF354" s="387">
        <f t="shared" si="99"/>
        <v>0</v>
      </c>
      <c r="AG354" s="388">
        <f t="shared" si="87"/>
        <v>0</v>
      </c>
      <c r="AH354" s="380" t="str">
        <f t="shared" si="100"/>
        <v/>
      </c>
      <c r="AI354" s="387" t="str">
        <f t="shared" si="101"/>
        <v/>
      </c>
      <c r="AJ354" s="380">
        <f t="shared" si="102"/>
        <v>0</v>
      </c>
      <c r="AK354" s="380" t="str">
        <f t="shared" si="88"/>
        <v/>
      </c>
      <c r="AL354" s="387" t="str">
        <f t="shared" si="89"/>
        <v/>
      </c>
      <c r="AM354" s="389"/>
      <c r="AN354" s="394">
        <f>IF('Plant Inputs'!$AR$22=0,0,'Plant Inputs'!$BI42*INDEX(Conversion_Table,MATCH(WaterCalcUnit,Conversion_Rows,0),MATCH(WaterPerTonneDisplayUnit,Conversion_Columns,0))/'Plant Inputs'!$AT$22)</f>
        <v>0</v>
      </c>
      <c r="AO354" s="394">
        <f>IF('Plant Inputs'!$AR$22=0,0,'Plant Inputs'!$EB42*INDEX(Conversion_Table,MATCH(WaterCalcUnit,Conversion_Rows,0),MATCH(WaterPerTonneDisplayUnit,Conversion_Columns,0))/'Plant Inputs'!$AT$22)</f>
        <v>0</v>
      </c>
      <c r="AP354" s="394">
        <f t="shared" si="103"/>
        <v>0</v>
      </c>
      <c r="AQ354" s="388">
        <f t="shared" si="90"/>
        <v>0</v>
      </c>
      <c r="AR354" s="380" t="str">
        <f t="shared" si="104"/>
        <v/>
      </c>
      <c r="AS354" s="387" t="str">
        <f t="shared" si="105"/>
        <v/>
      </c>
      <c r="AT354" s="387">
        <f t="shared" si="106"/>
        <v>0</v>
      </c>
      <c r="AU354" s="380" t="str">
        <f t="shared" si="91"/>
        <v/>
      </c>
      <c r="AV354" s="387" t="str">
        <f t="shared" si="92"/>
        <v/>
      </c>
      <c r="AW354" s="389"/>
      <c r="AX354" s="391"/>
      <c r="AY354" s="391"/>
      <c r="AZ354" s="391"/>
      <c r="BA354" s="391"/>
      <c r="BB354" s="391"/>
    </row>
    <row r="355" spans="3:54" ht="15">
      <c r="C355" s="292" t="str">
        <f>'Plant Inputs'!D44</f>
        <v>Chemical Admixture - Accelerator</v>
      </c>
      <c r="D355" s="293">
        <f t="shared" si="93"/>
        <v>0</v>
      </c>
      <c r="E355" s="293">
        <f t="shared" si="94"/>
        <v>0</v>
      </c>
      <c r="F355" s="293">
        <f t="shared" si="95"/>
        <v>0</v>
      </c>
      <c r="G355" s="294">
        <f t="shared" si="96"/>
        <v>0</v>
      </c>
      <c r="H355" s="294">
        <f t="shared" si="97"/>
        <v>0</v>
      </c>
      <c r="I355" s="294">
        <f t="shared" si="98"/>
        <v>0</v>
      </c>
      <c r="J355" s="295">
        <f t="shared" si="84"/>
        <v>0</v>
      </c>
      <c r="K355" s="295">
        <f t="shared" si="85"/>
        <v>0</v>
      </c>
      <c r="L355" s="295">
        <f t="shared" si="86"/>
        <v>0</v>
      </c>
      <c r="AB355" s="380">
        <f>'Plant Inputs'!C44</f>
        <v>15</v>
      </c>
      <c r="AC355" s="384" t="str">
        <f>'Plant Inputs'!D44</f>
        <v>Chemical Admixture - Accelerator</v>
      </c>
      <c r="AD355" s="380">
        <f>IF('Plant Inputs'!$AR$22=0,0,'Plant Inputs'!$BI43*INDEX(Conversion_Table,MATCH(WaterCalcUnit,Conversion_Rows,0),MATCH(AD$340,Conversion_Columns,0)))</f>
        <v>0</v>
      </c>
      <c r="AE355" s="380">
        <f>IF('Plant Inputs'!$AR$22=0,0,'Plant Inputs'!$EB43*INDEX(Conversion_Table,MATCH(EnergyCalcUnit,Conversion_Rows,0),MATCH(AE$222,Conversion_Columns,0)))</f>
        <v>0</v>
      </c>
      <c r="AF355" s="387">
        <f t="shared" si="99"/>
        <v>0</v>
      </c>
      <c r="AG355" s="388">
        <f t="shared" si="87"/>
        <v>0</v>
      </c>
      <c r="AH355" s="380" t="str">
        <f t="shared" si="100"/>
        <v/>
      </c>
      <c r="AI355" s="387" t="str">
        <f t="shared" si="101"/>
        <v/>
      </c>
      <c r="AJ355" s="380">
        <f t="shared" si="102"/>
        <v>0</v>
      </c>
      <c r="AK355" s="380" t="str">
        <f t="shared" si="88"/>
        <v/>
      </c>
      <c r="AL355" s="387" t="str">
        <f t="shared" si="89"/>
        <v/>
      </c>
      <c r="AM355" s="389"/>
      <c r="AN355" s="394">
        <f>IF('Plant Inputs'!$AR$22=0,0,'Plant Inputs'!$BI43*INDEX(Conversion_Table,MATCH(WaterCalcUnit,Conversion_Rows,0),MATCH(WaterPerTonneDisplayUnit,Conversion_Columns,0))/'Plant Inputs'!$AT$22)</f>
        <v>0</v>
      </c>
      <c r="AO355" s="394">
        <f>IF('Plant Inputs'!$AR$22=0,0,'Plant Inputs'!$EB43*INDEX(Conversion_Table,MATCH(WaterCalcUnit,Conversion_Rows,0),MATCH(WaterPerTonneDisplayUnit,Conversion_Columns,0))/'Plant Inputs'!$AT$22)</f>
        <v>0</v>
      </c>
      <c r="AP355" s="394">
        <f t="shared" si="103"/>
        <v>0</v>
      </c>
      <c r="AQ355" s="388">
        <f t="shared" si="90"/>
        <v>0</v>
      </c>
      <c r="AR355" s="380" t="str">
        <f t="shared" si="104"/>
        <v/>
      </c>
      <c r="AS355" s="387" t="str">
        <f t="shared" si="105"/>
        <v/>
      </c>
      <c r="AT355" s="387">
        <f t="shared" si="106"/>
        <v>0</v>
      </c>
      <c r="AU355" s="380" t="str">
        <f t="shared" si="91"/>
        <v/>
      </c>
      <c r="AV355" s="387" t="str">
        <f t="shared" si="92"/>
        <v/>
      </c>
      <c r="AW355" s="389"/>
      <c r="AX355" s="391"/>
      <c r="AY355" s="391"/>
      <c r="AZ355" s="391"/>
      <c r="BA355" s="391"/>
      <c r="BB355" s="391"/>
    </row>
    <row r="356" spans="3:54" ht="15">
      <c r="C356" s="292" t="str">
        <f>'Plant Inputs'!D45</f>
        <v>Chemical Admixture - High Range Water Reducer (HRWR)/Super Plasticizer</v>
      </c>
      <c r="D356" s="293">
        <f t="shared" si="93"/>
        <v>0</v>
      </c>
      <c r="E356" s="293">
        <f t="shared" si="94"/>
        <v>0</v>
      </c>
      <c r="F356" s="293">
        <f t="shared" si="95"/>
        <v>0</v>
      </c>
      <c r="G356" s="294">
        <f t="shared" si="96"/>
        <v>0</v>
      </c>
      <c r="H356" s="294">
        <f t="shared" si="97"/>
        <v>0</v>
      </c>
      <c r="I356" s="294">
        <f t="shared" si="98"/>
        <v>0</v>
      </c>
      <c r="J356" s="295">
        <f t="shared" si="84"/>
        <v>0</v>
      </c>
      <c r="K356" s="295">
        <f t="shared" si="85"/>
        <v>0</v>
      </c>
      <c r="L356" s="295">
        <f t="shared" si="86"/>
        <v>0</v>
      </c>
      <c r="AB356" s="380">
        <f>'Plant Inputs'!C45</f>
        <v>16</v>
      </c>
      <c r="AC356" s="384" t="str">
        <f>'Plant Inputs'!D45</f>
        <v>Chemical Admixture - High Range Water Reducer (HRWR)/Super Plasticizer</v>
      </c>
      <c r="AD356" s="380">
        <f>IF('Plant Inputs'!$AR$22=0,0,'Plant Inputs'!$BI44*INDEX(Conversion_Table,MATCH(WaterCalcUnit,Conversion_Rows,0),MATCH(AD$340,Conversion_Columns,0)))</f>
        <v>0</v>
      </c>
      <c r="AE356" s="380">
        <f>IF('Plant Inputs'!$AR$22=0,0,'Plant Inputs'!$EB44*INDEX(Conversion_Table,MATCH(EnergyCalcUnit,Conversion_Rows,0),MATCH(AE$222,Conversion_Columns,0)))</f>
        <v>0</v>
      </c>
      <c r="AF356" s="387">
        <f t="shared" si="99"/>
        <v>0</v>
      </c>
      <c r="AG356" s="388">
        <f t="shared" si="87"/>
        <v>0</v>
      </c>
      <c r="AH356" s="380" t="str">
        <f t="shared" si="100"/>
        <v/>
      </c>
      <c r="AI356" s="387" t="str">
        <f t="shared" si="101"/>
        <v/>
      </c>
      <c r="AJ356" s="380">
        <f t="shared" si="102"/>
        <v>0</v>
      </c>
      <c r="AK356" s="380" t="str">
        <f t="shared" si="88"/>
        <v/>
      </c>
      <c r="AL356" s="387" t="str">
        <f t="shared" si="89"/>
        <v/>
      </c>
      <c r="AM356" s="389"/>
      <c r="AN356" s="394">
        <f>IF('Plant Inputs'!$AR$22=0,0,'Plant Inputs'!$BI44*INDEX(Conversion_Table,MATCH(WaterCalcUnit,Conversion_Rows,0),MATCH(WaterPerTonneDisplayUnit,Conversion_Columns,0))/'Plant Inputs'!$AT$22)</f>
        <v>0</v>
      </c>
      <c r="AO356" s="394">
        <f>IF('Plant Inputs'!$AR$22=0,0,'Plant Inputs'!$EB44*INDEX(Conversion_Table,MATCH(WaterCalcUnit,Conversion_Rows,0),MATCH(WaterPerTonneDisplayUnit,Conversion_Columns,0))/'Plant Inputs'!$AT$22)</f>
        <v>0</v>
      </c>
      <c r="AP356" s="394">
        <f t="shared" si="103"/>
        <v>0</v>
      </c>
      <c r="AQ356" s="388">
        <f t="shared" si="90"/>
        <v>0</v>
      </c>
      <c r="AR356" s="380" t="str">
        <f t="shared" si="104"/>
        <v/>
      </c>
      <c r="AS356" s="387" t="str">
        <f t="shared" si="105"/>
        <v/>
      </c>
      <c r="AT356" s="387">
        <f t="shared" si="106"/>
        <v>0</v>
      </c>
      <c r="AU356" s="380" t="str">
        <f t="shared" si="91"/>
        <v/>
      </c>
      <c r="AV356" s="387" t="str">
        <f t="shared" si="92"/>
        <v/>
      </c>
      <c r="AW356" s="389"/>
      <c r="AX356" s="391"/>
      <c r="AY356" s="391"/>
      <c r="AZ356" s="391"/>
      <c r="BA356" s="391"/>
      <c r="BB356" s="391"/>
    </row>
    <row r="357" spans="3:54" ht="15">
      <c r="C357" s="292" t="str">
        <f>'Plant Inputs'!D46</f>
        <v>Chemical Admixture - Corrosion Inhibiting</v>
      </c>
      <c r="D357" s="293">
        <f t="shared" si="93"/>
        <v>0</v>
      </c>
      <c r="E357" s="293">
        <f t="shared" si="94"/>
        <v>0</v>
      </c>
      <c r="F357" s="293">
        <f t="shared" si="95"/>
        <v>0</v>
      </c>
      <c r="G357" s="294">
        <f t="shared" si="96"/>
        <v>0</v>
      </c>
      <c r="H357" s="294">
        <f t="shared" si="97"/>
        <v>0</v>
      </c>
      <c r="I357" s="294">
        <f t="shared" si="98"/>
        <v>0</v>
      </c>
      <c r="J357" s="295">
        <f t="shared" si="84"/>
        <v>0</v>
      </c>
      <c r="K357" s="295">
        <f t="shared" si="85"/>
        <v>0</v>
      </c>
      <c r="L357" s="295">
        <f t="shared" si="86"/>
        <v>0</v>
      </c>
      <c r="AB357" s="380">
        <f>'Plant Inputs'!C46</f>
        <v>17</v>
      </c>
      <c r="AC357" s="384" t="str">
        <f>'Plant Inputs'!D46</f>
        <v>Chemical Admixture - Corrosion Inhibiting</v>
      </c>
      <c r="AD357" s="380">
        <f>IF('Plant Inputs'!$AR$22=0,0,'Plant Inputs'!$BI45*INDEX(Conversion_Table,MATCH(WaterCalcUnit,Conversion_Rows,0),MATCH(AD$340,Conversion_Columns,0)))</f>
        <v>0</v>
      </c>
      <c r="AE357" s="380">
        <f>IF('Plant Inputs'!$AR$22=0,0,'Plant Inputs'!$EB45*INDEX(Conversion_Table,MATCH(EnergyCalcUnit,Conversion_Rows,0),MATCH(AE$222,Conversion_Columns,0)))</f>
        <v>0</v>
      </c>
      <c r="AF357" s="387">
        <f t="shared" si="99"/>
        <v>0</v>
      </c>
      <c r="AG357" s="388">
        <f t="shared" si="87"/>
        <v>0</v>
      </c>
      <c r="AH357" s="380" t="str">
        <f t="shared" si="100"/>
        <v/>
      </c>
      <c r="AI357" s="387" t="str">
        <f t="shared" si="101"/>
        <v/>
      </c>
      <c r="AJ357" s="380">
        <f t="shared" si="102"/>
        <v>0</v>
      </c>
      <c r="AK357" s="380" t="str">
        <f t="shared" si="88"/>
        <v/>
      </c>
      <c r="AL357" s="387" t="str">
        <f t="shared" si="89"/>
        <v/>
      </c>
      <c r="AM357" s="389"/>
      <c r="AN357" s="394">
        <f>IF('Plant Inputs'!$AR$22=0,0,'Plant Inputs'!$BI45*INDEX(Conversion_Table,MATCH(WaterCalcUnit,Conversion_Rows,0),MATCH(WaterPerTonneDisplayUnit,Conversion_Columns,0))/'Plant Inputs'!$AT$22)</f>
        <v>0</v>
      </c>
      <c r="AO357" s="394">
        <f>IF('Plant Inputs'!$AR$22=0,0,'Plant Inputs'!$EB45*INDEX(Conversion_Table,MATCH(WaterCalcUnit,Conversion_Rows,0),MATCH(WaterPerTonneDisplayUnit,Conversion_Columns,0))/'Plant Inputs'!$AT$22)</f>
        <v>0</v>
      </c>
      <c r="AP357" s="394">
        <f t="shared" si="103"/>
        <v>0</v>
      </c>
      <c r="AQ357" s="388">
        <f t="shared" si="90"/>
        <v>0</v>
      </c>
      <c r="AR357" s="380" t="str">
        <f t="shared" si="104"/>
        <v/>
      </c>
      <c r="AS357" s="387" t="str">
        <f t="shared" si="105"/>
        <v/>
      </c>
      <c r="AT357" s="387">
        <f t="shared" si="106"/>
        <v>0</v>
      </c>
      <c r="AU357" s="380" t="str">
        <f t="shared" si="91"/>
        <v/>
      </c>
      <c r="AV357" s="387" t="str">
        <f t="shared" si="92"/>
        <v/>
      </c>
      <c r="AW357" s="389"/>
      <c r="AX357" s="391"/>
      <c r="AY357" s="391"/>
      <c r="AZ357" s="391"/>
      <c r="BA357" s="391"/>
      <c r="BB357" s="391"/>
    </row>
    <row r="358" spans="3:54" ht="15">
      <c r="C358" s="292" t="str">
        <f>'Plant Inputs'!D47</f>
        <v>Chemical Admixture - Viscosity Modifying Admixture (VMA)</v>
      </c>
      <c r="D358" s="293">
        <f t="shared" si="93"/>
        <v>0</v>
      </c>
      <c r="E358" s="293">
        <f t="shared" si="94"/>
        <v>0</v>
      </c>
      <c r="F358" s="293">
        <f t="shared" si="95"/>
        <v>0</v>
      </c>
      <c r="G358" s="294">
        <f t="shared" si="96"/>
        <v>0</v>
      </c>
      <c r="H358" s="294">
        <f t="shared" si="97"/>
        <v>0</v>
      </c>
      <c r="I358" s="294">
        <f t="shared" si="98"/>
        <v>0</v>
      </c>
      <c r="J358" s="295">
        <f t="shared" si="84"/>
        <v>0</v>
      </c>
      <c r="K358" s="295">
        <f t="shared" si="85"/>
        <v>0</v>
      </c>
      <c r="L358" s="295">
        <f t="shared" si="86"/>
        <v>0</v>
      </c>
      <c r="AB358" s="380">
        <f>'Plant Inputs'!C47</f>
        <v>18</v>
      </c>
      <c r="AC358" s="384" t="str">
        <f>'Plant Inputs'!D47</f>
        <v>Chemical Admixture - Viscosity Modifying Admixture (VMA)</v>
      </c>
      <c r="AD358" s="380">
        <f>IF('Plant Inputs'!$AR$22=0,0,'Plant Inputs'!$BI46*INDEX(Conversion_Table,MATCH(WaterCalcUnit,Conversion_Rows,0),MATCH(AD$340,Conversion_Columns,0)))</f>
        <v>0</v>
      </c>
      <c r="AE358" s="380">
        <f>IF('Plant Inputs'!$AR$22=0,0,'Plant Inputs'!$EB46*INDEX(Conversion_Table,MATCH(EnergyCalcUnit,Conversion_Rows,0),MATCH(AE$222,Conversion_Columns,0)))</f>
        <v>0</v>
      </c>
      <c r="AF358" s="387">
        <f t="shared" si="99"/>
        <v>0</v>
      </c>
      <c r="AG358" s="388">
        <f t="shared" si="87"/>
        <v>0</v>
      </c>
      <c r="AH358" s="380" t="str">
        <f t="shared" si="100"/>
        <v/>
      </c>
      <c r="AI358" s="387" t="str">
        <f t="shared" si="101"/>
        <v/>
      </c>
      <c r="AJ358" s="380">
        <f t="shared" si="102"/>
        <v>0</v>
      </c>
      <c r="AK358" s="380" t="str">
        <f t="shared" si="88"/>
        <v/>
      </c>
      <c r="AL358" s="387" t="str">
        <f t="shared" si="89"/>
        <v/>
      </c>
      <c r="AM358" s="389"/>
      <c r="AN358" s="394">
        <f>IF('Plant Inputs'!$AR$22=0,0,'Plant Inputs'!$BI46*INDEX(Conversion_Table,MATCH(WaterCalcUnit,Conversion_Rows,0),MATCH(WaterPerTonneDisplayUnit,Conversion_Columns,0))/'Plant Inputs'!$AT$22)</f>
        <v>0</v>
      </c>
      <c r="AO358" s="394">
        <f>IF('Plant Inputs'!$AR$22=0,0,'Plant Inputs'!$EB46*INDEX(Conversion_Table,MATCH(WaterCalcUnit,Conversion_Rows,0),MATCH(WaterPerTonneDisplayUnit,Conversion_Columns,0))/'Plant Inputs'!$AT$22)</f>
        <v>0</v>
      </c>
      <c r="AP358" s="394">
        <f t="shared" si="103"/>
        <v>0</v>
      </c>
      <c r="AQ358" s="388">
        <f t="shared" si="90"/>
        <v>0</v>
      </c>
      <c r="AR358" s="380" t="str">
        <f t="shared" si="104"/>
        <v/>
      </c>
      <c r="AS358" s="387" t="str">
        <f t="shared" si="105"/>
        <v/>
      </c>
      <c r="AT358" s="387">
        <f t="shared" si="106"/>
        <v>0</v>
      </c>
      <c r="AU358" s="380" t="str">
        <f t="shared" si="91"/>
        <v/>
      </c>
      <c r="AV358" s="387" t="str">
        <f t="shared" si="92"/>
        <v/>
      </c>
      <c r="AW358" s="389"/>
      <c r="AX358" s="391"/>
      <c r="AY358" s="391"/>
      <c r="AZ358" s="391"/>
      <c r="BA358" s="391"/>
      <c r="BB358" s="391"/>
    </row>
    <row r="359" spans="3:54" ht="15">
      <c r="C359" s="292" t="str">
        <f>'Plant Inputs'!D48</f>
        <v>Form Release Agent</v>
      </c>
      <c r="D359" s="293">
        <f t="shared" si="93"/>
        <v>0</v>
      </c>
      <c r="E359" s="293">
        <f t="shared" si="94"/>
        <v>0</v>
      </c>
      <c r="F359" s="293">
        <f t="shared" si="95"/>
        <v>0</v>
      </c>
      <c r="G359" s="294">
        <f t="shared" si="96"/>
        <v>0</v>
      </c>
      <c r="H359" s="294">
        <f t="shared" si="97"/>
        <v>0</v>
      </c>
      <c r="I359" s="294">
        <f t="shared" si="98"/>
        <v>0</v>
      </c>
      <c r="J359" s="295">
        <f t="shared" si="84"/>
        <v>0</v>
      </c>
      <c r="K359" s="295">
        <f t="shared" si="85"/>
        <v>0</v>
      </c>
      <c r="L359" s="295">
        <f t="shared" si="86"/>
        <v>0</v>
      </c>
      <c r="AB359" s="380">
        <f>'Plant Inputs'!C48</f>
        <v>19</v>
      </c>
      <c r="AC359" s="384" t="str">
        <f>'Plant Inputs'!D48</f>
        <v>Form Release Agent</v>
      </c>
      <c r="AD359" s="380">
        <f>IF('Plant Inputs'!$AR$22=0,0,'Plant Inputs'!$BI47*INDEX(Conversion_Table,MATCH(WaterCalcUnit,Conversion_Rows,0),MATCH(AD$340,Conversion_Columns,0)))</f>
        <v>0</v>
      </c>
      <c r="AE359" s="380">
        <f>IF('Plant Inputs'!$AR$22=0,0,'Plant Inputs'!$EB47*INDEX(Conversion_Table,MATCH(EnergyCalcUnit,Conversion_Rows,0),MATCH(AE$222,Conversion_Columns,0)))</f>
        <v>0</v>
      </c>
      <c r="AF359" s="387">
        <f t="shared" si="99"/>
        <v>0</v>
      </c>
      <c r="AG359" s="388">
        <f t="shared" si="87"/>
        <v>0</v>
      </c>
      <c r="AH359" s="380" t="str">
        <f t="shared" si="100"/>
        <v/>
      </c>
      <c r="AI359" s="387" t="str">
        <f t="shared" si="101"/>
        <v/>
      </c>
      <c r="AJ359" s="380">
        <f t="shared" si="102"/>
        <v>0</v>
      </c>
      <c r="AK359" s="380" t="str">
        <f t="shared" si="88"/>
        <v/>
      </c>
      <c r="AL359" s="387" t="str">
        <f t="shared" si="89"/>
        <v/>
      </c>
      <c r="AM359" s="389"/>
      <c r="AN359" s="394">
        <f>IF('Plant Inputs'!$AR$22=0,0,'Plant Inputs'!$BI47*INDEX(Conversion_Table,MATCH(WaterCalcUnit,Conversion_Rows,0),MATCH(WaterPerTonneDisplayUnit,Conversion_Columns,0))/'Plant Inputs'!$AT$22)</f>
        <v>0</v>
      </c>
      <c r="AO359" s="394">
        <f>IF('Plant Inputs'!$AR$22=0,0,'Plant Inputs'!$EB47*INDEX(Conversion_Table,MATCH(WaterCalcUnit,Conversion_Rows,0),MATCH(WaterPerTonneDisplayUnit,Conversion_Columns,0))/'Plant Inputs'!$AT$22)</f>
        <v>0</v>
      </c>
      <c r="AP359" s="394">
        <f t="shared" si="103"/>
        <v>0</v>
      </c>
      <c r="AQ359" s="388">
        <f t="shared" si="90"/>
        <v>0</v>
      </c>
      <c r="AR359" s="380" t="str">
        <f t="shared" si="104"/>
        <v/>
      </c>
      <c r="AS359" s="387" t="str">
        <f t="shared" si="105"/>
        <v/>
      </c>
      <c r="AT359" s="387">
        <f t="shared" si="106"/>
        <v>0</v>
      </c>
      <c r="AU359" s="380" t="str">
        <f t="shared" si="91"/>
        <v/>
      </c>
      <c r="AV359" s="387" t="str">
        <f t="shared" si="92"/>
        <v/>
      </c>
      <c r="AW359" s="389"/>
      <c r="AX359" s="391"/>
      <c r="AY359" s="391"/>
      <c r="AZ359" s="391"/>
      <c r="BA359" s="391"/>
      <c r="BB359" s="391"/>
    </row>
    <row r="360" spans="3:54" ht="15">
      <c r="C360" s="292" t="str">
        <f>'Plant Inputs'!D49</f>
        <v>Rebar</v>
      </c>
      <c r="D360" s="293">
        <f t="shared" si="93"/>
        <v>0</v>
      </c>
      <c r="E360" s="293">
        <f t="shared" si="94"/>
        <v>0</v>
      </c>
      <c r="F360" s="293">
        <f t="shared" si="95"/>
        <v>0</v>
      </c>
      <c r="G360" s="294">
        <f t="shared" si="96"/>
        <v>0</v>
      </c>
      <c r="H360" s="294">
        <f t="shared" si="97"/>
        <v>0</v>
      </c>
      <c r="I360" s="294">
        <f t="shared" si="98"/>
        <v>0</v>
      </c>
      <c r="J360" s="295">
        <f t="shared" si="84"/>
        <v>0</v>
      </c>
      <c r="K360" s="295">
        <f t="shared" si="85"/>
        <v>0</v>
      </c>
      <c r="L360" s="295">
        <f t="shared" si="86"/>
        <v>0</v>
      </c>
      <c r="AB360" s="380">
        <f>'Plant Inputs'!C49</f>
        <v>20</v>
      </c>
      <c r="AC360" s="384" t="str">
        <f>'Plant Inputs'!D49</f>
        <v>Rebar</v>
      </c>
      <c r="AD360" s="380">
        <f>IF('Plant Inputs'!$AR$22=0,0,'Plant Inputs'!$BI48*INDEX(Conversion_Table,MATCH(WaterCalcUnit,Conversion_Rows,0),MATCH(AD$340,Conversion_Columns,0)))</f>
        <v>0</v>
      </c>
      <c r="AE360" s="380">
        <f>IF('Plant Inputs'!$AR$22=0,0,'Plant Inputs'!$EB48*INDEX(Conversion_Table,MATCH(EnergyCalcUnit,Conversion_Rows,0),MATCH(AE$222,Conversion_Columns,0)))</f>
        <v>0</v>
      </c>
      <c r="AF360" s="387">
        <f t="shared" si="99"/>
        <v>0</v>
      </c>
      <c r="AG360" s="388">
        <f t="shared" si="87"/>
        <v>0</v>
      </c>
      <c r="AH360" s="380" t="str">
        <f t="shared" si="100"/>
        <v/>
      </c>
      <c r="AI360" s="387" t="str">
        <f t="shared" si="101"/>
        <v/>
      </c>
      <c r="AJ360" s="380">
        <f t="shared" si="102"/>
        <v>0</v>
      </c>
      <c r="AK360" s="380" t="str">
        <f t="shared" si="88"/>
        <v/>
      </c>
      <c r="AL360" s="387" t="str">
        <f t="shared" si="89"/>
        <v/>
      </c>
      <c r="AM360" s="389"/>
      <c r="AN360" s="394">
        <f>IF('Plant Inputs'!$AR$22=0,0,'Plant Inputs'!$BI48*INDEX(Conversion_Table,MATCH(WaterCalcUnit,Conversion_Rows,0),MATCH(WaterPerTonneDisplayUnit,Conversion_Columns,0))/'Plant Inputs'!$AT$22)</f>
        <v>0</v>
      </c>
      <c r="AO360" s="394">
        <f>IF('Plant Inputs'!$AR$22=0,0,'Plant Inputs'!$EB48*INDEX(Conversion_Table,MATCH(WaterCalcUnit,Conversion_Rows,0),MATCH(WaterPerTonneDisplayUnit,Conversion_Columns,0))/'Plant Inputs'!$AT$22)</f>
        <v>0</v>
      </c>
      <c r="AP360" s="394">
        <f t="shared" si="103"/>
        <v>0</v>
      </c>
      <c r="AQ360" s="388">
        <f t="shared" si="90"/>
        <v>0</v>
      </c>
      <c r="AR360" s="380" t="str">
        <f t="shared" si="104"/>
        <v/>
      </c>
      <c r="AS360" s="387" t="str">
        <f t="shared" si="105"/>
        <v/>
      </c>
      <c r="AT360" s="387">
        <f t="shared" si="106"/>
        <v>0</v>
      </c>
      <c r="AU360" s="380" t="str">
        <f t="shared" si="91"/>
        <v/>
      </c>
      <c r="AV360" s="387" t="str">
        <f t="shared" si="92"/>
        <v/>
      </c>
      <c r="AW360" s="389"/>
      <c r="AX360" s="391"/>
      <c r="AY360" s="391"/>
      <c r="AZ360" s="391"/>
      <c r="BA360" s="391"/>
      <c r="BB360" s="391"/>
    </row>
    <row r="361" spans="3:54" ht="15">
      <c r="C361" s="292" t="str">
        <f>'Plant Inputs'!D50</f>
        <v>Welded Wire Reinforcement (WWR)</v>
      </c>
      <c r="D361" s="293">
        <f t="shared" si="93"/>
        <v>0</v>
      </c>
      <c r="E361" s="293">
        <f t="shared" si="94"/>
        <v>0</v>
      </c>
      <c r="F361" s="293">
        <f t="shared" si="95"/>
        <v>0</v>
      </c>
      <c r="G361" s="294">
        <f t="shared" si="96"/>
        <v>0</v>
      </c>
      <c r="H361" s="294">
        <f t="shared" si="97"/>
        <v>0</v>
      </c>
      <c r="I361" s="294">
        <f t="shared" si="98"/>
        <v>0</v>
      </c>
      <c r="J361" s="295">
        <f t="shared" si="84"/>
        <v>0</v>
      </c>
      <c r="K361" s="295">
        <f t="shared" si="85"/>
        <v>0</v>
      </c>
      <c r="L361" s="295">
        <f t="shared" si="86"/>
        <v>0</v>
      </c>
      <c r="AB361" s="380">
        <f>'Plant Inputs'!C50</f>
        <v>21</v>
      </c>
      <c r="AC361" s="384" t="str">
        <f>'Plant Inputs'!D50</f>
        <v>Welded Wire Reinforcement (WWR)</v>
      </c>
      <c r="AD361" s="380">
        <f>IF('Plant Inputs'!$AR$22=0,0,'Plant Inputs'!$BI49*INDEX(Conversion_Table,MATCH(WaterCalcUnit,Conversion_Rows,0),MATCH(AD$340,Conversion_Columns,0)))</f>
        <v>0</v>
      </c>
      <c r="AE361" s="380">
        <f>IF('Plant Inputs'!$AR$22=0,0,'Plant Inputs'!$EB49*INDEX(Conversion_Table,MATCH(EnergyCalcUnit,Conversion_Rows,0),MATCH(AE$222,Conversion_Columns,0)))</f>
        <v>0</v>
      </c>
      <c r="AF361" s="387">
        <f t="shared" si="99"/>
        <v>0</v>
      </c>
      <c r="AG361" s="388">
        <f t="shared" si="87"/>
        <v>0</v>
      </c>
      <c r="AH361" s="380" t="str">
        <f t="shared" si="100"/>
        <v/>
      </c>
      <c r="AI361" s="387" t="str">
        <f t="shared" si="101"/>
        <v/>
      </c>
      <c r="AJ361" s="380">
        <f t="shared" si="102"/>
        <v>0</v>
      </c>
      <c r="AK361" s="380" t="str">
        <f t="shared" si="88"/>
        <v/>
      </c>
      <c r="AL361" s="387" t="str">
        <f t="shared" si="89"/>
        <v/>
      </c>
      <c r="AM361" s="389"/>
      <c r="AN361" s="394">
        <f>IF('Plant Inputs'!$AR$22=0,0,'Plant Inputs'!$BI49*INDEX(Conversion_Table,MATCH(WaterCalcUnit,Conversion_Rows,0),MATCH(WaterPerTonneDisplayUnit,Conversion_Columns,0))/'Plant Inputs'!$AT$22)</f>
        <v>0</v>
      </c>
      <c r="AO361" s="394">
        <f>IF('Plant Inputs'!$AR$22=0,0,'Plant Inputs'!$EB49*INDEX(Conversion_Table,MATCH(WaterCalcUnit,Conversion_Rows,0),MATCH(WaterPerTonneDisplayUnit,Conversion_Columns,0))/'Plant Inputs'!$AT$22)</f>
        <v>0</v>
      </c>
      <c r="AP361" s="394">
        <f t="shared" si="103"/>
        <v>0</v>
      </c>
      <c r="AQ361" s="388">
        <f t="shared" si="90"/>
        <v>0</v>
      </c>
      <c r="AR361" s="380" t="str">
        <f t="shared" si="104"/>
        <v/>
      </c>
      <c r="AS361" s="387" t="str">
        <f t="shared" si="105"/>
        <v/>
      </c>
      <c r="AT361" s="387">
        <f t="shared" si="106"/>
        <v>0</v>
      </c>
      <c r="AU361" s="380" t="str">
        <f t="shared" si="91"/>
        <v/>
      </c>
      <c r="AV361" s="387" t="str">
        <f t="shared" si="92"/>
        <v/>
      </c>
      <c r="AW361" s="389"/>
      <c r="AX361" s="391"/>
      <c r="AY361" s="391"/>
      <c r="AZ361" s="391"/>
      <c r="BA361" s="391"/>
      <c r="BB361" s="391"/>
    </row>
    <row r="362" spans="3:54" ht="15">
      <c r="C362" s="292" t="str">
        <f>'Plant Inputs'!D51</f>
        <v>Steel Anchors</v>
      </c>
      <c r="D362" s="293">
        <f t="shared" si="93"/>
        <v>0</v>
      </c>
      <c r="E362" s="293">
        <f t="shared" si="94"/>
        <v>0</v>
      </c>
      <c r="F362" s="293">
        <f t="shared" si="95"/>
        <v>0</v>
      </c>
      <c r="G362" s="294">
        <f t="shared" si="96"/>
        <v>0</v>
      </c>
      <c r="H362" s="294">
        <f t="shared" si="97"/>
        <v>0</v>
      </c>
      <c r="I362" s="294">
        <f t="shared" si="98"/>
        <v>0</v>
      </c>
      <c r="J362" s="295">
        <f t="shared" si="84"/>
        <v>0</v>
      </c>
      <c r="K362" s="295">
        <f t="shared" si="85"/>
        <v>0</v>
      </c>
      <c r="L362" s="295">
        <f t="shared" si="86"/>
        <v>0</v>
      </c>
      <c r="AB362" s="380">
        <f>'Plant Inputs'!C51</f>
        <v>22</v>
      </c>
      <c r="AC362" s="384" t="str">
        <f>'Plant Inputs'!D51</f>
        <v>Steel Anchors</v>
      </c>
      <c r="AD362" s="380">
        <f>IF('Plant Inputs'!$AR$22=0,0,'Plant Inputs'!$BI50*INDEX(Conversion_Table,MATCH(WaterCalcUnit,Conversion_Rows,0),MATCH(AD$340,Conversion_Columns,0)))</f>
        <v>0</v>
      </c>
      <c r="AE362" s="380">
        <f>IF('Plant Inputs'!$AR$22=0,0,'Plant Inputs'!$EB50*INDEX(Conversion_Table,MATCH(EnergyCalcUnit,Conversion_Rows,0),MATCH(AE$222,Conversion_Columns,0)))</f>
        <v>0</v>
      </c>
      <c r="AF362" s="387">
        <f t="shared" si="99"/>
        <v>0</v>
      </c>
      <c r="AG362" s="388">
        <f t="shared" si="87"/>
        <v>0</v>
      </c>
      <c r="AH362" s="380" t="str">
        <f t="shared" si="100"/>
        <v/>
      </c>
      <c r="AI362" s="387" t="str">
        <f t="shared" si="101"/>
        <v/>
      </c>
      <c r="AJ362" s="380">
        <f t="shared" si="102"/>
        <v>0</v>
      </c>
      <c r="AK362" s="380" t="str">
        <f t="shared" si="88"/>
        <v/>
      </c>
      <c r="AL362" s="387" t="str">
        <f t="shared" si="89"/>
        <v/>
      </c>
      <c r="AM362" s="389"/>
      <c r="AN362" s="394">
        <f>IF('Plant Inputs'!$AR$22=0,0,'Plant Inputs'!$BI50*INDEX(Conversion_Table,MATCH(WaterCalcUnit,Conversion_Rows,0),MATCH(WaterPerTonneDisplayUnit,Conversion_Columns,0))/'Plant Inputs'!$AT$22)</f>
        <v>0</v>
      </c>
      <c r="AO362" s="394">
        <f>IF('Plant Inputs'!$AR$22=0,0,'Plant Inputs'!$EB50*INDEX(Conversion_Table,MATCH(WaterCalcUnit,Conversion_Rows,0),MATCH(WaterPerTonneDisplayUnit,Conversion_Columns,0))/'Plant Inputs'!$AT$22)</f>
        <v>0</v>
      </c>
      <c r="AP362" s="394">
        <f t="shared" si="103"/>
        <v>0</v>
      </c>
      <c r="AQ362" s="388">
        <f t="shared" si="90"/>
        <v>0</v>
      </c>
      <c r="AR362" s="380" t="str">
        <f t="shared" si="104"/>
        <v/>
      </c>
      <c r="AS362" s="387" t="str">
        <f t="shared" si="105"/>
        <v/>
      </c>
      <c r="AT362" s="387">
        <f t="shared" si="106"/>
        <v>0</v>
      </c>
      <c r="AU362" s="380" t="str">
        <f t="shared" si="91"/>
        <v/>
      </c>
      <c r="AV362" s="387" t="str">
        <f t="shared" si="92"/>
        <v/>
      </c>
      <c r="AW362" s="389"/>
      <c r="AX362" s="391"/>
      <c r="AY362" s="391"/>
      <c r="AZ362" s="391"/>
      <c r="BA362" s="391"/>
      <c r="BB362" s="391"/>
    </row>
    <row r="363" spans="3:54" ht="15">
      <c r="C363" s="292" t="str">
        <f>'Plant Inputs'!D52</f>
        <v>Steel Stressing Strand</v>
      </c>
      <c r="D363" s="293">
        <f t="shared" si="93"/>
        <v>0</v>
      </c>
      <c r="E363" s="293">
        <f t="shared" si="94"/>
        <v>0</v>
      </c>
      <c r="F363" s="293">
        <f t="shared" si="95"/>
        <v>0</v>
      </c>
      <c r="G363" s="294">
        <f t="shared" si="96"/>
        <v>0</v>
      </c>
      <c r="H363" s="294">
        <f t="shared" si="97"/>
        <v>0</v>
      </c>
      <c r="I363" s="294">
        <f t="shared" si="98"/>
        <v>0</v>
      </c>
      <c r="J363" s="295">
        <f t="shared" si="84"/>
        <v>0</v>
      </c>
      <c r="K363" s="295">
        <f t="shared" si="85"/>
        <v>0</v>
      </c>
      <c r="L363" s="295">
        <f t="shared" si="86"/>
        <v>0</v>
      </c>
      <c r="AB363" s="380">
        <f>'Plant Inputs'!C52</f>
        <v>23</v>
      </c>
      <c r="AC363" s="384" t="str">
        <f>'Plant Inputs'!D52</f>
        <v>Steel Stressing Strand</v>
      </c>
      <c r="AD363" s="380">
        <f>IF('Plant Inputs'!$AR$22=0,0,'Plant Inputs'!$BI51*INDEX(Conversion_Table,MATCH(WaterCalcUnit,Conversion_Rows,0),MATCH(AD$340,Conversion_Columns,0)))</f>
        <v>0</v>
      </c>
      <c r="AE363" s="380">
        <f>IF('Plant Inputs'!$AR$22=0,0,'Plant Inputs'!$EB51*INDEX(Conversion_Table,MATCH(EnergyCalcUnit,Conversion_Rows,0),MATCH(AE$222,Conversion_Columns,0)))</f>
        <v>0</v>
      </c>
      <c r="AF363" s="387">
        <f t="shared" si="99"/>
        <v>0</v>
      </c>
      <c r="AG363" s="388">
        <f t="shared" si="87"/>
        <v>0</v>
      </c>
      <c r="AH363" s="380" t="str">
        <f t="shared" si="100"/>
        <v/>
      </c>
      <c r="AI363" s="387" t="str">
        <f t="shared" si="101"/>
        <v/>
      </c>
      <c r="AJ363" s="380">
        <f t="shared" si="102"/>
        <v>0</v>
      </c>
      <c r="AK363" s="380" t="str">
        <f t="shared" si="88"/>
        <v/>
      </c>
      <c r="AL363" s="387" t="str">
        <f t="shared" si="89"/>
        <v/>
      </c>
      <c r="AM363" s="389"/>
      <c r="AN363" s="394">
        <f>IF('Plant Inputs'!$AR$22=0,0,'Plant Inputs'!$BI51*INDEX(Conversion_Table,MATCH(WaterCalcUnit,Conversion_Rows,0),MATCH(WaterPerTonneDisplayUnit,Conversion_Columns,0))/'Plant Inputs'!$AT$22)</f>
        <v>0</v>
      </c>
      <c r="AO363" s="394">
        <f>IF('Plant Inputs'!$AR$22=0,0,'Plant Inputs'!$EB51*INDEX(Conversion_Table,MATCH(WaterCalcUnit,Conversion_Rows,0),MATCH(WaterPerTonneDisplayUnit,Conversion_Columns,0))/'Plant Inputs'!$AT$22)</f>
        <v>0</v>
      </c>
      <c r="AP363" s="394">
        <f t="shared" si="103"/>
        <v>0</v>
      </c>
      <c r="AQ363" s="388">
        <f t="shared" si="90"/>
        <v>0</v>
      </c>
      <c r="AR363" s="380" t="str">
        <f t="shared" si="104"/>
        <v/>
      </c>
      <c r="AS363" s="387" t="str">
        <f t="shared" si="105"/>
        <v/>
      </c>
      <c r="AT363" s="387">
        <f t="shared" si="106"/>
        <v>0</v>
      </c>
      <c r="AU363" s="380" t="str">
        <f t="shared" si="91"/>
        <v/>
      </c>
      <c r="AV363" s="387" t="str">
        <f t="shared" si="92"/>
        <v/>
      </c>
      <c r="AW363" s="389"/>
      <c r="AX363" s="391"/>
      <c r="AY363" s="391"/>
      <c r="AZ363" s="391"/>
      <c r="BA363" s="391"/>
      <c r="BB363" s="391"/>
    </row>
    <row r="364" spans="3:54" ht="15">
      <c r="C364" s="292" t="str">
        <f>'Plant Inputs'!D53</f>
        <v>Carbon Fibre Reinforced Polymer (CFRP) strand</v>
      </c>
      <c r="D364" s="293">
        <f t="shared" si="93"/>
        <v>0</v>
      </c>
      <c r="E364" s="293">
        <f t="shared" si="94"/>
        <v>0</v>
      </c>
      <c r="F364" s="293">
        <f t="shared" si="95"/>
        <v>0</v>
      </c>
      <c r="G364" s="294">
        <f t="shared" si="96"/>
        <v>0</v>
      </c>
      <c r="H364" s="294">
        <f t="shared" si="97"/>
        <v>0</v>
      </c>
      <c r="I364" s="294">
        <f t="shared" si="98"/>
        <v>0</v>
      </c>
      <c r="J364" s="295">
        <f t="shared" si="84"/>
        <v>0</v>
      </c>
      <c r="K364" s="295">
        <f t="shared" si="85"/>
        <v>0</v>
      </c>
      <c r="L364" s="295">
        <f t="shared" si="86"/>
        <v>0</v>
      </c>
      <c r="AB364" s="380">
        <f>'Plant Inputs'!C53</f>
        <v>24</v>
      </c>
      <c r="AC364" s="384" t="str">
        <f>'Plant Inputs'!D53</f>
        <v>Carbon Fibre Reinforced Polymer (CFRP) strand</v>
      </c>
      <c r="AD364" s="380">
        <f>IF('Plant Inputs'!$AR$22=0,0,'Plant Inputs'!$BI52*INDEX(Conversion_Table,MATCH(WaterCalcUnit,Conversion_Rows,0),MATCH(AD$340,Conversion_Columns,0)))</f>
        <v>0</v>
      </c>
      <c r="AE364" s="380">
        <f>IF('Plant Inputs'!$AR$22=0,0,'Plant Inputs'!$EB52*INDEX(Conversion_Table,MATCH(EnergyCalcUnit,Conversion_Rows,0),MATCH(AE$222,Conversion_Columns,0)))</f>
        <v>0</v>
      </c>
      <c r="AF364" s="387">
        <f t="shared" si="99"/>
        <v>0</v>
      </c>
      <c r="AG364" s="388">
        <f t="shared" si="87"/>
        <v>0</v>
      </c>
      <c r="AH364" s="380" t="str">
        <f t="shared" si="100"/>
        <v/>
      </c>
      <c r="AI364" s="387" t="str">
        <f t="shared" si="101"/>
        <v/>
      </c>
      <c r="AJ364" s="380">
        <f t="shared" si="102"/>
        <v>0</v>
      </c>
      <c r="AK364" s="380" t="str">
        <f t="shared" si="88"/>
        <v/>
      </c>
      <c r="AL364" s="387" t="str">
        <f t="shared" si="89"/>
        <v/>
      </c>
      <c r="AM364" s="389"/>
      <c r="AN364" s="394">
        <f>IF('Plant Inputs'!$AR$22=0,0,'Plant Inputs'!$BI52*INDEX(Conversion_Table,MATCH(WaterCalcUnit,Conversion_Rows,0),MATCH(WaterPerTonneDisplayUnit,Conversion_Columns,0))/'Plant Inputs'!$AT$22)</f>
        <v>0</v>
      </c>
      <c r="AO364" s="394">
        <f>IF('Plant Inputs'!$AR$22=0,0,'Plant Inputs'!$EB52*INDEX(Conversion_Table,MATCH(WaterCalcUnit,Conversion_Rows,0),MATCH(WaterPerTonneDisplayUnit,Conversion_Columns,0))/'Plant Inputs'!$AT$22)</f>
        <v>0</v>
      </c>
      <c r="AP364" s="394">
        <f t="shared" si="103"/>
        <v>0</v>
      </c>
      <c r="AQ364" s="388">
        <f t="shared" si="90"/>
        <v>0</v>
      </c>
      <c r="AR364" s="380" t="str">
        <f t="shared" si="104"/>
        <v/>
      </c>
      <c r="AS364" s="387" t="str">
        <f t="shared" si="105"/>
        <v/>
      </c>
      <c r="AT364" s="387">
        <f t="shared" si="106"/>
        <v>0</v>
      </c>
      <c r="AU364" s="380" t="str">
        <f t="shared" si="91"/>
        <v/>
      </c>
      <c r="AV364" s="387" t="str">
        <f t="shared" si="92"/>
        <v/>
      </c>
      <c r="AW364" s="389"/>
      <c r="AX364" s="391"/>
      <c r="AY364" s="391"/>
      <c r="AZ364" s="391"/>
      <c r="BA364" s="391"/>
      <c r="BB364" s="391"/>
    </row>
    <row r="365" spans="3:54" ht="15">
      <c r="C365" s="292" t="str">
        <f>'Plant Inputs'!D54</f>
        <v>Polypropylene Fibers</v>
      </c>
      <c r="D365" s="293">
        <f t="shared" si="93"/>
        <v>0</v>
      </c>
      <c r="E365" s="293">
        <f t="shared" si="94"/>
        <v>0</v>
      </c>
      <c r="F365" s="293">
        <f t="shared" si="95"/>
        <v>0</v>
      </c>
      <c r="G365" s="294">
        <f t="shared" si="96"/>
        <v>0</v>
      </c>
      <c r="H365" s="294">
        <f t="shared" si="97"/>
        <v>0</v>
      </c>
      <c r="I365" s="294">
        <f t="shared" si="98"/>
        <v>0</v>
      </c>
      <c r="J365" s="295">
        <f t="shared" si="84"/>
        <v>0</v>
      </c>
      <c r="K365" s="295">
        <f t="shared" si="85"/>
        <v>0</v>
      </c>
      <c r="L365" s="295">
        <f t="shared" si="86"/>
        <v>0</v>
      </c>
      <c r="AB365" s="380">
        <f>'Plant Inputs'!C54</f>
        <v>25</v>
      </c>
      <c r="AC365" s="384" t="str">
        <f>'Plant Inputs'!D54</f>
        <v>Polypropylene Fibers</v>
      </c>
      <c r="AD365" s="380">
        <f>IF('Plant Inputs'!$AR$22=0,0,'Plant Inputs'!$BI53*INDEX(Conversion_Table,MATCH(WaterCalcUnit,Conversion_Rows,0),MATCH(AD$340,Conversion_Columns,0)))</f>
        <v>0</v>
      </c>
      <c r="AE365" s="380">
        <f>IF('Plant Inputs'!$AR$22=0,0,'Plant Inputs'!$EB53*INDEX(Conversion_Table,MATCH(EnergyCalcUnit,Conversion_Rows,0),MATCH(AE$222,Conversion_Columns,0)))</f>
        <v>0</v>
      </c>
      <c r="AF365" s="387">
        <f t="shared" si="99"/>
        <v>0</v>
      </c>
      <c r="AG365" s="388">
        <f t="shared" si="87"/>
        <v>0</v>
      </c>
      <c r="AH365" s="380" t="str">
        <f t="shared" si="100"/>
        <v/>
      </c>
      <c r="AI365" s="387" t="str">
        <f t="shared" si="101"/>
        <v/>
      </c>
      <c r="AJ365" s="380">
        <f t="shared" si="102"/>
        <v>0</v>
      </c>
      <c r="AK365" s="380" t="str">
        <f t="shared" si="88"/>
        <v/>
      </c>
      <c r="AL365" s="387" t="str">
        <f t="shared" si="89"/>
        <v/>
      </c>
      <c r="AM365" s="389"/>
      <c r="AN365" s="394">
        <f>IF('Plant Inputs'!$AR$22=0,0,'Plant Inputs'!$BI53*INDEX(Conversion_Table,MATCH(WaterCalcUnit,Conversion_Rows,0),MATCH(WaterPerTonneDisplayUnit,Conversion_Columns,0))/'Plant Inputs'!$AT$22)</f>
        <v>0</v>
      </c>
      <c r="AO365" s="394">
        <f>IF('Plant Inputs'!$AR$22=0,0,'Plant Inputs'!$EB53*INDEX(Conversion_Table,MATCH(WaterCalcUnit,Conversion_Rows,0),MATCH(WaterPerTonneDisplayUnit,Conversion_Columns,0))/'Plant Inputs'!$AT$22)</f>
        <v>0</v>
      </c>
      <c r="AP365" s="394">
        <f t="shared" si="103"/>
        <v>0</v>
      </c>
      <c r="AQ365" s="388">
        <f t="shared" si="90"/>
        <v>0</v>
      </c>
      <c r="AR365" s="380" t="str">
        <f t="shared" si="104"/>
        <v/>
      </c>
      <c r="AS365" s="387" t="str">
        <f t="shared" si="105"/>
        <v/>
      </c>
      <c r="AT365" s="387">
        <f t="shared" si="106"/>
        <v>0</v>
      </c>
      <c r="AU365" s="380" t="str">
        <f t="shared" si="91"/>
        <v/>
      </c>
      <c r="AV365" s="387" t="str">
        <f t="shared" si="92"/>
        <v/>
      </c>
      <c r="AW365" s="389"/>
      <c r="AX365" s="391"/>
      <c r="AY365" s="391"/>
      <c r="AZ365" s="391"/>
      <c r="BA365" s="391"/>
      <c r="BB365" s="391"/>
    </row>
    <row r="366" spans="3:54" ht="15">
      <c r="C366" s="292" t="str">
        <f>'Plant Inputs'!D55</f>
        <v>Steel Fibers</v>
      </c>
      <c r="D366" s="293">
        <f t="shared" si="93"/>
        <v>0</v>
      </c>
      <c r="E366" s="293">
        <f t="shared" si="94"/>
        <v>0</v>
      </c>
      <c r="F366" s="293">
        <f t="shared" si="95"/>
        <v>0</v>
      </c>
      <c r="G366" s="294">
        <f t="shared" si="96"/>
        <v>0</v>
      </c>
      <c r="H366" s="294">
        <f t="shared" si="97"/>
        <v>0</v>
      </c>
      <c r="I366" s="294">
        <f t="shared" si="98"/>
        <v>0</v>
      </c>
      <c r="J366" s="295">
        <f t="shared" si="84"/>
        <v>0</v>
      </c>
      <c r="K366" s="295">
        <f t="shared" si="85"/>
        <v>0</v>
      </c>
      <c r="L366" s="295">
        <f t="shared" si="86"/>
        <v>0</v>
      </c>
      <c r="AB366" s="380">
        <f>'Plant Inputs'!C55</f>
        <v>26</v>
      </c>
      <c r="AC366" s="384" t="str">
        <f>'Plant Inputs'!D55</f>
        <v>Steel Fibers</v>
      </c>
      <c r="AD366" s="380">
        <f>IF('Plant Inputs'!$AR$22=0,0,'Plant Inputs'!$BI54*INDEX(Conversion_Table,MATCH(WaterCalcUnit,Conversion_Rows,0),MATCH(AD$340,Conversion_Columns,0)))</f>
        <v>0</v>
      </c>
      <c r="AE366" s="380">
        <f>IF('Plant Inputs'!$AR$22=0,0,'Plant Inputs'!$EB54*INDEX(Conversion_Table,MATCH(EnergyCalcUnit,Conversion_Rows,0),MATCH(AE$222,Conversion_Columns,0)))</f>
        <v>0</v>
      </c>
      <c r="AF366" s="387">
        <f t="shared" si="99"/>
        <v>0</v>
      </c>
      <c r="AG366" s="388">
        <f t="shared" si="87"/>
        <v>0</v>
      </c>
      <c r="AH366" s="380" t="str">
        <f t="shared" si="100"/>
        <v/>
      </c>
      <c r="AI366" s="387" t="str">
        <f t="shared" si="101"/>
        <v/>
      </c>
      <c r="AJ366" s="380">
        <f t="shared" si="102"/>
        <v>0</v>
      </c>
      <c r="AK366" s="380" t="str">
        <f t="shared" si="88"/>
        <v/>
      </c>
      <c r="AL366" s="387" t="str">
        <f t="shared" si="89"/>
        <v/>
      </c>
      <c r="AM366" s="389"/>
      <c r="AN366" s="394">
        <f>IF('Plant Inputs'!$AR$22=0,0,'Plant Inputs'!$BI54*INDEX(Conversion_Table,MATCH(WaterCalcUnit,Conversion_Rows,0),MATCH(WaterPerTonneDisplayUnit,Conversion_Columns,0))/'Plant Inputs'!$AT$22)</f>
        <v>0</v>
      </c>
      <c r="AO366" s="394">
        <f>IF('Plant Inputs'!$AR$22=0,0,'Plant Inputs'!$EB54*INDEX(Conversion_Table,MATCH(WaterCalcUnit,Conversion_Rows,0),MATCH(WaterPerTonneDisplayUnit,Conversion_Columns,0))/'Plant Inputs'!$AT$22)</f>
        <v>0</v>
      </c>
      <c r="AP366" s="394">
        <f t="shared" si="103"/>
        <v>0</v>
      </c>
      <c r="AQ366" s="388">
        <f t="shared" si="90"/>
        <v>0</v>
      </c>
      <c r="AR366" s="380" t="str">
        <f t="shared" si="104"/>
        <v/>
      </c>
      <c r="AS366" s="387" t="str">
        <f t="shared" si="105"/>
        <v/>
      </c>
      <c r="AT366" s="387">
        <f t="shared" si="106"/>
        <v>0</v>
      </c>
      <c r="AU366" s="380" t="str">
        <f t="shared" si="91"/>
        <v/>
      </c>
      <c r="AV366" s="387" t="str">
        <f t="shared" si="92"/>
        <v/>
      </c>
      <c r="AW366" s="389"/>
      <c r="AX366" s="391"/>
      <c r="AY366" s="391"/>
      <c r="AZ366" s="391"/>
      <c r="BA366" s="391"/>
      <c r="BB366" s="391"/>
    </row>
    <row r="367" spans="3:54" ht="15">
      <c r="C367" s="292" t="str">
        <f>'Plant Inputs'!D56</f>
        <v>Glass Fibre Reinforced Polymer (GFRP) reinforcing bars</v>
      </c>
      <c r="D367" s="293">
        <f t="shared" si="93"/>
        <v>0</v>
      </c>
      <c r="E367" s="293">
        <f t="shared" si="94"/>
        <v>0</v>
      </c>
      <c r="F367" s="293">
        <f t="shared" si="95"/>
        <v>0</v>
      </c>
      <c r="G367" s="294">
        <f t="shared" si="96"/>
        <v>0</v>
      </c>
      <c r="H367" s="294">
        <f t="shared" si="97"/>
        <v>0</v>
      </c>
      <c r="I367" s="294">
        <f t="shared" si="98"/>
        <v>0</v>
      </c>
      <c r="J367" s="295">
        <f t="shared" si="84"/>
        <v>0</v>
      </c>
      <c r="K367" s="295">
        <f t="shared" si="85"/>
        <v>0</v>
      </c>
      <c r="L367" s="295">
        <f t="shared" si="86"/>
        <v>0</v>
      </c>
      <c r="AB367" s="380">
        <f>'Plant Inputs'!C56</f>
        <v>27</v>
      </c>
      <c r="AC367" s="384" t="str">
        <f>'Plant Inputs'!D56</f>
        <v>Glass Fibre Reinforced Polymer (GFRP) reinforcing bars</v>
      </c>
      <c r="AD367" s="380">
        <f>IF('Plant Inputs'!$AR$22=0,0,'Plant Inputs'!$BI55*INDEX(Conversion_Table,MATCH(WaterCalcUnit,Conversion_Rows,0),MATCH(AD$340,Conversion_Columns,0)))</f>
        <v>0</v>
      </c>
      <c r="AE367" s="380">
        <f>IF('Plant Inputs'!$AR$22=0,0,'Plant Inputs'!$EB55*INDEX(Conversion_Table,MATCH(EnergyCalcUnit,Conversion_Rows,0),MATCH(AE$222,Conversion_Columns,0)))</f>
        <v>0</v>
      </c>
      <c r="AF367" s="387">
        <f t="shared" si="99"/>
        <v>0</v>
      </c>
      <c r="AG367" s="388">
        <f t="shared" si="87"/>
        <v>0</v>
      </c>
      <c r="AH367" s="380" t="str">
        <f t="shared" si="100"/>
        <v/>
      </c>
      <c r="AI367" s="387" t="str">
        <f t="shared" si="101"/>
        <v/>
      </c>
      <c r="AJ367" s="380">
        <f t="shared" si="102"/>
        <v>0</v>
      </c>
      <c r="AK367" s="380" t="str">
        <f t="shared" si="88"/>
        <v/>
      </c>
      <c r="AL367" s="387" t="str">
        <f t="shared" si="89"/>
        <v/>
      </c>
      <c r="AM367" s="389"/>
      <c r="AN367" s="394">
        <f>IF('Plant Inputs'!$AR$22=0,0,'Plant Inputs'!$BI55*INDEX(Conversion_Table,MATCH(WaterCalcUnit,Conversion_Rows,0),MATCH(WaterPerTonneDisplayUnit,Conversion_Columns,0))/'Plant Inputs'!$AT$22)</f>
        <v>0</v>
      </c>
      <c r="AO367" s="394">
        <f>IF('Plant Inputs'!$AR$22=0,0,'Plant Inputs'!$EB55*INDEX(Conversion_Table,MATCH(WaterCalcUnit,Conversion_Rows,0),MATCH(WaterPerTonneDisplayUnit,Conversion_Columns,0))/'Plant Inputs'!$AT$22)</f>
        <v>0</v>
      </c>
      <c r="AP367" s="394">
        <f t="shared" si="103"/>
        <v>0</v>
      </c>
      <c r="AQ367" s="388">
        <f t="shared" si="90"/>
        <v>0</v>
      </c>
      <c r="AR367" s="380" t="str">
        <f t="shared" si="104"/>
        <v/>
      </c>
      <c r="AS367" s="387" t="str">
        <f t="shared" si="105"/>
        <v/>
      </c>
      <c r="AT367" s="387">
        <f t="shared" si="106"/>
        <v>0</v>
      </c>
      <c r="AU367" s="380" t="str">
        <f t="shared" si="91"/>
        <v/>
      </c>
      <c r="AV367" s="387" t="str">
        <f t="shared" si="92"/>
        <v/>
      </c>
      <c r="AW367" s="389"/>
      <c r="AX367" s="391"/>
      <c r="AY367" s="391"/>
      <c r="AZ367" s="391"/>
      <c r="BA367" s="391"/>
      <c r="BB367" s="391"/>
    </row>
    <row r="368" spans="3:54" ht="15">
      <c r="C368" s="292" t="str">
        <f>'Plant Inputs'!D57</f>
        <v>Carbon Fibre Reinforced Polymer (CFRP) reinforcing bars</v>
      </c>
      <c r="D368" s="293">
        <f t="shared" si="93"/>
        <v>0</v>
      </c>
      <c r="E368" s="293">
        <f t="shared" si="94"/>
        <v>0</v>
      </c>
      <c r="F368" s="293">
        <f t="shared" si="95"/>
        <v>0</v>
      </c>
      <c r="G368" s="294">
        <f t="shared" si="96"/>
        <v>0</v>
      </c>
      <c r="H368" s="294">
        <f t="shared" si="97"/>
        <v>0</v>
      </c>
      <c r="I368" s="294">
        <f t="shared" si="98"/>
        <v>0</v>
      </c>
      <c r="J368" s="295">
        <f t="shared" si="84"/>
        <v>0</v>
      </c>
      <c r="K368" s="295">
        <f t="shared" si="85"/>
        <v>0</v>
      </c>
      <c r="L368" s="295">
        <f t="shared" si="86"/>
        <v>0</v>
      </c>
      <c r="AB368" s="380">
        <f>'Plant Inputs'!C57</f>
        <v>28</v>
      </c>
      <c r="AC368" s="384" t="str">
        <f>'Plant Inputs'!D57</f>
        <v>Carbon Fibre Reinforced Polymer (CFRP) reinforcing bars</v>
      </c>
      <c r="AD368" s="380">
        <f>IF('Plant Inputs'!$AR$22=0,0,'Plant Inputs'!$BI56*INDEX(Conversion_Table,MATCH(WaterCalcUnit,Conversion_Rows,0),MATCH(AD$340,Conversion_Columns,0)))</f>
        <v>0</v>
      </c>
      <c r="AE368" s="380">
        <f>IF('Plant Inputs'!$AR$22=0,0,'Plant Inputs'!$EB56*INDEX(Conversion_Table,MATCH(EnergyCalcUnit,Conversion_Rows,0),MATCH(AE$222,Conversion_Columns,0)))</f>
        <v>0</v>
      </c>
      <c r="AF368" s="387">
        <f t="shared" si="99"/>
        <v>0</v>
      </c>
      <c r="AG368" s="388">
        <f t="shared" si="87"/>
        <v>0</v>
      </c>
      <c r="AH368" s="380" t="str">
        <f t="shared" si="100"/>
        <v/>
      </c>
      <c r="AI368" s="387" t="str">
        <f t="shared" si="101"/>
        <v/>
      </c>
      <c r="AJ368" s="380">
        <f t="shared" si="102"/>
        <v>0</v>
      </c>
      <c r="AK368" s="380" t="str">
        <f t="shared" si="88"/>
        <v/>
      </c>
      <c r="AL368" s="387" t="str">
        <f t="shared" si="89"/>
        <v/>
      </c>
      <c r="AM368" s="389"/>
      <c r="AN368" s="394">
        <f>IF('Plant Inputs'!$AR$22=0,0,'Plant Inputs'!$BI56*INDEX(Conversion_Table,MATCH(WaterCalcUnit,Conversion_Rows,0),MATCH(WaterPerTonneDisplayUnit,Conversion_Columns,0))/'Plant Inputs'!$AT$22)</f>
        <v>0</v>
      </c>
      <c r="AO368" s="394">
        <f>IF('Plant Inputs'!$AR$22=0,0,'Plant Inputs'!$EB56*INDEX(Conversion_Table,MATCH(WaterCalcUnit,Conversion_Rows,0),MATCH(WaterPerTonneDisplayUnit,Conversion_Columns,0))/'Plant Inputs'!$AT$22)</f>
        <v>0</v>
      </c>
      <c r="AP368" s="394">
        <f t="shared" si="103"/>
        <v>0</v>
      </c>
      <c r="AQ368" s="388">
        <f t="shared" si="90"/>
        <v>0</v>
      </c>
      <c r="AR368" s="380" t="str">
        <f t="shared" si="104"/>
        <v/>
      </c>
      <c r="AS368" s="387" t="str">
        <f t="shared" si="105"/>
        <v/>
      </c>
      <c r="AT368" s="387">
        <f t="shared" si="106"/>
        <v>0</v>
      </c>
      <c r="AU368" s="380" t="str">
        <f t="shared" si="91"/>
        <v/>
      </c>
      <c r="AV368" s="387" t="str">
        <f t="shared" si="92"/>
        <v/>
      </c>
      <c r="AW368" s="389"/>
      <c r="AX368" s="391"/>
      <c r="AY368" s="391"/>
      <c r="AZ368" s="391"/>
      <c r="BA368" s="391"/>
      <c r="BB368" s="391"/>
    </row>
    <row r="369" spans="3:54" ht="15">
      <c r="C369" s="292" t="str">
        <f>'Plant Inputs'!D58</f>
        <v>Fibre Reinforced Polymer (FRP) wrap</v>
      </c>
      <c r="D369" s="293">
        <f t="shared" si="93"/>
        <v>0</v>
      </c>
      <c r="E369" s="293">
        <f t="shared" si="94"/>
        <v>0</v>
      </c>
      <c r="F369" s="293">
        <f t="shared" si="95"/>
        <v>0</v>
      </c>
      <c r="G369" s="294">
        <f t="shared" si="96"/>
        <v>0</v>
      </c>
      <c r="H369" s="294">
        <f t="shared" si="97"/>
        <v>0</v>
      </c>
      <c r="I369" s="294">
        <f t="shared" si="98"/>
        <v>0</v>
      </c>
      <c r="J369" s="295">
        <f t="shared" si="84"/>
        <v>0</v>
      </c>
      <c r="K369" s="295">
        <f t="shared" si="85"/>
        <v>0</v>
      </c>
      <c r="L369" s="295">
        <f t="shared" si="86"/>
        <v>0</v>
      </c>
      <c r="AB369" s="380">
        <f>'Plant Inputs'!C58</f>
        <v>29</v>
      </c>
      <c r="AC369" s="384" t="str">
        <f>'Plant Inputs'!D58</f>
        <v>Fibre Reinforced Polymer (FRP) wrap</v>
      </c>
      <c r="AD369" s="380">
        <f>IF('Plant Inputs'!$AR$22=0,0,'Plant Inputs'!$BI57*INDEX(Conversion_Table,MATCH(WaterCalcUnit,Conversion_Rows,0),MATCH(AD$340,Conversion_Columns,0)))</f>
        <v>0</v>
      </c>
      <c r="AE369" s="380">
        <f>IF('Plant Inputs'!$AR$22=0,0,'Plant Inputs'!$EB57*INDEX(Conversion_Table,MATCH(EnergyCalcUnit,Conversion_Rows,0),MATCH(AE$222,Conversion_Columns,0)))</f>
        <v>0</v>
      </c>
      <c r="AF369" s="387">
        <f t="shared" si="99"/>
        <v>0</v>
      </c>
      <c r="AG369" s="388">
        <f t="shared" si="87"/>
        <v>0</v>
      </c>
      <c r="AH369" s="380" t="str">
        <f t="shared" si="100"/>
        <v/>
      </c>
      <c r="AI369" s="387" t="str">
        <f t="shared" si="101"/>
        <v/>
      </c>
      <c r="AJ369" s="380">
        <f t="shared" si="102"/>
        <v>0</v>
      </c>
      <c r="AK369" s="380" t="str">
        <f t="shared" si="88"/>
        <v/>
      </c>
      <c r="AL369" s="387" t="str">
        <f t="shared" si="89"/>
        <v/>
      </c>
      <c r="AM369" s="389"/>
      <c r="AN369" s="394">
        <f>IF('Plant Inputs'!$AR$22=0,0,'Plant Inputs'!$BI57*INDEX(Conversion_Table,MATCH(WaterCalcUnit,Conversion_Rows,0),MATCH(WaterPerTonneDisplayUnit,Conversion_Columns,0))/'Plant Inputs'!$AT$22)</f>
        <v>0</v>
      </c>
      <c r="AO369" s="394">
        <f>IF('Plant Inputs'!$AR$22=0,0,'Plant Inputs'!$EB57*INDEX(Conversion_Table,MATCH(WaterCalcUnit,Conversion_Rows,0),MATCH(WaterPerTonneDisplayUnit,Conversion_Columns,0))/'Plant Inputs'!$AT$22)</f>
        <v>0</v>
      </c>
      <c r="AP369" s="394">
        <f t="shared" si="103"/>
        <v>0</v>
      </c>
      <c r="AQ369" s="388">
        <f t="shared" si="90"/>
        <v>0</v>
      </c>
      <c r="AR369" s="380" t="str">
        <f t="shared" si="104"/>
        <v/>
      </c>
      <c r="AS369" s="387" t="str">
        <f t="shared" si="105"/>
        <v/>
      </c>
      <c r="AT369" s="387">
        <f t="shared" si="106"/>
        <v>0</v>
      </c>
      <c r="AU369" s="380" t="str">
        <f t="shared" si="91"/>
        <v/>
      </c>
      <c r="AV369" s="387" t="str">
        <f t="shared" si="92"/>
        <v/>
      </c>
      <c r="AW369" s="389"/>
      <c r="AX369" s="391"/>
      <c r="AY369" s="391"/>
      <c r="AZ369" s="391"/>
      <c r="BA369" s="391"/>
      <c r="BB369" s="391"/>
    </row>
    <row r="370" spans="3:54" ht="15">
      <c r="C370" s="292" t="str">
        <f>'Plant Inputs'!D59</f>
        <v>Expanded Polystyrene</v>
      </c>
      <c r="D370" s="293">
        <f t="shared" si="93"/>
        <v>0</v>
      </c>
      <c r="E370" s="293">
        <f t="shared" si="94"/>
        <v>0</v>
      </c>
      <c r="F370" s="293">
        <f t="shared" si="95"/>
        <v>0</v>
      </c>
      <c r="G370" s="294">
        <f t="shared" si="96"/>
        <v>0</v>
      </c>
      <c r="H370" s="294">
        <f t="shared" si="97"/>
        <v>0</v>
      </c>
      <c r="I370" s="294">
        <f t="shared" si="98"/>
        <v>0</v>
      </c>
      <c r="J370" s="295">
        <f t="shared" si="84"/>
        <v>0</v>
      </c>
      <c r="K370" s="295">
        <f t="shared" si="85"/>
        <v>0</v>
      </c>
      <c r="L370" s="295">
        <f t="shared" si="86"/>
        <v>0</v>
      </c>
      <c r="AB370" s="380">
        <f>'Plant Inputs'!C59</f>
        <v>30</v>
      </c>
      <c r="AC370" s="384" t="str">
        <f>'Plant Inputs'!D59</f>
        <v>Expanded Polystyrene</v>
      </c>
      <c r="AD370" s="380">
        <f>IF('Plant Inputs'!$AR$22=0,0,'Plant Inputs'!$BI58*INDEX(Conversion_Table,MATCH(WaterCalcUnit,Conversion_Rows,0),MATCH(AD$340,Conversion_Columns,0)))</f>
        <v>0</v>
      </c>
      <c r="AE370" s="380">
        <f>IF('Plant Inputs'!$AR$22=0,0,'Plant Inputs'!$EB58*INDEX(Conversion_Table,MATCH(EnergyCalcUnit,Conversion_Rows,0),MATCH(AE$222,Conversion_Columns,0)))</f>
        <v>0</v>
      </c>
      <c r="AF370" s="387">
        <f t="shared" si="99"/>
        <v>0</v>
      </c>
      <c r="AG370" s="388">
        <f t="shared" si="87"/>
        <v>0</v>
      </c>
      <c r="AH370" s="380" t="str">
        <f t="shared" si="100"/>
        <v/>
      </c>
      <c r="AI370" s="387" t="str">
        <f t="shared" si="101"/>
        <v/>
      </c>
      <c r="AJ370" s="380">
        <f t="shared" si="102"/>
        <v>0</v>
      </c>
      <c r="AK370" s="380" t="str">
        <f t="shared" si="88"/>
        <v/>
      </c>
      <c r="AL370" s="387" t="str">
        <f t="shared" si="89"/>
        <v/>
      </c>
      <c r="AM370" s="389"/>
      <c r="AN370" s="394">
        <f>IF('Plant Inputs'!$AR$22=0,0,'Plant Inputs'!$BI58*INDEX(Conversion_Table,MATCH(WaterCalcUnit,Conversion_Rows,0),MATCH(WaterPerTonneDisplayUnit,Conversion_Columns,0))/'Plant Inputs'!$AT$22)</f>
        <v>0</v>
      </c>
      <c r="AO370" s="394">
        <f>IF('Plant Inputs'!$AR$22=0,0,'Plant Inputs'!$EB58*INDEX(Conversion_Table,MATCH(WaterCalcUnit,Conversion_Rows,0),MATCH(WaterPerTonneDisplayUnit,Conversion_Columns,0))/'Plant Inputs'!$AT$22)</f>
        <v>0</v>
      </c>
      <c r="AP370" s="394">
        <f t="shared" si="103"/>
        <v>0</v>
      </c>
      <c r="AQ370" s="388">
        <f t="shared" si="90"/>
        <v>0</v>
      </c>
      <c r="AR370" s="380" t="str">
        <f t="shared" si="104"/>
        <v/>
      </c>
      <c r="AS370" s="387" t="str">
        <f t="shared" si="105"/>
        <v/>
      </c>
      <c r="AT370" s="387">
        <f t="shared" si="106"/>
        <v>0</v>
      </c>
      <c r="AU370" s="380" t="str">
        <f t="shared" si="91"/>
        <v/>
      </c>
      <c r="AV370" s="387" t="str">
        <f t="shared" si="92"/>
        <v/>
      </c>
      <c r="AW370" s="389"/>
      <c r="AX370" s="391"/>
      <c r="AY370" s="391"/>
      <c r="AZ370" s="391"/>
      <c r="BA370" s="391"/>
      <c r="BB370" s="391"/>
    </row>
    <row r="371" spans="3:54" ht="15">
      <c r="C371" s="292" t="str">
        <f>'Plant Inputs'!D60</f>
        <v>Extruded Polystyrene</v>
      </c>
      <c r="D371" s="293">
        <f t="shared" si="93"/>
        <v>0</v>
      </c>
      <c r="E371" s="293">
        <f t="shared" si="94"/>
        <v>0</v>
      </c>
      <c r="F371" s="293">
        <f t="shared" si="95"/>
        <v>0</v>
      </c>
      <c r="G371" s="294">
        <f t="shared" si="96"/>
        <v>0</v>
      </c>
      <c r="H371" s="294">
        <f t="shared" si="97"/>
        <v>0</v>
      </c>
      <c r="I371" s="294">
        <f t="shared" si="98"/>
        <v>0</v>
      </c>
      <c r="J371" s="295">
        <f t="shared" si="84"/>
        <v>0</v>
      </c>
      <c r="K371" s="295">
        <f t="shared" si="85"/>
        <v>0</v>
      </c>
      <c r="L371" s="295">
        <f t="shared" si="86"/>
        <v>0</v>
      </c>
      <c r="AB371" s="380">
        <f>'Plant Inputs'!C60</f>
        <v>31</v>
      </c>
      <c r="AC371" s="384" t="str">
        <f>'Plant Inputs'!D60</f>
        <v>Extruded Polystyrene</v>
      </c>
      <c r="AD371" s="380">
        <f>IF('Plant Inputs'!$AR$22=0,0,'Plant Inputs'!$BI59*INDEX(Conversion_Table,MATCH(WaterCalcUnit,Conversion_Rows,0),MATCH(AD$340,Conversion_Columns,0)))</f>
        <v>0</v>
      </c>
      <c r="AE371" s="380">
        <f>IF('Plant Inputs'!$AR$22=0,0,'Plant Inputs'!$EB59*INDEX(Conversion_Table,MATCH(EnergyCalcUnit,Conversion_Rows,0),MATCH(AE$222,Conversion_Columns,0)))</f>
        <v>0</v>
      </c>
      <c r="AF371" s="387">
        <f t="shared" si="99"/>
        <v>0</v>
      </c>
      <c r="AG371" s="388">
        <f t="shared" si="87"/>
        <v>0</v>
      </c>
      <c r="AH371" s="380" t="str">
        <f t="shared" si="100"/>
        <v/>
      </c>
      <c r="AI371" s="387" t="str">
        <f t="shared" si="101"/>
        <v/>
      </c>
      <c r="AJ371" s="380">
        <f t="shared" si="102"/>
        <v>0</v>
      </c>
      <c r="AK371" s="380" t="str">
        <f t="shared" si="88"/>
        <v/>
      </c>
      <c r="AL371" s="387" t="str">
        <f t="shared" si="89"/>
        <v/>
      </c>
      <c r="AM371" s="389"/>
      <c r="AN371" s="394">
        <f>IF('Plant Inputs'!$AR$22=0,0,'Plant Inputs'!$BI59*INDEX(Conversion_Table,MATCH(WaterCalcUnit,Conversion_Rows,0),MATCH(WaterPerTonneDisplayUnit,Conversion_Columns,0))/'Plant Inputs'!$AT$22)</f>
        <v>0</v>
      </c>
      <c r="AO371" s="394">
        <f>IF('Plant Inputs'!$AR$22=0,0,'Plant Inputs'!$EB59*INDEX(Conversion_Table,MATCH(WaterCalcUnit,Conversion_Rows,0),MATCH(WaterPerTonneDisplayUnit,Conversion_Columns,0))/'Plant Inputs'!$AT$22)</f>
        <v>0</v>
      </c>
      <c r="AP371" s="394">
        <f t="shared" si="103"/>
        <v>0</v>
      </c>
      <c r="AQ371" s="388">
        <f t="shared" si="90"/>
        <v>0</v>
      </c>
      <c r="AR371" s="380" t="str">
        <f t="shared" si="104"/>
        <v/>
      </c>
      <c r="AS371" s="387" t="str">
        <f t="shared" si="105"/>
        <v/>
      </c>
      <c r="AT371" s="387">
        <f t="shared" si="106"/>
        <v>0</v>
      </c>
      <c r="AU371" s="380" t="str">
        <f t="shared" si="91"/>
        <v/>
      </c>
      <c r="AV371" s="387" t="str">
        <f t="shared" si="92"/>
        <v/>
      </c>
      <c r="AW371" s="389"/>
      <c r="AX371" s="391"/>
      <c r="AY371" s="391"/>
      <c r="AZ371" s="391"/>
      <c r="BA371" s="391"/>
      <c r="BB371" s="391"/>
    </row>
    <row r="372" spans="3:54" ht="15">
      <c r="C372" s="292" t="str">
        <f>'Plant Inputs'!D61</f>
        <v>Brick</v>
      </c>
      <c r="D372" s="293">
        <f t="shared" si="93"/>
        <v>0</v>
      </c>
      <c r="E372" s="293">
        <f t="shared" si="94"/>
        <v>0</v>
      </c>
      <c r="F372" s="293">
        <f t="shared" si="95"/>
        <v>0</v>
      </c>
      <c r="G372" s="294">
        <f t="shared" si="96"/>
        <v>0</v>
      </c>
      <c r="H372" s="294">
        <f t="shared" si="97"/>
        <v>0</v>
      </c>
      <c r="I372" s="294">
        <f t="shared" si="98"/>
        <v>0</v>
      </c>
      <c r="J372" s="295">
        <f t="shared" si="84"/>
        <v>0</v>
      </c>
      <c r="K372" s="295">
        <f t="shared" si="85"/>
        <v>0</v>
      </c>
      <c r="L372" s="295">
        <f t="shared" si="86"/>
        <v>0</v>
      </c>
      <c r="AB372" s="380">
        <f>'Plant Inputs'!C61</f>
        <v>32</v>
      </c>
      <c r="AC372" s="384" t="str">
        <f>'Plant Inputs'!D61</f>
        <v>Brick</v>
      </c>
      <c r="AD372" s="380">
        <f>IF('Plant Inputs'!$AR$22=0,0,'Plant Inputs'!$BI60*INDEX(Conversion_Table,MATCH(WaterCalcUnit,Conversion_Rows,0),MATCH(AD$340,Conversion_Columns,0)))</f>
        <v>0</v>
      </c>
      <c r="AE372" s="380">
        <f>IF('Plant Inputs'!$AR$22=0,0,'Plant Inputs'!$EB60*INDEX(Conversion_Table,MATCH(EnergyCalcUnit,Conversion_Rows,0),MATCH(AE$222,Conversion_Columns,0)))</f>
        <v>0</v>
      </c>
      <c r="AF372" s="387">
        <f t="shared" si="99"/>
        <v>0</v>
      </c>
      <c r="AG372" s="388">
        <f t="shared" si="87"/>
        <v>0</v>
      </c>
      <c r="AH372" s="380" t="str">
        <f t="shared" si="100"/>
        <v/>
      </c>
      <c r="AI372" s="387" t="str">
        <f t="shared" si="101"/>
        <v/>
      </c>
      <c r="AJ372" s="380">
        <f t="shared" si="102"/>
        <v>0</v>
      </c>
      <c r="AK372" s="380" t="str">
        <f t="shared" si="88"/>
        <v/>
      </c>
      <c r="AL372" s="387" t="str">
        <f t="shared" si="89"/>
        <v/>
      </c>
      <c r="AM372" s="389"/>
      <c r="AN372" s="394">
        <f>IF('Plant Inputs'!$AR$22=0,0,'Plant Inputs'!$BI60*INDEX(Conversion_Table,MATCH(WaterCalcUnit,Conversion_Rows,0),MATCH(WaterPerTonneDisplayUnit,Conversion_Columns,0))/'Plant Inputs'!$AT$22)</f>
        <v>0</v>
      </c>
      <c r="AO372" s="394">
        <f>IF('Plant Inputs'!$AR$22=0,0,'Plant Inputs'!$EB60*INDEX(Conversion_Table,MATCH(WaterCalcUnit,Conversion_Rows,0),MATCH(WaterPerTonneDisplayUnit,Conversion_Columns,0))/'Plant Inputs'!$AT$22)</f>
        <v>0</v>
      </c>
      <c r="AP372" s="394">
        <f t="shared" si="103"/>
        <v>0</v>
      </c>
      <c r="AQ372" s="388">
        <f t="shared" si="90"/>
        <v>0</v>
      </c>
      <c r="AR372" s="380" t="str">
        <f t="shared" si="104"/>
        <v/>
      </c>
      <c r="AS372" s="387" t="str">
        <f t="shared" si="105"/>
        <v/>
      </c>
      <c r="AT372" s="387">
        <f t="shared" si="106"/>
        <v>0</v>
      </c>
      <c r="AU372" s="380" t="str">
        <f t="shared" si="91"/>
        <v/>
      </c>
      <c r="AV372" s="387" t="str">
        <f t="shared" si="92"/>
        <v/>
      </c>
    </row>
    <row r="373" spans="3:54" ht="15">
      <c r="C373" s="292" t="str">
        <f>'Plant Inputs'!D62</f>
        <v>Natural Stone</v>
      </c>
      <c r="D373" s="293">
        <f t="shared" si="93"/>
        <v>0</v>
      </c>
      <c r="E373" s="293">
        <f t="shared" si="94"/>
        <v>0</v>
      </c>
      <c r="F373" s="293">
        <f t="shared" si="95"/>
        <v>0</v>
      </c>
      <c r="G373" s="294">
        <f t="shared" si="96"/>
        <v>0</v>
      </c>
      <c r="H373" s="294">
        <f t="shared" si="97"/>
        <v>0</v>
      </c>
      <c r="I373" s="294">
        <f t="shared" si="98"/>
        <v>0</v>
      </c>
      <c r="J373" s="295">
        <f t="shared" si="84"/>
        <v>0</v>
      </c>
      <c r="K373" s="295">
        <f t="shared" si="85"/>
        <v>0</v>
      </c>
      <c r="L373" s="295">
        <f t="shared" si="86"/>
        <v>0</v>
      </c>
      <c r="AB373" s="380">
        <f>'Plant Inputs'!C62</f>
        <v>33</v>
      </c>
      <c r="AC373" s="384" t="str">
        <f>'Plant Inputs'!D62</f>
        <v>Natural Stone</v>
      </c>
      <c r="AD373" s="380">
        <f>IF('Plant Inputs'!$AR$22=0,0,'Plant Inputs'!$BI61*INDEX(Conversion_Table,MATCH(WaterCalcUnit,Conversion_Rows,0),MATCH(AD$340,Conversion_Columns,0)))</f>
        <v>0</v>
      </c>
      <c r="AE373" s="380">
        <f>IF('Plant Inputs'!$AR$22=0,0,'Plant Inputs'!$EB61*INDEX(Conversion_Table,MATCH(EnergyCalcUnit,Conversion_Rows,0),MATCH(AE$222,Conversion_Columns,0)))</f>
        <v>0</v>
      </c>
      <c r="AF373" s="387">
        <f t="shared" si="99"/>
        <v>0</v>
      </c>
      <c r="AG373" s="388">
        <f t="shared" si="87"/>
        <v>0</v>
      </c>
      <c r="AH373" s="380" t="str">
        <f t="shared" si="100"/>
        <v/>
      </c>
      <c r="AI373" s="387" t="str">
        <f t="shared" si="101"/>
        <v/>
      </c>
      <c r="AJ373" s="380">
        <f t="shared" si="102"/>
        <v>0</v>
      </c>
      <c r="AK373" s="380" t="str">
        <f t="shared" si="88"/>
        <v/>
      </c>
      <c r="AL373" s="387" t="str">
        <f t="shared" si="89"/>
        <v/>
      </c>
      <c r="AM373" s="389"/>
      <c r="AN373" s="394">
        <f>IF('Plant Inputs'!$AR$22=0,0,'Plant Inputs'!$BI61*INDEX(Conversion_Table,MATCH(WaterCalcUnit,Conversion_Rows,0),MATCH(WaterPerTonneDisplayUnit,Conversion_Columns,0))/'Plant Inputs'!$AT$22)</f>
        <v>0</v>
      </c>
      <c r="AO373" s="394">
        <f>IF('Plant Inputs'!$AR$22=0,0,'Plant Inputs'!$EB61*INDEX(Conversion_Table,MATCH(WaterCalcUnit,Conversion_Rows,0),MATCH(WaterPerTonneDisplayUnit,Conversion_Columns,0))/'Plant Inputs'!$AT$22)</f>
        <v>0</v>
      </c>
      <c r="AP373" s="394">
        <f t="shared" si="103"/>
        <v>0</v>
      </c>
      <c r="AQ373" s="388">
        <f t="shared" si="90"/>
        <v>0</v>
      </c>
      <c r="AR373" s="380" t="str">
        <f t="shared" si="104"/>
        <v/>
      </c>
      <c r="AS373" s="387" t="str">
        <f t="shared" si="105"/>
        <v/>
      </c>
      <c r="AT373" s="387">
        <f t="shared" si="106"/>
        <v>0</v>
      </c>
      <c r="AU373" s="380" t="str">
        <f t="shared" si="91"/>
        <v/>
      </c>
      <c r="AV373" s="387" t="str">
        <f t="shared" si="92"/>
        <v/>
      </c>
    </row>
    <row r="374" spans="3:54" ht="15">
      <c r="C374" s="292" t="str">
        <f>'Plant Inputs'!D63</f>
        <v>Pigments</v>
      </c>
      <c r="D374" s="293">
        <f t="shared" si="93"/>
        <v>0</v>
      </c>
      <c r="E374" s="293">
        <f t="shared" si="94"/>
        <v>0</v>
      </c>
      <c r="F374" s="293">
        <f t="shared" si="95"/>
        <v>0</v>
      </c>
      <c r="G374" s="294">
        <f t="shared" si="96"/>
        <v>0</v>
      </c>
      <c r="H374" s="294">
        <f t="shared" si="97"/>
        <v>0</v>
      </c>
      <c r="I374" s="294">
        <f t="shared" si="98"/>
        <v>0</v>
      </c>
      <c r="J374" s="295">
        <f t="shared" si="84"/>
        <v>0</v>
      </c>
      <c r="K374" s="295">
        <f t="shared" si="85"/>
        <v>0</v>
      </c>
      <c r="L374" s="295">
        <f t="shared" si="86"/>
        <v>0</v>
      </c>
      <c r="AB374" s="380">
        <f>'Plant Inputs'!C63</f>
        <v>34</v>
      </c>
      <c r="AC374" s="384" t="str">
        <f>'Plant Inputs'!D63</f>
        <v>Pigments</v>
      </c>
      <c r="AD374" s="380">
        <f>IF('Plant Inputs'!$AR$22=0,0,'Plant Inputs'!$BI62*INDEX(Conversion_Table,MATCH(WaterCalcUnit,Conversion_Rows,0),MATCH(AD$340,Conversion_Columns,0)))</f>
        <v>0</v>
      </c>
      <c r="AE374" s="380">
        <f>IF('Plant Inputs'!$AR$22=0,0,'Plant Inputs'!$EB62*INDEX(Conversion_Table,MATCH(EnergyCalcUnit,Conversion_Rows,0),MATCH(AE$222,Conversion_Columns,0)))</f>
        <v>0</v>
      </c>
      <c r="AF374" s="387">
        <f t="shared" si="99"/>
        <v>0</v>
      </c>
      <c r="AG374" s="388">
        <f t="shared" si="87"/>
        <v>0</v>
      </c>
      <c r="AH374" s="380" t="str">
        <f t="shared" si="100"/>
        <v/>
      </c>
      <c r="AI374" s="387" t="str">
        <f t="shared" si="101"/>
        <v/>
      </c>
      <c r="AJ374" s="380">
        <f t="shared" si="102"/>
        <v>0</v>
      </c>
      <c r="AK374" s="380" t="str">
        <f t="shared" si="88"/>
        <v/>
      </c>
      <c r="AL374" s="387" t="str">
        <f t="shared" si="89"/>
        <v/>
      </c>
      <c r="AM374" s="389"/>
      <c r="AN374" s="394">
        <f>IF('Plant Inputs'!$AR$22=0,0,'Plant Inputs'!$BI62*INDEX(Conversion_Table,MATCH(WaterCalcUnit,Conversion_Rows,0),MATCH(WaterPerTonneDisplayUnit,Conversion_Columns,0))/'Plant Inputs'!$AT$22)</f>
        <v>0</v>
      </c>
      <c r="AO374" s="394">
        <f>IF('Plant Inputs'!$AR$22=0,0,'Plant Inputs'!$EB62*INDEX(Conversion_Table,MATCH(WaterCalcUnit,Conversion_Rows,0),MATCH(WaterPerTonneDisplayUnit,Conversion_Columns,0))/'Plant Inputs'!$AT$22)</f>
        <v>0</v>
      </c>
      <c r="AP374" s="394">
        <f t="shared" si="103"/>
        <v>0</v>
      </c>
      <c r="AQ374" s="388">
        <f t="shared" si="90"/>
        <v>0</v>
      </c>
      <c r="AR374" s="380" t="str">
        <f t="shared" si="104"/>
        <v/>
      </c>
      <c r="AS374" s="387" t="str">
        <f t="shared" si="105"/>
        <v/>
      </c>
      <c r="AT374" s="387">
        <f t="shared" si="106"/>
        <v>0</v>
      </c>
      <c r="AU374" s="380" t="str">
        <f t="shared" si="91"/>
        <v/>
      </c>
      <c r="AV374" s="387" t="str">
        <f t="shared" si="92"/>
        <v/>
      </c>
    </row>
    <row r="375" spans="3:54" ht="15">
      <c r="C375" s="292" t="str">
        <f>'Plant Inputs'!D64</f>
        <v>Net Consumables</v>
      </c>
      <c r="D375" s="293">
        <f t="shared" si="93"/>
        <v>0</v>
      </c>
      <c r="E375" s="293">
        <f t="shared" si="94"/>
        <v>0</v>
      </c>
      <c r="F375" s="293">
        <f t="shared" si="95"/>
        <v>0</v>
      </c>
      <c r="G375" s="294">
        <f t="shared" si="96"/>
        <v>0</v>
      </c>
      <c r="H375" s="294">
        <f t="shared" si="97"/>
        <v>0</v>
      </c>
      <c r="I375" s="294">
        <f t="shared" si="98"/>
        <v>0</v>
      </c>
      <c r="J375" s="295">
        <f t="shared" si="84"/>
        <v>0</v>
      </c>
      <c r="K375" s="295">
        <f t="shared" si="85"/>
        <v>0</v>
      </c>
      <c r="L375" s="295">
        <f t="shared" si="86"/>
        <v>0</v>
      </c>
      <c r="AB375" s="380">
        <f>'Plant Inputs'!C64</f>
        <v>35</v>
      </c>
      <c r="AC375" s="384" t="str">
        <f>'Plant Inputs'!D64</f>
        <v>Net Consumables</v>
      </c>
      <c r="AD375" s="380">
        <f>IF('Plant Inputs'!$AR$22=0,0,'Plant Inputs'!$BI63*INDEX(Conversion_Table,MATCH(WaterCalcUnit,Conversion_Rows,0),MATCH(AD$340,Conversion_Columns,0)))</f>
        <v>0</v>
      </c>
      <c r="AE375" s="380">
        <f>IF('Plant Inputs'!$AR$22=0,0,'Plant Inputs'!$EB63*INDEX(Conversion_Table,MATCH(EnergyCalcUnit,Conversion_Rows,0),MATCH(AE$222,Conversion_Columns,0)))</f>
        <v>0</v>
      </c>
      <c r="AF375" s="387">
        <f t="shared" si="99"/>
        <v>0</v>
      </c>
      <c r="AG375" s="388">
        <f t="shared" si="87"/>
        <v>0</v>
      </c>
      <c r="AH375" s="380" t="str">
        <f t="shared" si="100"/>
        <v/>
      </c>
      <c r="AI375" s="387" t="str">
        <f t="shared" si="101"/>
        <v/>
      </c>
      <c r="AJ375" s="380">
        <f t="shared" si="102"/>
        <v>0</v>
      </c>
      <c r="AK375" s="380" t="str">
        <f t="shared" si="88"/>
        <v/>
      </c>
      <c r="AL375" s="387" t="str">
        <f t="shared" si="89"/>
        <v/>
      </c>
      <c r="AM375" s="389"/>
      <c r="AN375" s="394">
        <f>IF('Plant Inputs'!$AR$22=0,0,'Plant Inputs'!$BI63*INDEX(Conversion_Table,MATCH(WaterCalcUnit,Conversion_Rows,0),MATCH(WaterPerTonneDisplayUnit,Conversion_Columns,0))/'Plant Inputs'!$AT$22)</f>
        <v>0</v>
      </c>
      <c r="AO375" s="394">
        <f>IF('Plant Inputs'!$AR$22=0,0,'Plant Inputs'!$EB63*INDEX(Conversion_Table,MATCH(WaterCalcUnit,Conversion_Rows,0),MATCH(WaterPerTonneDisplayUnit,Conversion_Columns,0))/'Plant Inputs'!$AT$22)</f>
        <v>0</v>
      </c>
      <c r="AP375" s="394">
        <f t="shared" si="103"/>
        <v>0</v>
      </c>
      <c r="AQ375" s="388">
        <f t="shared" si="90"/>
        <v>0</v>
      </c>
      <c r="AR375" s="380" t="str">
        <f t="shared" si="104"/>
        <v/>
      </c>
      <c r="AS375" s="387" t="str">
        <f t="shared" si="105"/>
        <v/>
      </c>
      <c r="AT375" s="387">
        <f t="shared" si="106"/>
        <v>0</v>
      </c>
      <c r="AU375" s="380" t="str">
        <f t="shared" si="91"/>
        <v/>
      </c>
      <c r="AV375" s="387" t="str">
        <f t="shared" si="92"/>
        <v/>
      </c>
    </row>
    <row r="376" spans="3:54" ht="15">
      <c r="C376" s="279" t="s">
        <v>19</v>
      </c>
      <c r="D376" s="293">
        <f t="shared" ref="D376:L376" si="121">SUM(D341:D375)</f>
        <v>0</v>
      </c>
      <c r="E376" s="293">
        <f t="shared" si="121"/>
        <v>0</v>
      </c>
      <c r="F376" s="293">
        <f t="shared" si="121"/>
        <v>0</v>
      </c>
      <c r="G376" s="294">
        <f t="shared" si="121"/>
        <v>0</v>
      </c>
      <c r="H376" s="294">
        <f t="shared" si="121"/>
        <v>0</v>
      </c>
      <c r="I376" s="294">
        <f t="shared" si="121"/>
        <v>0</v>
      </c>
      <c r="J376" s="295">
        <f t="shared" si="121"/>
        <v>0</v>
      </c>
      <c r="K376" s="295">
        <f t="shared" si="121"/>
        <v>0</v>
      </c>
      <c r="L376" s="295">
        <f t="shared" si="121"/>
        <v>0</v>
      </c>
      <c r="M376" s="3"/>
      <c r="AD376" s="380">
        <f>SUM(AD341:AD375)</f>
        <v>0</v>
      </c>
      <c r="AE376" s="380">
        <f>SUM(AE341:AE375)</f>
        <v>0</v>
      </c>
      <c r="AF376" s="380">
        <f>SUM(AF341:AF375)</f>
        <v>0</v>
      </c>
      <c r="AG376" s="392">
        <f>SUM(AG341:AG375)</f>
        <v>0</v>
      </c>
      <c r="AI376" s="387"/>
      <c r="AM376" s="389"/>
      <c r="AN376" s="380">
        <f>SUM(AN341:AN375)</f>
        <v>0</v>
      </c>
      <c r="AO376" s="380">
        <f>SUM(AO341:AO375)</f>
        <v>0</v>
      </c>
      <c r="AP376" s="380">
        <f>SUM(AP341:AP375)</f>
        <v>0</v>
      </c>
      <c r="AQ376" s="392">
        <f>SUM(AQ341:AQ375)</f>
        <v>0</v>
      </c>
    </row>
    <row r="378" spans="3:54" ht="15">
      <c r="AC378" s="384" t="s">
        <v>18</v>
      </c>
      <c r="AH378" s="380" t="str">
        <f>AC378</f>
        <v>Other</v>
      </c>
      <c r="AI378" s="387" t="str">
        <f>IF(SUMIF($AG341:$AG375,"&lt;"&amp;$AD$218,AF341:AF375)=0,"",SUMIF($AG341:$AG375,"&lt;"&amp;$AD$218,AF341:AF375))</f>
        <v/>
      </c>
      <c r="AJ378" s="380">
        <f>SUM(AJ341:AJ375)</f>
        <v>0</v>
      </c>
      <c r="AK378" s="380" t="str">
        <f>INDEX($AH$223:$AH$260,MATCH(AL378,$AI$223:$AI$260,0))</f>
        <v/>
      </c>
      <c r="AL378" s="380" t="str">
        <f>IFERROR(LARGE($AI$223:$AI$260,33),"")</f>
        <v/>
      </c>
      <c r="AM378" s="389"/>
      <c r="AN378" s="389"/>
      <c r="AR378" s="380" t="str">
        <f>$AC378</f>
        <v>Other</v>
      </c>
      <c r="AS378" s="387" t="str">
        <f>IF(SUMIF($AQ341:$AQ375,"&lt;"&amp;$AD$218,AP341:AP375)=0,"",SUMIF($AQ341:$AQ375,"&lt;"&amp;$AD$218,AP341:AP375))</f>
        <v/>
      </c>
      <c r="AT378" s="387">
        <f>SUM(AT341:AT375)</f>
        <v>0</v>
      </c>
    </row>
  </sheetData>
  <sheetProtection password="840D" sheet="1" objects="1" scenarios="1"/>
  <mergeCells count="21">
    <mergeCell ref="E7:F7"/>
    <mergeCell ref="E3:F3"/>
    <mergeCell ref="E4:F4"/>
    <mergeCell ref="B5:D5"/>
    <mergeCell ref="E5:F5"/>
    <mergeCell ref="E6:F6"/>
    <mergeCell ref="AD338:AG338"/>
    <mergeCell ref="AN338:AQ338"/>
    <mergeCell ref="AD220:AG220"/>
    <mergeCell ref="AN220:AQ220"/>
    <mergeCell ref="E8:F8"/>
    <mergeCell ref="B12:J13"/>
    <mergeCell ref="B15:J15"/>
    <mergeCell ref="B16:J16"/>
    <mergeCell ref="B17:J17"/>
    <mergeCell ref="B18:J20"/>
    <mergeCell ref="B21:J23"/>
    <mergeCell ref="B24:J24"/>
    <mergeCell ref="B27:J27"/>
    <mergeCell ref="AD105:AG105"/>
    <mergeCell ref="AN105:AQ105"/>
  </mergeCells>
  <conditionalFormatting sqref="B5:B7">
    <cfRule type="containsText" dxfId="4" priority="1" stopIfTrue="1" operator="containsText" text="100%">
      <formula>NOT(ISERROR(SEARCH("100%",B5)))</formula>
    </cfRule>
  </conditionalFormatting>
  <pageMargins left="0.7" right="0.7" top="0.75" bottom="0.75" header="0.3" footer="0.3"/>
  <pageSetup orientation="portrait" horizontalDpi="1200" verticalDpi="12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AA56"/>
  <sheetViews>
    <sheetView zoomScale="90" zoomScaleNormal="90" workbookViewId="0">
      <pane xSplit="2" ySplit="2" topLeftCell="C3" activePane="bottomRight" state="frozen"/>
      <selection pane="topRight" activeCell="C1" sqref="C1"/>
      <selection pane="bottomLeft" activeCell="A3" sqref="A3"/>
      <selection pane="bottomRight" activeCell="B34" sqref="B34"/>
    </sheetView>
  </sheetViews>
  <sheetFormatPr baseColWidth="10" defaultColWidth="9.1640625" defaultRowHeight="15"/>
  <cols>
    <col min="1" max="1" width="4.1640625" style="3" customWidth="1"/>
    <col min="2" max="3" width="13.5" style="3" customWidth="1"/>
    <col min="4" max="4" width="12.5" style="3" customWidth="1"/>
    <col min="5" max="5" width="14.5" style="3" customWidth="1"/>
    <col min="6" max="6" width="18.83203125" style="3" customWidth="1"/>
    <col min="7" max="7" width="9.1640625" style="3"/>
    <col min="8" max="8" width="10.5" style="3" customWidth="1"/>
    <col min="9" max="9" width="18.33203125" style="3" customWidth="1"/>
    <col min="10" max="10" width="15.6640625" style="3" customWidth="1"/>
    <col min="11" max="12" width="9.1640625" style="3"/>
    <col min="13" max="13" width="10" style="3" bestFit="1" customWidth="1"/>
    <col min="14" max="14" width="11" style="3" customWidth="1"/>
    <col min="15" max="16384" width="9.1640625" style="3"/>
  </cols>
  <sheetData>
    <row r="1" spans="2:10" ht="21" thickBot="1">
      <c r="B1" s="725" t="s">
        <v>57</v>
      </c>
      <c r="C1" s="726"/>
      <c r="D1" s="726"/>
      <c r="E1" s="726"/>
      <c r="F1" s="727"/>
      <c r="H1" s="728" t="s">
        <v>68</v>
      </c>
      <c r="I1" s="729"/>
      <c r="J1" s="730"/>
    </row>
    <row r="2" spans="2:10">
      <c r="B2" s="36" t="s">
        <v>25</v>
      </c>
      <c r="C2" s="36" t="s">
        <v>26</v>
      </c>
      <c r="D2" s="36" t="s">
        <v>27</v>
      </c>
      <c r="E2" s="36" t="s">
        <v>31</v>
      </c>
      <c r="F2" s="36" t="s">
        <v>52</v>
      </c>
      <c r="H2" s="39" t="s">
        <v>27</v>
      </c>
      <c r="I2" s="39" t="s">
        <v>1</v>
      </c>
      <c r="J2" s="39" t="s">
        <v>69</v>
      </c>
    </row>
    <row r="3" spans="2:10">
      <c r="B3" s="35" t="str">
        <f>$B$26</f>
        <v>kWh</v>
      </c>
      <c r="C3" s="35" t="str">
        <f>$B$35</f>
        <v>MJ</v>
      </c>
      <c r="D3" s="35">
        <f>3600000/1000000</f>
        <v>3.6</v>
      </c>
      <c r="E3" s="35">
        <f t="shared" ref="E3:E19" si="0">1/D3</f>
        <v>0.27777777777777779</v>
      </c>
      <c r="F3" s="35" t="s">
        <v>49</v>
      </c>
      <c r="H3" s="49">
        <v>190</v>
      </c>
      <c r="I3" s="35" t="s">
        <v>34</v>
      </c>
      <c r="J3" s="35" t="s">
        <v>75</v>
      </c>
    </row>
    <row r="4" spans="2:10">
      <c r="B4" s="35" t="str">
        <f>$B$27</f>
        <v>km</v>
      </c>
      <c r="C4" s="35" t="str">
        <f>$B$38</f>
        <v>mile</v>
      </c>
      <c r="D4" s="35">
        <v>0.62136990000000003</v>
      </c>
      <c r="E4" s="35">
        <f t="shared" si="0"/>
        <v>1.6093473468862911</v>
      </c>
      <c r="F4" s="35" t="s">
        <v>50</v>
      </c>
      <c r="H4" s="49">
        <v>40</v>
      </c>
      <c r="I4" s="35" t="s">
        <v>34</v>
      </c>
      <c r="J4" s="35" t="s">
        <v>76</v>
      </c>
    </row>
    <row r="5" spans="2:10">
      <c r="B5" s="35" t="str">
        <f>$B$28</f>
        <v>kg</v>
      </c>
      <c r="C5" s="35" t="str">
        <f>$B$39</f>
        <v>lbs</v>
      </c>
      <c r="D5" s="35">
        <v>2.2046199999999998</v>
      </c>
      <c r="E5" s="35">
        <f t="shared" si="0"/>
        <v>0.45359290943563974</v>
      </c>
      <c r="F5" s="35" t="s">
        <v>51</v>
      </c>
      <c r="H5" s="49">
        <v>200</v>
      </c>
      <c r="I5" s="35" t="s">
        <v>34</v>
      </c>
      <c r="J5" s="35" t="s">
        <v>70</v>
      </c>
    </row>
    <row r="6" spans="2:10">
      <c r="B6" s="35" t="str">
        <f>$B$29</f>
        <v>tonne</v>
      </c>
      <c r="C6" s="35" t="str">
        <f>$B$30</f>
        <v>short ton</v>
      </c>
      <c r="D6" s="35">
        <v>1.102311</v>
      </c>
      <c r="E6" s="35">
        <f t="shared" si="0"/>
        <v>0.90718499588591606</v>
      </c>
      <c r="F6" s="35" t="s">
        <v>53</v>
      </c>
    </row>
    <row r="7" spans="2:10">
      <c r="B7" s="35" t="str">
        <f>$B$29</f>
        <v>tonne</v>
      </c>
      <c r="C7" s="35" t="str">
        <f>$B$39</f>
        <v>lbs</v>
      </c>
      <c r="D7" s="35">
        <v>2204.62</v>
      </c>
      <c r="E7" s="35">
        <f t="shared" si="0"/>
        <v>4.535929094356397E-4</v>
      </c>
      <c r="F7" s="35" t="s">
        <v>54</v>
      </c>
    </row>
    <row r="8" spans="2:10">
      <c r="B8" s="35" t="str">
        <f>$B$30</f>
        <v>short ton</v>
      </c>
      <c r="C8" s="35" t="str">
        <f>$B$39</f>
        <v>lbs</v>
      </c>
      <c r="D8" s="35">
        <v>1999.998</v>
      </c>
      <c r="E8" s="35">
        <f t="shared" si="0"/>
        <v>5.000005000005E-4</v>
      </c>
      <c r="F8" s="35" t="s">
        <v>55</v>
      </c>
    </row>
    <row r="9" spans="2:10">
      <c r="B9" s="35" t="str">
        <f>$B$29</f>
        <v>tonne</v>
      </c>
      <c r="C9" s="35" t="str">
        <f>$B$28</f>
        <v>kg</v>
      </c>
      <c r="D9" s="35">
        <v>1000</v>
      </c>
      <c r="E9" s="35">
        <f t="shared" si="0"/>
        <v>1E-3</v>
      </c>
      <c r="F9" s="35" t="s">
        <v>56</v>
      </c>
    </row>
    <row r="10" spans="2:10">
      <c r="B10" s="35" t="str">
        <f>$B$26</f>
        <v>kWh</v>
      </c>
      <c r="C10" s="35" t="str">
        <f>$B$40</f>
        <v>kJ</v>
      </c>
      <c r="D10" s="35">
        <v>3600</v>
      </c>
      <c r="E10" s="35">
        <f t="shared" si="0"/>
        <v>2.7777777777777778E-4</v>
      </c>
      <c r="F10" s="35" t="s">
        <v>48</v>
      </c>
    </row>
    <row r="11" spans="2:10">
      <c r="B11" s="35" t="str">
        <f>$B$31</f>
        <v>gallon</v>
      </c>
      <c r="C11" s="35" t="str">
        <f>$B$41</f>
        <v>litre</v>
      </c>
      <c r="D11" s="35">
        <v>3.785412</v>
      </c>
      <c r="E11" s="35">
        <f t="shared" si="0"/>
        <v>0.26417203728418465</v>
      </c>
      <c r="F11" s="35" t="s">
        <v>47</v>
      </c>
    </row>
    <row r="12" spans="2:10">
      <c r="B12" s="35" t="str">
        <f>$B$32</f>
        <v>gallons water</v>
      </c>
      <c r="C12" s="35" t="str">
        <f>$B$39</f>
        <v>lbs</v>
      </c>
      <c r="D12" s="35">
        <v>8.3454044872932904</v>
      </c>
      <c r="E12" s="35">
        <f t="shared" si="0"/>
        <v>0.11982642681041998</v>
      </c>
      <c r="F12" s="35" t="s">
        <v>46</v>
      </c>
    </row>
    <row r="13" spans="2:10">
      <c r="B13" s="35" t="str">
        <f>$B$34</f>
        <v>m3</v>
      </c>
      <c r="C13" s="35" t="str">
        <f>$B$42</f>
        <v>ft3</v>
      </c>
      <c r="D13" s="35">
        <v>35.31467</v>
      </c>
      <c r="E13" s="35">
        <f t="shared" si="0"/>
        <v>2.8316843963146193E-2</v>
      </c>
      <c r="F13" s="35" t="s">
        <v>45</v>
      </c>
      <c r="G13"/>
    </row>
    <row r="14" spans="2:10">
      <c r="B14" s="35" t="str">
        <f>$B$35</f>
        <v>MJ</v>
      </c>
      <c r="C14" s="35" t="str">
        <f>$B$40</f>
        <v>kJ</v>
      </c>
      <c r="D14" s="35">
        <v>1000</v>
      </c>
      <c r="E14" s="35">
        <f t="shared" si="0"/>
        <v>1E-3</v>
      </c>
      <c r="F14" s="35" t="s">
        <v>44</v>
      </c>
    </row>
    <row r="15" spans="2:10">
      <c r="B15" s="35" t="str">
        <f>$B$36</f>
        <v>GJ</v>
      </c>
      <c r="C15" s="35" t="str">
        <f>$B$35</f>
        <v>MJ</v>
      </c>
      <c r="D15" s="35">
        <v>1000</v>
      </c>
      <c r="E15" s="35">
        <f t="shared" si="0"/>
        <v>1E-3</v>
      </c>
      <c r="F15" s="35" t="s">
        <v>43</v>
      </c>
    </row>
    <row r="16" spans="2:10">
      <c r="B16" s="35" t="str">
        <f>$B$37</f>
        <v>megaliter</v>
      </c>
      <c r="C16" s="35" t="str">
        <f>$B$41</f>
        <v>litre</v>
      </c>
      <c r="D16" s="35">
        <v>1000000</v>
      </c>
      <c r="E16" s="35">
        <f t="shared" si="0"/>
        <v>9.9999999999999995E-7</v>
      </c>
      <c r="F16" s="35" t="s">
        <v>42</v>
      </c>
    </row>
    <row r="17" spans="1:27">
      <c r="B17" s="35" t="str">
        <f>$B$35</f>
        <v>MJ</v>
      </c>
      <c r="C17" s="35" t="str">
        <f>$B$44</f>
        <v>MMBtu</v>
      </c>
      <c r="D17" s="35">
        <f>0.9484514/1000</f>
        <v>9.4845139999999992E-4</v>
      </c>
      <c r="E17" s="35">
        <f t="shared" si="0"/>
        <v>1054.3502808894584</v>
      </c>
      <c r="F17" s="35" t="s">
        <v>40</v>
      </c>
    </row>
    <row r="18" spans="1:27">
      <c r="B18" s="35" t="str">
        <f>$B$28</f>
        <v>kg</v>
      </c>
      <c r="C18" s="35" t="str">
        <f>$B$30</f>
        <v>short ton</v>
      </c>
      <c r="D18" s="35">
        <f>E6*1000</f>
        <v>907.18499588591601</v>
      </c>
      <c r="E18" s="35">
        <f t="shared" si="0"/>
        <v>1.1023110000000001E-3</v>
      </c>
      <c r="F18" s="35" t="s">
        <v>41</v>
      </c>
    </row>
    <row r="19" spans="1:27">
      <c r="B19" s="35" t="str">
        <f>$B$34</f>
        <v>m3</v>
      </c>
      <c r="C19" s="35" t="str">
        <f>$B$45</f>
        <v>yd3</v>
      </c>
      <c r="D19" s="35">
        <v>1.3079510000000001</v>
      </c>
      <c r="E19" s="35">
        <f t="shared" si="0"/>
        <v>0.76455463545652702</v>
      </c>
      <c r="F19" s="35" t="s">
        <v>73</v>
      </c>
    </row>
    <row r="20" spans="1:27">
      <c r="B20" s="35" t="str">
        <f>$B$34</f>
        <v>m3</v>
      </c>
      <c r="C20" s="35" t="str">
        <f>$B$31</f>
        <v>gallon</v>
      </c>
      <c r="D20" s="35">
        <f>E11*1000</f>
        <v>264.17203728418463</v>
      </c>
      <c r="E20" s="35">
        <f>1/D20</f>
        <v>3.7854120000000006E-3</v>
      </c>
      <c r="F20" s="35" t="s">
        <v>214</v>
      </c>
    </row>
    <row r="21" spans="1:27">
      <c r="B21" s="35" t="str">
        <f>$B$50</f>
        <v>board feet</v>
      </c>
      <c r="C21" s="35" t="str">
        <f>$B$34</f>
        <v>m3</v>
      </c>
      <c r="D21" s="35">
        <f>144*0.0254^3</f>
        <v>2.3597372159999998E-3</v>
      </c>
      <c r="E21" s="35">
        <f>1/D21</f>
        <v>423.77600065786311</v>
      </c>
      <c r="F21" s="35" t="s">
        <v>246</v>
      </c>
    </row>
    <row r="23" spans="1:27">
      <c r="B23" s="3" t="s">
        <v>125</v>
      </c>
    </row>
    <row r="24" spans="1:27">
      <c r="B24" s="3">
        <f>COLUMN(B$24)-COLUMN($B$24)+1</f>
        <v>1</v>
      </c>
      <c r="C24" s="3">
        <f t="shared" ref="C24:AA24" si="1">COLUMN(C$24)-COLUMN($B$24)+1</f>
        <v>2</v>
      </c>
      <c r="D24" s="3">
        <f t="shared" si="1"/>
        <v>3</v>
      </c>
      <c r="E24" s="3">
        <f t="shared" si="1"/>
        <v>4</v>
      </c>
      <c r="F24" s="3">
        <f t="shared" si="1"/>
        <v>5</v>
      </c>
      <c r="G24" s="3">
        <f t="shared" si="1"/>
        <v>6</v>
      </c>
      <c r="H24" s="3">
        <f t="shared" si="1"/>
        <v>7</v>
      </c>
      <c r="I24" s="3">
        <f t="shared" si="1"/>
        <v>8</v>
      </c>
      <c r="J24" s="3">
        <f t="shared" si="1"/>
        <v>9</v>
      </c>
      <c r="K24" s="3">
        <f t="shared" si="1"/>
        <v>10</v>
      </c>
      <c r="L24" s="3">
        <f t="shared" si="1"/>
        <v>11</v>
      </c>
      <c r="M24" s="3">
        <f t="shared" si="1"/>
        <v>12</v>
      </c>
      <c r="N24" s="3">
        <f t="shared" si="1"/>
        <v>13</v>
      </c>
      <c r="O24" s="3">
        <f t="shared" si="1"/>
        <v>14</v>
      </c>
      <c r="P24" s="3">
        <f t="shared" si="1"/>
        <v>15</v>
      </c>
      <c r="Q24" s="3">
        <f t="shared" si="1"/>
        <v>16</v>
      </c>
      <c r="R24" s="3">
        <f t="shared" si="1"/>
        <v>17</v>
      </c>
      <c r="S24" s="3">
        <f t="shared" si="1"/>
        <v>18</v>
      </c>
      <c r="T24" s="3">
        <f>COLUMN(T24)-COLUMN($B24)+1</f>
        <v>19</v>
      </c>
      <c r="U24" s="3">
        <f t="shared" si="1"/>
        <v>20</v>
      </c>
      <c r="V24" s="3">
        <f t="shared" si="1"/>
        <v>21</v>
      </c>
      <c r="W24" s="3">
        <f>COLUMN(W24)-COLUMN($B24)+1</f>
        <v>22</v>
      </c>
      <c r="X24" s="3">
        <f>COLUMN(X24)-COLUMN($B24)+1</f>
        <v>23</v>
      </c>
      <c r="Y24" s="3">
        <f>COLUMN(Y24)-COLUMN($B24)+1</f>
        <v>24</v>
      </c>
      <c r="Z24" s="3">
        <f t="shared" si="1"/>
        <v>25</v>
      </c>
      <c r="AA24" s="3">
        <f t="shared" si="1"/>
        <v>26</v>
      </c>
    </row>
    <row r="25" spans="1:27">
      <c r="A25" s="3">
        <f>ROW($A25)-ROW($A$25)+1</f>
        <v>1</v>
      </c>
      <c r="B25" s="35" t="s">
        <v>475</v>
      </c>
      <c r="C25" s="35" t="str">
        <f>$B$26</f>
        <v>kWh</v>
      </c>
      <c r="D25" s="35" t="str">
        <f>$B$27</f>
        <v>km</v>
      </c>
      <c r="E25" s="35" t="str">
        <f>$B$28</f>
        <v>kg</v>
      </c>
      <c r="F25" s="35" t="str">
        <f>$B$29</f>
        <v>tonne</v>
      </c>
      <c r="G25" s="35" t="str">
        <f>$B$30</f>
        <v>short ton</v>
      </c>
      <c r="H25" s="35" t="str">
        <f>$B$31</f>
        <v>gallon</v>
      </c>
      <c r="I25" s="35" t="str">
        <f>$B$32</f>
        <v>gallons water</v>
      </c>
      <c r="J25" s="35" t="str">
        <f>$B$33</f>
        <v>kgal</v>
      </c>
      <c r="K25" s="35" t="str">
        <f>$B$34</f>
        <v>m3</v>
      </c>
      <c r="L25" s="35" t="str">
        <f>$B$35</f>
        <v>MJ</v>
      </c>
      <c r="M25" s="35" t="str">
        <f>$B$36</f>
        <v>GJ</v>
      </c>
      <c r="N25" s="35" t="str">
        <f>$B$37</f>
        <v>megaliter</v>
      </c>
      <c r="O25" s="35" t="str">
        <f>$B$38</f>
        <v>mile</v>
      </c>
      <c r="P25" s="35" t="str">
        <f>$B$39</f>
        <v>lbs</v>
      </c>
      <c r="Q25" s="35" t="str">
        <f>$B$40</f>
        <v>kJ</v>
      </c>
      <c r="R25" s="35" t="str">
        <f>$B$41</f>
        <v>litre</v>
      </c>
      <c r="S25" s="35" t="str">
        <f>$B$42</f>
        <v>ft3</v>
      </c>
      <c r="T25" s="35" t="str">
        <f>$B$43</f>
        <v>therms</v>
      </c>
      <c r="U25" s="35" t="str">
        <f>$B$44</f>
        <v>MMBtu</v>
      </c>
      <c r="V25" s="35" t="str">
        <f>$B$45</f>
        <v>yd3</v>
      </c>
      <c r="W25" s="35" t="str">
        <f>$B$46</f>
        <v>ounce</v>
      </c>
      <c r="X25" s="35" t="str">
        <f>$B$47</f>
        <v>fl. ounce</v>
      </c>
      <c r="Y25" s="35" t="str">
        <f>$B$48</f>
        <v>gram</v>
      </c>
      <c r="Z25" s="35" t="str">
        <f>$B$49</f>
        <v>MBtu</v>
      </c>
      <c r="AA25" s="35" t="str">
        <f>$B$50</f>
        <v>board feet</v>
      </c>
    </row>
    <row r="26" spans="1:27">
      <c r="A26" s="3">
        <f t="shared" ref="A26:A50" si="2">ROW($A26)-ROW($A$25)+1</f>
        <v>2</v>
      </c>
      <c r="B26" s="124" t="s">
        <v>37</v>
      </c>
      <c r="C26" s="35">
        <v>1</v>
      </c>
      <c r="D26" s="35" t="e">
        <f>NA()</f>
        <v>#N/A</v>
      </c>
      <c r="E26" s="35" t="e">
        <f>NA()</f>
        <v>#N/A</v>
      </c>
      <c r="F26" s="35" t="e">
        <f>NA()</f>
        <v>#N/A</v>
      </c>
      <c r="G26" s="35" t="e">
        <f>NA()</f>
        <v>#N/A</v>
      </c>
      <c r="H26" s="35" t="e">
        <f>NA()</f>
        <v>#N/A</v>
      </c>
      <c r="I26" s="35" t="e">
        <f>NA()</f>
        <v>#N/A</v>
      </c>
      <c r="J26" s="35" t="e">
        <f>NA()</f>
        <v>#N/A</v>
      </c>
      <c r="K26" s="35" t="e">
        <f>NA()</f>
        <v>#N/A</v>
      </c>
      <c r="L26" s="35">
        <f>$D$3</f>
        <v>3.6</v>
      </c>
      <c r="M26" s="35" t="e">
        <f>NA()</f>
        <v>#N/A</v>
      </c>
      <c r="N26" s="35" t="e">
        <f>NA()</f>
        <v>#N/A</v>
      </c>
      <c r="O26" s="35" t="e">
        <f>NA()</f>
        <v>#N/A</v>
      </c>
      <c r="P26" s="35" t="e">
        <f>NA()</f>
        <v>#N/A</v>
      </c>
      <c r="Q26" s="35">
        <f>$D$10</f>
        <v>3600</v>
      </c>
      <c r="R26" s="35" t="e">
        <f>NA()</f>
        <v>#N/A</v>
      </c>
      <c r="S26" s="35" t="e">
        <f>NA()</f>
        <v>#N/A</v>
      </c>
      <c r="T26" s="35" t="e">
        <f>NA()</f>
        <v>#N/A</v>
      </c>
      <c r="U26" s="35" t="e">
        <f>NA()</f>
        <v>#N/A</v>
      </c>
      <c r="V26" s="35" t="e">
        <f>NA()</f>
        <v>#N/A</v>
      </c>
      <c r="W26" s="35" t="e">
        <f>NA()</f>
        <v>#N/A</v>
      </c>
      <c r="X26" s="35" t="e">
        <f>NA()</f>
        <v>#N/A</v>
      </c>
      <c r="Y26" s="35" t="e">
        <f>NA()</f>
        <v>#N/A</v>
      </c>
      <c r="Z26" s="35" t="e">
        <f>NA()</f>
        <v>#N/A</v>
      </c>
      <c r="AA26" s="35" t="e">
        <f>NA()</f>
        <v>#N/A</v>
      </c>
    </row>
    <row r="27" spans="1:27">
      <c r="A27" s="3">
        <f t="shared" si="2"/>
        <v>3</v>
      </c>
      <c r="B27" s="124" t="s">
        <v>20</v>
      </c>
      <c r="C27" s="35" t="e">
        <f>NA()</f>
        <v>#N/A</v>
      </c>
      <c r="D27" s="35">
        <v>1</v>
      </c>
      <c r="E27" s="35" t="e">
        <f>NA()</f>
        <v>#N/A</v>
      </c>
      <c r="F27" s="35" t="e">
        <f>NA()</f>
        <v>#N/A</v>
      </c>
      <c r="G27" s="35" t="e">
        <f>NA()</f>
        <v>#N/A</v>
      </c>
      <c r="H27" s="35" t="e">
        <f>NA()</f>
        <v>#N/A</v>
      </c>
      <c r="I27" s="35" t="e">
        <f>NA()</f>
        <v>#N/A</v>
      </c>
      <c r="J27" s="35" t="e">
        <f>NA()</f>
        <v>#N/A</v>
      </c>
      <c r="K27" s="35" t="e">
        <f>NA()</f>
        <v>#N/A</v>
      </c>
      <c r="L27" s="35" t="e">
        <f>NA()</f>
        <v>#N/A</v>
      </c>
      <c r="M27" s="35" t="e">
        <f>NA()</f>
        <v>#N/A</v>
      </c>
      <c r="N27" s="35" t="e">
        <f>NA()</f>
        <v>#N/A</v>
      </c>
      <c r="O27" s="35">
        <f>$D$4</f>
        <v>0.62136990000000003</v>
      </c>
      <c r="P27" s="35" t="e">
        <f>NA()</f>
        <v>#N/A</v>
      </c>
      <c r="Q27" s="35" t="e">
        <f>NA()</f>
        <v>#N/A</v>
      </c>
      <c r="R27" s="35" t="e">
        <f>NA()</f>
        <v>#N/A</v>
      </c>
      <c r="S27" s="35" t="e">
        <f>NA()</f>
        <v>#N/A</v>
      </c>
      <c r="T27" s="35" t="e">
        <f>NA()</f>
        <v>#N/A</v>
      </c>
      <c r="U27" s="35" t="e">
        <f>NA()</f>
        <v>#N/A</v>
      </c>
      <c r="V27" s="35" t="e">
        <f>NA()</f>
        <v>#N/A</v>
      </c>
      <c r="W27" s="35" t="e">
        <f>NA()</f>
        <v>#N/A</v>
      </c>
      <c r="X27" s="35" t="e">
        <f>NA()</f>
        <v>#N/A</v>
      </c>
      <c r="Y27" s="35" t="e">
        <f>NA()</f>
        <v>#N/A</v>
      </c>
      <c r="Z27" s="35" t="e">
        <f>NA()</f>
        <v>#N/A</v>
      </c>
      <c r="AA27" s="35" t="e">
        <f>NA()</f>
        <v>#N/A</v>
      </c>
    </row>
    <row r="28" spans="1:27">
      <c r="A28" s="3">
        <f t="shared" si="2"/>
        <v>4</v>
      </c>
      <c r="B28" s="124" t="s">
        <v>22</v>
      </c>
      <c r="C28" s="35" t="e">
        <f>NA()</f>
        <v>#N/A</v>
      </c>
      <c r="D28" s="35" t="e">
        <f>NA()</f>
        <v>#N/A</v>
      </c>
      <c r="E28" s="35">
        <v>1</v>
      </c>
      <c r="F28" s="35">
        <f>$E$9</f>
        <v>1E-3</v>
      </c>
      <c r="G28" s="35">
        <f>$E$18</f>
        <v>1.1023110000000001E-3</v>
      </c>
      <c r="H28" s="35" t="e">
        <f>NA()</f>
        <v>#N/A</v>
      </c>
      <c r="I28" s="35" t="e">
        <f>NA()</f>
        <v>#N/A</v>
      </c>
      <c r="J28" s="35" t="e">
        <f>NA()</f>
        <v>#N/A</v>
      </c>
      <c r="K28" s="35" t="e">
        <f>NA()</f>
        <v>#N/A</v>
      </c>
      <c r="L28" s="35" t="e">
        <f>NA()</f>
        <v>#N/A</v>
      </c>
      <c r="M28" s="35" t="e">
        <f>NA()</f>
        <v>#N/A</v>
      </c>
      <c r="N28" s="35" t="e">
        <f>NA()</f>
        <v>#N/A</v>
      </c>
      <c r="O28" s="35" t="e">
        <f>NA()</f>
        <v>#N/A</v>
      </c>
      <c r="P28" s="35">
        <f>$D$5</f>
        <v>2.2046199999999998</v>
      </c>
      <c r="Q28" s="35" t="e">
        <f>NA()</f>
        <v>#N/A</v>
      </c>
      <c r="R28" s="35" t="e">
        <f>NA()</f>
        <v>#N/A</v>
      </c>
      <c r="S28" s="35" t="e">
        <f>NA()</f>
        <v>#N/A</v>
      </c>
      <c r="T28" s="35" t="e">
        <f>NA()</f>
        <v>#N/A</v>
      </c>
      <c r="U28" s="35" t="e">
        <f>NA()</f>
        <v>#N/A</v>
      </c>
      <c r="V28" s="35" t="e">
        <f>NA()</f>
        <v>#N/A</v>
      </c>
      <c r="W28" s="35" t="e">
        <f>NA()</f>
        <v>#N/A</v>
      </c>
      <c r="X28" s="35" t="e">
        <f>NA()</f>
        <v>#N/A</v>
      </c>
      <c r="Y28" s="35">
        <v>1000</v>
      </c>
      <c r="Z28" s="35" t="e">
        <f>NA()</f>
        <v>#N/A</v>
      </c>
      <c r="AA28" s="35" t="e">
        <f>NA()</f>
        <v>#N/A</v>
      </c>
    </row>
    <row r="29" spans="1:27">
      <c r="A29" s="3">
        <f t="shared" si="2"/>
        <v>5</v>
      </c>
      <c r="B29" s="124" t="s">
        <v>329</v>
      </c>
      <c r="C29" s="35" t="e">
        <f>NA()</f>
        <v>#N/A</v>
      </c>
      <c r="D29" s="35" t="e">
        <f>NA()</f>
        <v>#N/A</v>
      </c>
      <c r="E29" s="35">
        <f>$D$9</f>
        <v>1000</v>
      </c>
      <c r="F29" s="35">
        <v>1</v>
      </c>
      <c r="G29" s="35">
        <f>$D$6</f>
        <v>1.102311</v>
      </c>
      <c r="H29" s="35" t="e">
        <f>NA()</f>
        <v>#N/A</v>
      </c>
      <c r="I29" s="35" t="e">
        <f>NA()</f>
        <v>#N/A</v>
      </c>
      <c r="J29" s="35" t="e">
        <f>NA()</f>
        <v>#N/A</v>
      </c>
      <c r="K29" s="35" t="e">
        <f>NA()</f>
        <v>#N/A</v>
      </c>
      <c r="L29" s="35" t="e">
        <f>NA()</f>
        <v>#N/A</v>
      </c>
      <c r="M29" s="35" t="e">
        <f>NA()</f>
        <v>#N/A</v>
      </c>
      <c r="N29" s="35" t="e">
        <f>NA()</f>
        <v>#N/A</v>
      </c>
      <c r="O29" s="35" t="e">
        <f>NA()</f>
        <v>#N/A</v>
      </c>
      <c r="P29" s="35">
        <f>$D$7</f>
        <v>2204.62</v>
      </c>
      <c r="Q29" s="35" t="e">
        <f>NA()</f>
        <v>#N/A</v>
      </c>
      <c r="R29" s="35" t="e">
        <f>NA()</f>
        <v>#N/A</v>
      </c>
      <c r="S29" s="35" t="e">
        <f>NA()</f>
        <v>#N/A</v>
      </c>
      <c r="T29" s="35" t="e">
        <f>NA()</f>
        <v>#N/A</v>
      </c>
      <c r="U29" s="35" t="e">
        <f>NA()</f>
        <v>#N/A</v>
      </c>
      <c r="V29" s="35" t="e">
        <f>NA()</f>
        <v>#N/A</v>
      </c>
      <c r="W29" s="35" t="e">
        <f>NA()</f>
        <v>#N/A</v>
      </c>
      <c r="X29" s="35" t="e">
        <f>NA()</f>
        <v>#N/A</v>
      </c>
      <c r="Y29" s="35">
        <v>1000000</v>
      </c>
      <c r="Z29" s="35" t="e">
        <f>NA()</f>
        <v>#N/A</v>
      </c>
      <c r="AA29" s="35" t="e">
        <f>NA()</f>
        <v>#N/A</v>
      </c>
    </row>
    <row r="30" spans="1:27">
      <c r="A30" s="3">
        <f t="shared" si="2"/>
        <v>6</v>
      </c>
      <c r="B30" s="124" t="s">
        <v>30</v>
      </c>
      <c r="C30" s="35" t="e">
        <f>NA()</f>
        <v>#N/A</v>
      </c>
      <c r="D30" s="35" t="e">
        <f>NA()</f>
        <v>#N/A</v>
      </c>
      <c r="E30" s="35">
        <f>$D$18</f>
        <v>907.18499588591601</v>
      </c>
      <c r="F30" s="35">
        <f>$E$6</f>
        <v>0.90718499588591606</v>
      </c>
      <c r="G30" s="35">
        <v>1</v>
      </c>
      <c r="H30" s="35" t="e">
        <f>NA()</f>
        <v>#N/A</v>
      </c>
      <c r="I30" s="35" t="e">
        <f>NA()</f>
        <v>#N/A</v>
      </c>
      <c r="J30" s="35" t="e">
        <f>NA()</f>
        <v>#N/A</v>
      </c>
      <c r="K30" s="35" t="e">
        <f>NA()</f>
        <v>#N/A</v>
      </c>
      <c r="L30" s="35" t="e">
        <f>NA()</f>
        <v>#N/A</v>
      </c>
      <c r="M30" s="35" t="e">
        <f>NA()</f>
        <v>#N/A</v>
      </c>
      <c r="N30" s="35" t="e">
        <f>NA()</f>
        <v>#N/A</v>
      </c>
      <c r="O30" s="35" t="e">
        <f>NA()</f>
        <v>#N/A</v>
      </c>
      <c r="P30" s="35">
        <f>$D$8</f>
        <v>1999.998</v>
      </c>
      <c r="Q30" s="35" t="e">
        <f>NA()</f>
        <v>#N/A</v>
      </c>
      <c r="R30" s="35" t="e">
        <f>NA()</f>
        <v>#N/A</v>
      </c>
      <c r="S30" s="35" t="e">
        <f>NA()</f>
        <v>#N/A</v>
      </c>
      <c r="T30" s="35" t="e">
        <f>NA()</f>
        <v>#N/A</v>
      </c>
      <c r="U30" s="35" t="e">
        <f>NA()</f>
        <v>#N/A</v>
      </c>
      <c r="V30" s="35" t="e">
        <f>NA()</f>
        <v>#N/A</v>
      </c>
      <c r="W30" s="35">
        <f>$P$30*$W$39</f>
        <v>31999.968000000001</v>
      </c>
      <c r="X30" s="35" t="e">
        <f>NA()</f>
        <v>#N/A</v>
      </c>
      <c r="Y30" s="35">
        <f>$Y$29*$F$30</f>
        <v>907184.99588591605</v>
      </c>
      <c r="Z30" s="35" t="e">
        <f>NA()</f>
        <v>#N/A</v>
      </c>
      <c r="AA30" s="35" t="e">
        <f>NA()</f>
        <v>#N/A</v>
      </c>
    </row>
    <row r="31" spans="1:27">
      <c r="A31" s="3">
        <f t="shared" si="2"/>
        <v>7</v>
      </c>
      <c r="B31" s="124" t="s">
        <v>213</v>
      </c>
      <c r="C31" s="35" t="e">
        <f>NA()</f>
        <v>#N/A</v>
      </c>
      <c r="D31" s="35" t="e">
        <f>NA()</f>
        <v>#N/A</v>
      </c>
      <c r="E31" s="35" t="e">
        <f>NA()</f>
        <v>#N/A</v>
      </c>
      <c r="F31" s="35" t="e">
        <f>NA()</f>
        <v>#N/A</v>
      </c>
      <c r="G31" s="35" t="e">
        <f>NA()</f>
        <v>#N/A</v>
      </c>
      <c r="H31" s="35">
        <v>1</v>
      </c>
      <c r="I31" s="35" t="e">
        <f>NA()</f>
        <v>#N/A</v>
      </c>
      <c r="J31" s="35">
        <v>1000</v>
      </c>
      <c r="K31" s="35">
        <f>E20</f>
        <v>3.7854120000000006E-3</v>
      </c>
      <c r="L31" s="35" t="e">
        <f>NA()</f>
        <v>#N/A</v>
      </c>
      <c r="M31" s="35" t="e">
        <f>NA()</f>
        <v>#N/A</v>
      </c>
      <c r="N31" s="35" t="e">
        <f>NA()</f>
        <v>#N/A</v>
      </c>
      <c r="O31" s="35" t="e">
        <f>NA()</f>
        <v>#N/A</v>
      </c>
      <c r="P31" s="35" t="e">
        <f>NA()</f>
        <v>#N/A</v>
      </c>
      <c r="Q31" s="35" t="e">
        <f>NA()</f>
        <v>#N/A</v>
      </c>
      <c r="R31" s="35">
        <f>$D$11</f>
        <v>3.785412</v>
      </c>
      <c r="S31" s="35">
        <f>1/$H$42</f>
        <v>0.13368055555590369</v>
      </c>
      <c r="T31" s="35" t="e">
        <f>NA()</f>
        <v>#N/A</v>
      </c>
      <c r="U31" s="35" t="e">
        <f>NA()</f>
        <v>#N/A</v>
      </c>
      <c r="V31" s="35" t="e">
        <f>NA()</f>
        <v>#N/A</v>
      </c>
      <c r="W31" s="35" t="e">
        <f>NA()</f>
        <v>#N/A</v>
      </c>
      <c r="X31" s="35">
        <v>128</v>
      </c>
      <c r="Y31" s="35" t="e">
        <f>NA()</f>
        <v>#N/A</v>
      </c>
      <c r="Z31" s="35" t="e">
        <f>NA()</f>
        <v>#N/A</v>
      </c>
      <c r="AA31" s="35" t="e">
        <f>NA()</f>
        <v>#N/A</v>
      </c>
    </row>
    <row r="32" spans="1:27">
      <c r="A32" s="3">
        <f t="shared" si="2"/>
        <v>8</v>
      </c>
      <c r="B32" s="124" t="s">
        <v>35</v>
      </c>
      <c r="C32" s="35" t="e">
        <f>NA()</f>
        <v>#N/A</v>
      </c>
      <c r="D32" s="35" t="e">
        <f>NA()</f>
        <v>#N/A</v>
      </c>
      <c r="E32" s="35" t="e">
        <f>NA()</f>
        <v>#N/A</v>
      </c>
      <c r="F32" s="35" t="e">
        <f>NA()</f>
        <v>#N/A</v>
      </c>
      <c r="G32" s="35" t="e">
        <f>NA()</f>
        <v>#N/A</v>
      </c>
      <c r="H32" s="35" t="e">
        <f>NA()</f>
        <v>#N/A</v>
      </c>
      <c r="I32" s="35">
        <v>1</v>
      </c>
      <c r="J32" s="35">
        <v>1000</v>
      </c>
      <c r="K32" s="35" t="e">
        <f>NA()</f>
        <v>#N/A</v>
      </c>
      <c r="L32" s="35" t="e">
        <f>NA()</f>
        <v>#N/A</v>
      </c>
      <c r="M32" s="35" t="e">
        <f>NA()</f>
        <v>#N/A</v>
      </c>
      <c r="N32" s="35" t="e">
        <f>NA()</f>
        <v>#N/A</v>
      </c>
      <c r="O32" s="35" t="e">
        <f>NA()</f>
        <v>#N/A</v>
      </c>
      <c r="P32" s="35">
        <f>$D$12</f>
        <v>8.3454044872932904</v>
      </c>
      <c r="Q32" s="35" t="e">
        <f>NA()</f>
        <v>#N/A</v>
      </c>
      <c r="R32" s="35" t="e">
        <f>NA()</f>
        <v>#N/A</v>
      </c>
      <c r="S32" s="35" t="e">
        <f>NA()</f>
        <v>#N/A</v>
      </c>
      <c r="T32" s="35" t="e">
        <f>NA()</f>
        <v>#N/A</v>
      </c>
      <c r="U32" s="35" t="e">
        <f>NA()</f>
        <v>#N/A</v>
      </c>
      <c r="V32" s="35" t="e">
        <f>NA()</f>
        <v>#N/A</v>
      </c>
      <c r="W32" s="35" t="e">
        <f>NA()</f>
        <v>#N/A</v>
      </c>
      <c r="X32" s="35" t="e">
        <f>NA()</f>
        <v>#N/A</v>
      </c>
      <c r="Y32" s="35" t="e">
        <f>NA()</f>
        <v>#N/A</v>
      </c>
      <c r="Z32" s="35" t="e">
        <f>NA()</f>
        <v>#N/A</v>
      </c>
      <c r="AA32" s="35" t="e">
        <f>NA()</f>
        <v>#N/A</v>
      </c>
    </row>
    <row r="33" spans="1:27">
      <c r="A33" s="3">
        <f t="shared" si="2"/>
        <v>9</v>
      </c>
      <c r="B33" s="124" t="s">
        <v>504</v>
      </c>
      <c r="C33" s="35" t="e">
        <f>NA()</f>
        <v>#N/A</v>
      </c>
      <c r="D33" s="35" t="e">
        <f>NA()</f>
        <v>#N/A</v>
      </c>
      <c r="E33" s="35" t="e">
        <f>NA()</f>
        <v>#N/A</v>
      </c>
      <c r="F33" s="35" t="e">
        <f>NA()</f>
        <v>#N/A</v>
      </c>
      <c r="G33" s="35" t="e">
        <f>NA()</f>
        <v>#N/A</v>
      </c>
      <c r="H33" s="35">
        <v>1000</v>
      </c>
      <c r="I33" s="35">
        <v>1000</v>
      </c>
      <c r="J33" s="35">
        <v>1</v>
      </c>
      <c r="K33" s="35">
        <f>$E$20*1000</f>
        <v>3.7854120000000004</v>
      </c>
      <c r="L33" s="35" t="e">
        <f>NA()</f>
        <v>#N/A</v>
      </c>
      <c r="M33" s="35" t="e">
        <f>NA()</f>
        <v>#N/A</v>
      </c>
      <c r="N33" s="35" t="e">
        <f>NA()</f>
        <v>#N/A</v>
      </c>
      <c r="O33" s="35" t="e">
        <f>NA()</f>
        <v>#N/A</v>
      </c>
      <c r="P33" s="35" t="e">
        <f>NA()</f>
        <v>#N/A</v>
      </c>
      <c r="Q33" s="35" t="e">
        <f>NA()</f>
        <v>#N/A</v>
      </c>
      <c r="R33" s="35" t="e">
        <f>NA()</f>
        <v>#N/A</v>
      </c>
      <c r="S33" s="35">
        <f>1/$J$42</f>
        <v>133.68055555590368</v>
      </c>
      <c r="T33" s="35" t="e">
        <f>NA()</f>
        <v>#N/A</v>
      </c>
      <c r="U33" s="35" t="e">
        <f>NA()</f>
        <v>#N/A</v>
      </c>
      <c r="V33" s="35" t="e">
        <f>NA()</f>
        <v>#N/A</v>
      </c>
      <c r="W33" s="35" t="e">
        <f>NA()</f>
        <v>#N/A</v>
      </c>
      <c r="X33" s="35">
        <f>$X$31/1000</f>
        <v>0.128</v>
      </c>
      <c r="Y33" s="35" t="e">
        <f>NA()</f>
        <v>#N/A</v>
      </c>
      <c r="Z33" s="35" t="e">
        <f>NA()</f>
        <v>#N/A</v>
      </c>
      <c r="AA33" s="35" t="e">
        <f>NA()</f>
        <v>#N/A</v>
      </c>
    </row>
    <row r="34" spans="1:27">
      <c r="A34" s="3">
        <f t="shared" si="2"/>
        <v>10</v>
      </c>
      <c r="B34" s="124" t="s">
        <v>24</v>
      </c>
      <c r="C34" s="35" t="e">
        <f>NA()</f>
        <v>#N/A</v>
      </c>
      <c r="D34" s="35" t="e">
        <f>NA()</f>
        <v>#N/A</v>
      </c>
      <c r="E34" s="35" t="e">
        <f>NA()</f>
        <v>#N/A</v>
      </c>
      <c r="F34" s="35" t="e">
        <f>NA()</f>
        <v>#N/A</v>
      </c>
      <c r="G34" s="35" t="e">
        <f>NA()</f>
        <v>#N/A</v>
      </c>
      <c r="H34" s="35">
        <f>D20</f>
        <v>264.17203728418463</v>
      </c>
      <c r="I34" s="35" t="e">
        <f>NA()</f>
        <v>#N/A</v>
      </c>
      <c r="J34" s="35">
        <f>$D$20/1000</f>
        <v>0.26417203728418465</v>
      </c>
      <c r="K34" s="35">
        <v>1</v>
      </c>
      <c r="L34" s="35">
        <f>1/$K$35</f>
        <v>38.164883039868997</v>
      </c>
      <c r="M34" s="35">
        <f>$L$34/1000</f>
        <v>3.8164883039868994E-2</v>
      </c>
      <c r="N34" s="35" t="e">
        <f>NA()</f>
        <v>#N/A</v>
      </c>
      <c r="O34" s="35" t="e">
        <f>NA()</f>
        <v>#N/A</v>
      </c>
      <c r="P34" s="35" t="e">
        <f>NA()</f>
        <v>#N/A</v>
      </c>
      <c r="Q34" s="35">
        <f>1/$K$40</f>
        <v>38164.883039868997</v>
      </c>
      <c r="R34" s="35">
        <f>1000</f>
        <v>1000</v>
      </c>
      <c r="S34" s="35">
        <f>D13</f>
        <v>35.31467</v>
      </c>
      <c r="T34" s="35">
        <f>1/$K$43</f>
        <v>0.36197536749999992</v>
      </c>
      <c r="U34" s="35">
        <f>1/$K$44</f>
        <v>3.6197536750000002E-2</v>
      </c>
      <c r="V34" s="35">
        <f>D19</f>
        <v>1.3079510000000001</v>
      </c>
      <c r="W34" s="35" t="e">
        <f>NA()</f>
        <v>#N/A</v>
      </c>
      <c r="X34" s="35">
        <f>1/$K$47</f>
        <v>33814.020772375632</v>
      </c>
      <c r="Y34" s="35" t="e">
        <f>NA()</f>
        <v>#N/A</v>
      </c>
      <c r="Z34" s="35">
        <f>1/$K$49</f>
        <v>36.197536749999998</v>
      </c>
      <c r="AA34" s="35">
        <f>E21</f>
        <v>423.77600065786311</v>
      </c>
    </row>
    <row r="35" spans="1:27">
      <c r="A35" s="3">
        <f t="shared" si="2"/>
        <v>11</v>
      </c>
      <c r="B35" s="124" t="s">
        <v>32</v>
      </c>
      <c r="C35" s="35">
        <f>$E$3</f>
        <v>0.27777777777777779</v>
      </c>
      <c r="D35" s="35" t="e">
        <f>NA()</f>
        <v>#N/A</v>
      </c>
      <c r="E35" s="35" t="e">
        <f>NA()</f>
        <v>#N/A</v>
      </c>
      <c r="F35" s="35" t="e">
        <f>NA()</f>
        <v>#N/A</v>
      </c>
      <c r="G35" s="35" t="e">
        <f>NA()</f>
        <v>#N/A</v>
      </c>
      <c r="H35" s="35" t="e">
        <f>NA()</f>
        <v>#N/A</v>
      </c>
      <c r="I35" s="35" t="e">
        <f>NA()</f>
        <v>#N/A</v>
      </c>
      <c r="J35" s="35" t="e">
        <f>NA()</f>
        <v>#N/A</v>
      </c>
      <c r="K35" s="35">
        <f>$S$35/$S$34</f>
        <v>2.6202097854075661E-2</v>
      </c>
      <c r="L35" s="35">
        <v>1</v>
      </c>
      <c r="M35" s="35">
        <f>$E$15</f>
        <v>1E-3</v>
      </c>
      <c r="N35" s="35" t="e">
        <f>NA()</f>
        <v>#N/A</v>
      </c>
      <c r="O35" s="35" t="e">
        <f>NA()</f>
        <v>#N/A</v>
      </c>
      <c r="P35" s="35" t="e">
        <f>NA()</f>
        <v>#N/A</v>
      </c>
      <c r="Q35" s="35">
        <f>$D$14</f>
        <v>1000</v>
      </c>
      <c r="R35" s="35" t="e">
        <f>NA()</f>
        <v>#N/A</v>
      </c>
      <c r="S35" s="35">
        <f>$S$49/$L$49</f>
        <v>0.92531843902439015</v>
      </c>
      <c r="T35" s="35">
        <f>1/$L$43</f>
        <v>9.4845139999999994E-3</v>
      </c>
      <c r="U35" s="35">
        <f>$D$17</f>
        <v>9.4845139999999992E-4</v>
      </c>
      <c r="V35" s="35" t="e">
        <f>NA()</f>
        <v>#N/A</v>
      </c>
      <c r="W35" s="35" t="e">
        <f>NA()</f>
        <v>#N/A</v>
      </c>
      <c r="X35" s="35" t="e">
        <f>NA()</f>
        <v>#N/A</v>
      </c>
      <c r="Y35" s="35" t="e">
        <f>NA()</f>
        <v>#N/A</v>
      </c>
      <c r="Z35" s="35">
        <f>$D$17*1000</f>
        <v>0.94845139999999994</v>
      </c>
      <c r="AA35" s="35" t="e">
        <f>NA()</f>
        <v>#N/A</v>
      </c>
    </row>
    <row r="36" spans="1:27">
      <c r="A36" s="3">
        <f t="shared" si="2"/>
        <v>12</v>
      </c>
      <c r="B36" s="124" t="s">
        <v>216</v>
      </c>
      <c r="C36" s="35" t="e">
        <f>NA()</f>
        <v>#N/A</v>
      </c>
      <c r="D36" s="35" t="e">
        <f>NA()</f>
        <v>#N/A</v>
      </c>
      <c r="E36" s="35" t="e">
        <f>NA()</f>
        <v>#N/A</v>
      </c>
      <c r="F36" s="35" t="e">
        <f>NA()</f>
        <v>#N/A</v>
      </c>
      <c r="G36" s="35" t="e">
        <f>NA()</f>
        <v>#N/A</v>
      </c>
      <c r="H36" s="35" t="e">
        <f>NA()</f>
        <v>#N/A</v>
      </c>
      <c r="I36" s="35" t="e">
        <f>NA()</f>
        <v>#N/A</v>
      </c>
      <c r="J36" s="35" t="e">
        <f>NA()</f>
        <v>#N/A</v>
      </c>
      <c r="K36" s="35">
        <f>$K$35*1000</f>
        <v>26.20209785407566</v>
      </c>
      <c r="L36" s="35">
        <f>$D$15</f>
        <v>1000</v>
      </c>
      <c r="M36" s="35">
        <v>1</v>
      </c>
      <c r="N36" s="35" t="e">
        <f>NA()</f>
        <v>#N/A</v>
      </c>
      <c r="O36" s="35" t="e">
        <f>NA()</f>
        <v>#N/A</v>
      </c>
      <c r="P36" s="35" t="e">
        <f>NA()</f>
        <v>#N/A</v>
      </c>
      <c r="Q36" s="35">
        <f>$D$14*$D$15</f>
        <v>1000000</v>
      </c>
      <c r="R36" s="35" t="e">
        <f>NA()</f>
        <v>#N/A</v>
      </c>
      <c r="S36" s="35">
        <f>$S$35*1000</f>
        <v>925.31843902439016</v>
      </c>
      <c r="T36" s="35">
        <f>1/$M$43</f>
        <v>9.484513999999999</v>
      </c>
      <c r="U36" s="35">
        <f>$D$17*1000</f>
        <v>0.94845139999999994</v>
      </c>
      <c r="V36" s="35" t="e">
        <f>NA()</f>
        <v>#N/A</v>
      </c>
      <c r="W36" s="35" t="e">
        <f>NA()</f>
        <v>#N/A</v>
      </c>
      <c r="X36" s="35" t="e">
        <f>NA()</f>
        <v>#N/A</v>
      </c>
      <c r="Y36" s="35" t="e">
        <f>NA()</f>
        <v>#N/A</v>
      </c>
      <c r="Z36" s="35">
        <f>$D$17*1000000</f>
        <v>948.45139999999992</v>
      </c>
      <c r="AA36" s="35" t="e">
        <f>NA()</f>
        <v>#N/A</v>
      </c>
    </row>
    <row r="37" spans="1:27">
      <c r="A37" s="3">
        <f t="shared" si="2"/>
        <v>13</v>
      </c>
      <c r="B37" s="124" t="s">
        <v>39</v>
      </c>
      <c r="C37" s="35" t="e">
        <f>NA()</f>
        <v>#N/A</v>
      </c>
      <c r="D37" s="35" t="e">
        <f>NA()</f>
        <v>#N/A</v>
      </c>
      <c r="E37" s="35" t="e">
        <f>NA()</f>
        <v>#N/A</v>
      </c>
      <c r="F37" s="35" t="e">
        <f>NA()</f>
        <v>#N/A</v>
      </c>
      <c r="G37" s="35" t="e">
        <f>NA()</f>
        <v>#N/A</v>
      </c>
      <c r="H37" s="35" t="e">
        <f>NA()</f>
        <v>#N/A</v>
      </c>
      <c r="I37" s="35" t="e">
        <f>NA()</f>
        <v>#N/A</v>
      </c>
      <c r="J37" s="35" t="e">
        <f>NA()</f>
        <v>#N/A</v>
      </c>
      <c r="K37" s="35" t="e">
        <f>NA()</f>
        <v>#N/A</v>
      </c>
      <c r="L37" s="35" t="e">
        <f>NA()</f>
        <v>#N/A</v>
      </c>
      <c r="M37" s="35" t="e">
        <f>NA()</f>
        <v>#N/A</v>
      </c>
      <c r="N37" s="35">
        <v>1</v>
      </c>
      <c r="O37" s="35" t="e">
        <f>NA()</f>
        <v>#N/A</v>
      </c>
      <c r="P37" s="35" t="e">
        <f>NA()</f>
        <v>#N/A</v>
      </c>
      <c r="Q37" s="35" t="e">
        <f>NA()</f>
        <v>#N/A</v>
      </c>
      <c r="R37" s="35">
        <f>$D$16</f>
        <v>1000000</v>
      </c>
      <c r="S37" s="35" t="e">
        <f>NA()</f>
        <v>#N/A</v>
      </c>
      <c r="T37" s="35" t="e">
        <f>NA()</f>
        <v>#N/A</v>
      </c>
      <c r="U37" s="35" t="e">
        <f>NA()</f>
        <v>#N/A</v>
      </c>
      <c r="V37" s="35" t="e">
        <f>NA()</f>
        <v>#N/A</v>
      </c>
      <c r="W37" s="35" t="e">
        <f>NA()</f>
        <v>#N/A</v>
      </c>
      <c r="X37" s="35">
        <f>1/$N$47</f>
        <v>33814020.772375636</v>
      </c>
      <c r="Y37" s="35" t="e">
        <f>NA()</f>
        <v>#N/A</v>
      </c>
      <c r="Z37" s="35" t="e">
        <f>NA()</f>
        <v>#N/A</v>
      </c>
      <c r="AA37" s="35" t="e">
        <f>NA()</f>
        <v>#N/A</v>
      </c>
    </row>
    <row r="38" spans="1:27">
      <c r="A38" s="3">
        <f t="shared" si="2"/>
        <v>14</v>
      </c>
      <c r="B38" s="124" t="s">
        <v>29</v>
      </c>
      <c r="C38" s="35" t="e">
        <f>NA()</f>
        <v>#N/A</v>
      </c>
      <c r="D38" s="35">
        <f>$E$4</f>
        <v>1.6093473468862911</v>
      </c>
      <c r="E38" s="35" t="e">
        <f>NA()</f>
        <v>#N/A</v>
      </c>
      <c r="F38" s="35" t="e">
        <f>NA()</f>
        <v>#N/A</v>
      </c>
      <c r="G38" s="35" t="e">
        <f>NA()</f>
        <v>#N/A</v>
      </c>
      <c r="H38" s="35" t="e">
        <f>NA()</f>
        <v>#N/A</v>
      </c>
      <c r="I38" s="35" t="e">
        <f>NA()</f>
        <v>#N/A</v>
      </c>
      <c r="J38" s="35" t="e">
        <f>NA()</f>
        <v>#N/A</v>
      </c>
      <c r="K38" s="35" t="e">
        <f>NA()</f>
        <v>#N/A</v>
      </c>
      <c r="L38" s="35" t="e">
        <f>NA()</f>
        <v>#N/A</v>
      </c>
      <c r="M38" s="35" t="e">
        <f>NA()</f>
        <v>#N/A</v>
      </c>
      <c r="N38" s="35" t="e">
        <f>NA()</f>
        <v>#N/A</v>
      </c>
      <c r="O38" s="35">
        <v>1</v>
      </c>
      <c r="P38" s="35" t="e">
        <f>NA()</f>
        <v>#N/A</v>
      </c>
      <c r="Q38" s="35" t="e">
        <f>NA()</f>
        <v>#N/A</v>
      </c>
      <c r="R38" s="35" t="e">
        <f>NA()</f>
        <v>#N/A</v>
      </c>
      <c r="S38" s="35" t="e">
        <f>NA()</f>
        <v>#N/A</v>
      </c>
      <c r="T38" s="35" t="e">
        <f>NA()</f>
        <v>#N/A</v>
      </c>
      <c r="U38" s="35" t="e">
        <f>NA()</f>
        <v>#N/A</v>
      </c>
      <c r="V38" s="35" t="e">
        <f>NA()</f>
        <v>#N/A</v>
      </c>
      <c r="W38" s="35" t="e">
        <f>NA()</f>
        <v>#N/A</v>
      </c>
      <c r="X38" s="35" t="e">
        <f>NA()</f>
        <v>#N/A</v>
      </c>
      <c r="Y38" s="35" t="e">
        <f>NA()</f>
        <v>#N/A</v>
      </c>
      <c r="Z38" s="35" t="e">
        <f>NA()</f>
        <v>#N/A</v>
      </c>
      <c r="AA38" s="35" t="e">
        <f>NA()</f>
        <v>#N/A</v>
      </c>
    </row>
    <row r="39" spans="1:27">
      <c r="A39" s="3">
        <f t="shared" si="2"/>
        <v>15</v>
      </c>
      <c r="B39" s="124" t="s">
        <v>28</v>
      </c>
      <c r="C39" s="35" t="e">
        <f>NA()</f>
        <v>#N/A</v>
      </c>
      <c r="D39" s="35" t="e">
        <f>NA()</f>
        <v>#N/A</v>
      </c>
      <c r="E39" s="35">
        <f>$E$5</f>
        <v>0.45359290943563974</v>
      </c>
      <c r="F39" s="35">
        <f>$E$7</f>
        <v>4.535929094356397E-4</v>
      </c>
      <c r="G39" s="35">
        <f>$E$8</f>
        <v>5.000005000005E-4</v>
      </c>
      <c r="H39" s="35" t="e">
        <f>NA()</f>
        <v>#N/A</v>
      </c>
      <c r="I39" s="35">
        <f>$E$12</f>
        <v>0.11982642681041998</v>
      </c>
      <c r="J39" s="35" t="e">
        <f>NA()</f>
        <v>#N/A</v>
      </c>
      <c r="K39" s="35" t="e">
        <f>NA()</f>
        <v>#N/A</v>
      </c>
      <c r="L39" s="35" t="e">
        <f>NA()</f>
        <v>#N/A</v>
      </c>
      <c r="M39" s="35" t="e">
        <f>NA()</f>
        <v>#N/A</v>
      </c>
      <c r="N39" s="35" t="e">
        <f>NA()</f>
        <v>#N/A</v>
      </c>
      <c r="O39" s="35" t="e">
        <f>NA()</f>
        <v>#N/A</v>
      </c>
      <c r="P39" s="35">
        <v>1</v>
      </c>
      <c r="Q39" s="35" t="e">
        <f>NA()</f>
        <v>#N/A</v>
      </c>
      <c r="R39" s="35" t="e">
        <f>NA()</f>
        <v>#N/A</v>
      </c>
      <c r="S39" s="35" t="e">
        <f>NA()</f>
        <v>#N/A</v>
      </c>
      <c r="T39" s="35" t="e">
        <f>NA()</f>
        <v>#N/A</v>
      </c>
      <c r="U39" s="35" t="e">
        <f>NA()</f>
        <v>#N/A</v>
      </c>
      <c r="V39" s="35" t="e">
        <f>NA()</f>
        <v>#N/A</v>
      </c>
      <c r="W39" s="35">
        <v>16</v>
      </c>
      <c r="X39" s="35" t="e">
        <f>NA()</f>
        <v>#N/A</v>
      </c>
      <c r="Y39" s="35">
        <f>$E$5*1000</f>
        <v>453.59290943563974</v>
      </c>
      <c r="Z39" s="35" t="e">
        <f>NA()</f>
        <v>#N/A</v>
      </c>
      <c r="AA39" s="35" t="e">
        <f>NA()</f>
        <v>#N/A</v>
      </c>
    </row>
    <row r="40" spans="1:27">
      <c r="A40" s="3">
        <f t="shared" si="2"/>
        <v>16</v>
      </c>
      <c r="B40" s="124" t="s">
        <v>33</v>
      </c>
      <c r="C40" s="35">
        <f>$E$10</f>
        <v>2.7777777777777778E-4</v>
      </c>
      <c r="D40" s="35" t="e">
        <f>NA()</f>
        <v>#N/A</v>
      </c>
      <c r="E40" s="35" t="e">
        <f>NA()</f>
        <v>#N/A</v>
      </c>
      <c r="F40" s="35" t="e">
        <f>NA()</f>
        <v>#N/A</v>
      </c>
      <c r="G40" s="35" t="e">
        <f>NA()</f>
        <v>#N/A</v>
      </c>
      <c r="H40" s="35" t="e">
        <f>NA()</f>
        <v>#N/A</v>
      </c>
      <c r="I40" s="35" t="e">
        <f>NA()</f>
        <v>#N/A</v>
      </c>
      <c r="J40" s="35" t="e">
        <f>NA()</f>
        <v>#N/A</v>
      </c>
      <c r="K40" s="35">
        <f>$K$35/1000</f>
        <v>2.620209785407566E-5</v>
      </c>
      <c r="L40" s="35">
        <f>$E$14</f>
        <v>1E-3</v>
      </c>
      <c r="M40" s="35" t="e">
        <f>NA()</f>
        <v>#N/A</v>
      </c>
      <c r="N40" s="35" t="e">
        <f>NA()</f>
        <v>#N/A</v>
      </c>
      <c r="O40" s="35" t="e">
        <f>NA()</f>
        <v>#N/A</v>
      </c>
      <c r="P40" s="35" t="e">
        <f>NA()</f>
        <v>#N/A</v>
      </c>
      <c r="Q40" s="35">
        <v>1</v>
      </c>
      <c r="R40" s="35" t="e">
        <f>NA()</f>
        <v>#N/A</v>
      </c>
      <c r="S40" s="35">
        <f>$S$35/1000</f>
        <v>9.2531843902439014E-4</v>
      </c>
      <c r="T40" s="35" t="e">
        <f>NA()</f>
        <v>#N/A</v>
      </c>
      <c r="U40" s="35" t="e">
        <f>NA()</f>
        <v>#N/A</v>
      </c>
      <c r="V40" s="35" t="e">
        <f>NA()</f>
        <v>#N/A</v>
      </c>
      <c r="W40" s="35" t="e">
        <f>NA()</f>
        <v>#N/A</v>
      </c>
      <c r="X40" s="35" t="e">
        <f>NA()</f>
        <v>#N/A</v>
      </c>
      <c r="Y40" s="35" t="e">
        <f>NA()</f>
        <v>#N/A</v>
      </c>
      <c r="Z40" s="35" t="e">
        <f>NA()</f>
        <v>#N/A</v>
      </c>
      <c r="AA40" s="35" t="e">
        <f>NA()</f>
        <v>#N/A</v>
      </c>
    </row>
    <row r="41" spans="1:27">
      <c r="A41" s="3">
        <f t="shared" si="2"/>
        <v>17</v>
      </c>
      <c r="B41" s="124" t="s">
        <v>561</v>
      </c>
      <c r="C41" s="35" t="e">
        <f>NA()</f>
        <v>#N/A</v>
      </c>
      <c r="D41" s="35" t="e">
        <f>NA()</f>
        <v>#N/A</v>
      </c>
      <c r="E41" s="35" t="e">
        <f>NA()</f>
        <v>#N/A</v>
      </c>
      <c r="F41" s="35" t="e">
        <f>NA()</f>
        <v>#N/A</v>
      </c>
      <c r="G41" s="35" t="e">
        <f>NA()</f>
        <v>#N/A</v>
      </c>
      <c r="H41" s="35">
        <f>$E$11</f>
        <v>0.26417203728418465</v>
      </c>
      <c r="I41" s="35" t="e">
        <f>NA()</f>
        <v>#N/A</v>
      </c>
      <c r="J41" s="35" t="e">
        <f>NA()</f>
        <v>#N/A</v>
      </c>
      <c r="K41" s="35">
        <v>1E-3</v>
      </c>
      <c r="L41" s="35" t="e">
        <f>NA()</f>
        <v>#N/A</v>
      </c>
      <c r="M41" s="35" t="e">
        <f>NA()</f>
        <v>#N/A</v>
      </c>
      <c r="N41" s="35">
        <f>$E$16</f>
        <v>9.9999999999999995E-7</v>
      </c>
      <c r="O41" s="35" t="e">
        <f>NA()</f>
        <v>#N/A</v>
      </c>
      <c r="P41" s="35" t="e">
        <f>NA()</f>
        <v>#N/A</v>
      </c>
      <c r="Q41" s="35" t="e">
        <f>NA()</f>
        <v>#N/A</v>
      </c>
      <c r="R41" s="35">
        <v>1</v>
      </c>
      <c r="S41" s="35">
        <f>$D$13*$K$41</f>
        <v>3.5314669999999999E-2</v>
      </c>
      <c r="T41" s="35" t="e">
        <f>NA()</f>
        <v>#N/A</v>
      </c>
      <c r="U41" s="35" t="e">
        <f>NA()</f>
        <v>#N/A</v>
      </c>
      <c r="V41" s="35" t="e">
        <f>NA()</f>
        <v>#N/A</v>
      </c>
      <c r="W41" s="35" t="e">
        <f>NA()</f>
        <v>#N/A</v>
      </c>
      <c r="X41" s="35">
        <f>$X$31/$R$31</f>
        <v>33.814020772375635</v>
      </c>
      <c r="Y41" s="35" t="e">
        <f>NA()</f>
        <v>#N/A</v>
      </c>
      <c r="Z41" s="35" t="e">
        <f>NA()</f>
        <v>#N/A</v>
      </c>
      <c r="AA41" s="35" t="e">
        <f>NA()</f>
        <v>#N/A</v>
      </c>
    </row>
    <row r="42" spans="1:27">
      <c r="A42" s="3">
        <f t="shared" si="2"/>
        <v>18</v>
      </c>
      <c r="B42" s="124" t="s">
        <v>36</v>
      </c>
      <c r="C42" s="35" t="e">
        <f>NA()</f>
        <v>#N/A</v>
      </c>
      <c r="D42" s="35" t="e">
        <f>NA()</f>
        <v>#N/A</v>
      </c>
      <c r="E42" s="35" t="e">
        <f>NA()</f>
        <v>#N/A</v>
      </c>
      <c r="F42" s="35" t="e">
        <f>NA()</f>
        <v>#N/A</v>
      </c>
      <c r="G42" s="35" t="e">
        <f>NA()</f>
        <v>#N/A</v>
      </c>
      <c r="H42" s="35">
        <v>7.4805194804999999</v>
      </c>
      <c r="I42" s="35" t="e">
        <f>NA()</f>
        <v>#N/A</v>
      </c>
      <c r="J42" s="35">
        <f>$H$42/1000</f>
        <v>7.4805194804999997E-3</v>
      </c>
      <c r="K42" s="35">
        <f>E13</f>
        <v>2.8316843963146193E-2</v>
      </c>
      <c r="L42" s="35">
        <f>1/$S$35</f>
        <v>1.0807090379116948</v>
      </c>
      <c r="M42" s="35">
        <f>1/$S$36</f>
        <v>1.0807090379116948E-3</v>
      </c>
      <c r="N42" s="35" t="e">
        <f>NA()</f>
        <v>#N/A</v>
      </c>
      <c r="O42" s="35" t="e">
        <f>NA()</f>
        <v>#N/A</v>
      </c>
      <c r="P42" s="35" t="e">
        <f>NA()</f>
        <v>#N/A</v>
      </c>
      <c r="Q42" s="35">
        <f>1/$S$40</f>
        <v>1080.7090379116948</v>
      </c>
      <c r="R42" s="35">
        <f>1/S41</f>
        <v>28.316843963146194</v>
      </c>
      <c r="S42" s="35">
        <v>1</v>
      </c>
      <c r="T42" s="35">
        <f>$Z$42/$Z$43</f>
        <v>1.0249999999999999E-2</v>
      </c>
      <c r="U42" s="35">
        <f>$Z$42/1000</f>
        <v>1.0249999999999999E-3</v>
      </c>
      <c r="V42" s="35">
        <f>1/$S$45</f>
        <v>3.7037037037037035E-2</v>
      </c>
      <c r="W42" s="35" t="e">
        <f>NA()</f>
        <v>#N/A</v>
      </c>
      <c r="X42" s="35" t="e">
        <f>NA()</f>
        <v>#N/A</v>
      </c>
      <c r="Y42" s="35" t="e">
        <f>NA()</f>
        <v>#N/A</v>
      </c>
      <c r="Z42" s="35">
        <v>1.0249999999999999</v>
      </c>
      <c r="AA42" s="35" t="e">
        <f>NA()</f>
        <v>#N/A</v>
      </c>
    </row>
    <row r="43" spans="1:27">
      <c r="A43" s="3">
        <f>ROW(A43)-ROW(A$25)+1</f>
        <v>19</v>
      </c>
      <c r="B43" s="124" t="s">
        <v>655</v>
      </c>
      <c r="C43" s="35" t="e">
        <f>NA()</f>
        <v>#N/A</v>
      </c>
      <c r="D43" s="35" t="e">
        <f>NA()</f>
        <v>#N/A</v>
      </c>
      <c r="E43" s="35" t="e">
        <f>NA()</f>
        <v>#N/A</v>
      </c>
      <c r="F43" s="35" t="e">
        <f>NA()</f>
        <v>#N/A</v>
      </c>
      <c r="G43" s="35" t="e">
        <f>NA()</f>
        <v>#N/A</v>
      </c>
      <c r="H43" s="35" t="e">
        <f>NA()</f>
        <v>#N/A</v>
      </c>
      <c r="I43" s="35" t="e">
        <f>NA()</f>
        <v>#N/A</v>
      </c>
      <c r="J43" s="35" t="e">
        <f>NA()</f>
        <v>#N/A</v>
      </c>
      <c r="K43" s="35">
        <f>$S$43/$S$34</f>
        <v>2.7626189232337754</v>
      </c>
      <c r="L43" s="35">
        <f>$E$17/$T$44</f>
        <v>105.43502808894584</v>
      </c>
      <c r="M43" s="35">
        <f>$L$43/1000</f>
        <v>0.10543502808894584</v>
      </c>
      <c r="N43" s="35" t="e">
        <f>NA()</f>
        <v>#N/A</v>
      </c>
      <c r="O43" s="35" t="e">
        <f>NA()</f>
        <v>#N/A</v>
      </c>
      <c r="P43" s="35" t="e">
        <f>NA()</f>
        <v>#N/A</v>
      </c>
      <c r="Q43" s="35" t="e">
        <f>NA()</f>
        <v>#N/A</v>
      </c>
      <c r="R43" s="35" t="e">
        <f>NA()</f>
        <v>#N/A</v>
      </c>
      <c r="S43" s="35">
        <f>1/$T$42</f>
        <v>97.560975609756113</v>
      </c>
      <c r="T43" s="35">
        <v>1</v>
      </c>
      <c r="U43" s="35">
        <v>0.1</v>
      </c>
      <c r="V43" s="35" t="e">
        <f>NA()</f>
        <v>#N/A</v>
      </c>
      <c r="W43" s="35" t="e">
        <f>NA()</f>
        <v>#N/A</v>
      </c>
      <c r="X43" s="35" t="e">
        <f>NA()</f>
        <v>#N/A</v>
      </c>
      <c r="Y43" s="35" t="e">
        <f>NA()</f>
        <v>#N/A</v>
      </c>
      <c r="Z43" s="35">
        <f>$U$43*1000</f>
        <v>100</v>
      </c>
      <c r="AA43" s="35" t="e">
        <f>NA()</f>
        <v>#N/A</v>
      </c>
    </row>
    <row r="44" spans="1:27">
      <c r="A44" s="3">
        <f t="shared" si="2"/>
        <v>20</v>
      </c>
      <c r="B44" s="124" t="s">
        <v>217</v>
      </c>
      <c r="C44" s="35" t="e">
        <f>NA()</f>
        <v>#N/A</v>
      </c>
      <c r="D44" s="35" t="e">
        <f>NA()</f>
        <v>#N/A</v>
      </c>
      <c r="E44" s="35" t="e">
        <f>NA()</f>
        <v>#N/A</v>
      </c>
      <c r="F44" s="35" t="e">
        <f>NA()</f>
        <v>#N/A</v>
      </c>
      <c r="G44" s="35" t="e">
        <f>NA()</f>
        <v>#N/A</v>
      </c>
      <c r="H44" s="35" t="e">
        <f>NA()</f>
        <v>#N/A</v>
      </c>
      <c r="I44" s="35" t="e">
        <f>NA()</f>
        <v>#N/A</v>
      </c>
      <c r="J44" s="35" t="e">
        <f>NA()</f>
        <v>#N/A</v>
      </c>
      <c r="K44" s="35">
        <f>$K$49*1000</f>
        <v>27.626189232337751</v>
      </c>
      <c r="L44" s="35">
        <f>$E$17</f>
        <v>1054.3502808894584</v>
      </c>
      <c r="M44" s="35">
        <f>$E$17/1000</f>
        <v>1.0543502808894585</v>
      </c>
      <c r="N44" s="35" t="e">
        <f>NA()</f>
        <v>#N/A</v>
      </c>
      <c r="O44" s="35" t="e">
        <f>NA()</f>
        <v>#N/A</v>
      </c>
      <c r="P44" s="35" t="e">
        <f>NA()</f>
        <v>#N/A</v>
      </c>
      <c r="Q44" s="35" t="e">
        <f>NA()</f>
        <v>#N/A</v>
      </c>
      <c r="R44" s="35" t="e">
        <f>NA()</f>
        <v>#N/A</v>
      </c>
      <c r="S44" s="35">
        <f>$S$49*1000</f>
        <v>975.6097560975611</v>
      </c>
      <c r="T44" s="35">
        <f>1/$U$43</f>
        <v>10</v>
      </c>
      <c r="U44" s="35">
        <v>1</v>
      </c>
      <c r="V44" s="35" t="e">
        <f>NA()</f>
        <v>#N/A</v>
      </c>
      <c r="W44" s="35" t="e">
        <f>NA()</f>
        <v>#N/A</v>
      </c>
      <c r="X44" s="35" t="e">
        <f>NA()</f>
        <v>#N/A</v>
      </c>
      <c r="Y44" s="35" t="e">
        <f>NA()</f>
        <v>#N/A</v>
      </c>
      <c r="Z44" s="35">
        <v>1000</v>
      </c>
      <c r="AA44" s="35" t="e">
        <f>NA()</f>
        <v>#N/A</v>
      </c>
    </row>
    <row r="45" spans="1:27">
      <c r="A45" s="3">
        <f t="shared" si="2"/>
        <v>21</v>
      </c>
      <c r="B45" s="124" t="s">
        <v>3</v>
      </c>
      <c r="C45" s="35" t="e">
        <f>NA()</f>
        <v>#N/A</v>
      </c>
      <c r="D45" s="35" t="e">
        <f>NA()</f>
        <v>#N/A</v>
      </c>
      <c r="E45" s="35" t="e">
        <f>NA()</f>
        <v>#N/A</v>
      </c>
      <c r="F45" s="35" t="e">
        <f>NA()</f>
        <v>#N/A</v>
      </c>
      <c r="G45" s="35" t="e">
        <f>NA()</f>
        <v>#N/A</v>
      </c>
      <c r="H45" s="35">
        <f>$R$34*$H$41*$K$45</f>
        <v>201.97395566361783</v>
      </c>
      <c r="I45" s="35" t="e">
        <f>NA()</f>
        <v>#N/A</v>
      </c>
      <c r="J45" s="35">
        <f>$H$45/1000</f>
        <v>0.20197395566361784</v>
      </c>
      <c r="K45" s="35">
        <f>E19</f>
        <v>0.76455463545652702</v>
      </c>
      <c r="L45" s="35" t="e">
        <f>NA()</f>
        <v>#N/A</v>
      </c>
      <c r="M45" s="35" t="e">
        <f>NA()</f>
        <v>#N/A</v>
      </c>
      <c r="N45" s="35" t="e">
        <f>NA()</f>
        <v>#N/A</v>
      </c>
      <c r="O45" s="35" t="e">
        <f>NA()</f>
        <v>#N/A</v>
      </c>
      <c r="P45" s="35" t="e">
        <f>NA()</f>
        <v>#N/A</v>
      </c>
      <c r="Q45" s="35" t="e">
        <f>NA()</f>
        <v>#N/A</v>
      </c>
      <c r="R45" s="35" t="e">
        <f>NA()</f>
        <v>#N/A</v>
      </c>
      <c r="S45" s="35">
        <v>27</v>
      </c>
      <c r="T45" s="35" t="e">
        <f>NA()</f>
        <v>#N/A</v>
      </c>
      <c r="U45" s="35" t="e">
        <f>NA()</f>
        <v>#N/A</v>
      </c>
      <c r="V45" s="35">
        <v>1</v>
      </c>
      <c r="W45" s="35" t="e">
        <f>NA()</f>
        <v>#N/A</v>
      </c>
      <c r="X45" s="35" t="e">
        <f>NA()</f>
        <v>#N/A</v>
      </c>
      <c r="Y45" s="35" t="e">
        <f>NA()</f>
        <v>#N/A</v>
      </c>
      <c r="Z45" s="35" t="e">
        <f>NA()</f>
        <v>#N/A</v>
      </c>
      <c r="AA45" s="35" t="e">
        <f>NA()</f>
        <v>#N/A</v>
      </c>
    </row>
    <row r="46" spans="1:27">
      <c r="A46" s="3">
        <f>ROW(A46)-ROW(A$25)+1</f>
        <v>22</v>
      </c>
      <c r="B46" s="124" t="s">
        <v>653</v>
      </c>
      <c r="C46" s="35" t="e">
        <f>NA()</f>
        <v>#N/A</v>
      </c>
      <c r="D46" s="35" t="e">
        <f>NA()</f>
        <v>#N/A</v>
      </c>
      <c r="E46" s="35" t="e">
        <f>NA()</f>
        <v>#N/A</v>
      </c>
      <c r="F46" s="35" t="e">
        <f>NA()</f>
        <v>#N/A</v>
      </c>
      <c r="G46" s="35">
        <f>1/$W$30</f>
        <v>3.125003125003125E-5</v>
      </c>
      <c r="H46" s="35" t="e">
        <f>NA()</f>
        <v>#N/A</v>
      </c>
      <c r="I46" s="35" t="e">
        <f>NA()</f>
        <v>#N/A</v>
      </c>
      <c r="J46" s="35" t="e">
        <f>NA()</f>
        <v>#N/A</v>
      </c>
      <c r="K46" s="35" t="e">
        <f>NA()</f>
        <v>#N/A</v>
      </c>
      <c r="L46" s="35" t="e">
        <f>NA()</f>
        <v>#N/A</v>
      </c>
      <c r="M46" s="35" t="e">
        <f>NA()</f>
        <v>#N/A</v>
      </c>
      <c r="N46" s="35" t="e">
        <f>NA()</f>
        <v>#N/A</v>
      </c>
      <c r="O46" s="35" t="e">
        <f>NA()</f>
        <v>#N/A</v>
      </c>
      <c r="P46" s="35">
        <f>1/$W$39</f>
        <v>6.25E-2</v>
      </c>
      <c r="Q46" s="35" t="e">
        <f>NA()</f>
        <v>#N/A</v>
      </c>
      <c r="R46" s="35" t="e">
        <f>NA()</f>
        <v>#N/A</v>
      </c>
      <c r="S46" s="35" t="e">
        <f>NA()</f>
        <v>#N/A</v>
      </c>
      <c r="T46" s="35" t="e">
        <f>NA()</f>
        <v>#N/A</v>
      </c>
      <c r="U46" s="35" t="e">
        <f>NA()</f>
        <v>#N/A</v>
      </c>
      <c r="V46" s="35" t="e">
        <f>NA()</f>
        <v>#N/A</v>
      </c>
      <c r="W46" s="35">
        <v>1</v>
      </c>
      <c r="X46" s="35" t="e">
        <f>NA()</f>
        <v>#N/A</v>
      </c>
      <c r="Y46" s="35">
        <f>$Y$39/$W$39</f>
        <v>28.349556839727484</v>
      </c>
      <c r="Z46" s="35" t="e">
        <f>NA()</f>
        <v>#N/A</v>
      </c>
      <c r="AA46" s="35" t="e">
        <f>NA()</f>
        <v>#N/A</v>
      </c>
    </row>
    <row r="47" spans="1:27">
      <c r="A47" s="3">
        <f>ROW(A47)-ROW(A$25)+1</f>
        <v>23</v>
      </c>
      <c r="B47" s="124" t="s">
        <v>656</v>
      </c>
      <c r="C47" s="35" t="e">
        <f>NA()</f>
        <v>#N/A</v>
      </c>
      <c r="D47" s="35" t="e">
        <f>NA()</f>
        <v>#N/A</v>
      </c>
      <c r="E47" s="35" t="e">
        <f>NA()</f>
        <v>#N/A</v>
      </c>
      <c r="F47" s="35" t="e">
        <f>NA()</f>
        <v>#N/A</v>
      </c>
      <c r="G47" s="35" t="e">
        <f>NA()</f>
        <v>#N/A</v>
      </c>
      <c r="H47" s="35">
        <f>1/$X$31</f>
        <v>7.8125E-3</v>
      </c>
      <c r="I47" s="35" t="e">
        <f>NA()</f>
        <v>#N/A</v>
      </c>
      <c r="J47" s="35">
        <f>$H$47/1000</f>
        <v>7.8125000000000002E-6</v>
      </c>
      <c r="K47" s="35">
        <f>$R$47/1000</f>
        <v>2.9573531250000001E-5</v>
      </c>
      <c r="L47" s="35" t="e">
        <f>NA()</f>
        <v>#N/A</v>
      </c>
      <c r="M47" s="35" t="e">
        <f>NA()</f>
        <v>#N/A</v>
      </c>
      <c r="N47" s="35">
        <f>R47/1000000</f>
        <v>2.9573531250000001E-8</v>
      </c>
      <c r="O47" s="35" t="e">
        <f>NA()</f>
        <v>#N/A</v>
      </c>
      <c r="P47" s="35" t="e">
        <f>NA()</f>
        <v>#N/A</v>
      </c>
      <c r="Q47" s="35" t="e">
        <f>NA()</f>
        <v>#N/A</v>
      </c>
      <c r="R47" s="35">
        <f>1/$X$41</f>
        <v>2.957353125E-2</v>
      </c>
      <c r="S47" s="35" t="e">
        <f>NA()</f>
        <v>#N/A</v>
      </c>
      <c r="T47" s="35" t="e">
        <f>NA()</f>
        <v>#N/A</v>
      </c>
      <c r="U47" s="35" t="e">
        <f>NA()</f>
        <v>#N/A</v>
      </c>
      <c r="V47" s="35" t="e">
        <f>NA()</f>
        <v>#N/A</v>
      </c>
      <c r="W47" s="35" t="e">
        <f>NA()</f>
        <v>#N/A</v>
      </c>
      <c r="X47" s="35">
        <v>1</v>
      </c>
      <c r="Y47" s="35" t="e">
        <f>NA()</f>
        <v>#N/A</v>
      </c>
      <c r="Z47" s="35" t="e">
        <f>NA()</f>
        <v>#N/A</v>
      </c>
      <c r="AA47" s="35" t="e">
        <f>NA()</f>
        <v>#N/A</v>
      </c>
    </row>
    <row r="48" spans="1:27">
      <c r="A48" s="3">
        <f>ROW(A48)-ROW(A$25)+1</f>
        <v>24</v>
      </c>
      <c r="B48" s="124" t="s">
        <v>654</v>
      </c>
      <c r="C48" s="35" t="e">
        <f>NA()</f>
        <v>#N/A</v>
      </c>
      <c r="D48" s="35" t="e">
        <f>NA()</f>
        <v>#N/A</v>
      </c>
      <c r="E48" s="35">
        <f>1/$Y$28</f>
        <v>1E-3</v>
      </c>
      <c r="F48" s="35">
        <f>1/$Y$29</f>
        <v>9.9999999999999995E-7</v>
      </c>
      <c r="G48" s="35">
        <f>1/$Y$30</f>
        <v>1.1023109999999999E-6</v>
      </c>
      <c r="H48" s="35" t="e">
        <f>NA()</f>
        <v>#N/A</v>
      </c>
      <c r="I48" s="35" t="e">
        <f>NA()</f>
        <v>#N/A</v>
      </c>
      <c r="J48" s="35" t="e">
        <f>NA()</f>
        <v>#N/A</v>
      </c>
      <c r="K48" s="35" t="e">
        <f>NA()</f>
        <v>#N/A</v>
      </c>
      <c r="L48" s="35" t="e">
        <f>NA()</f>
        <v>#N/A</v>
      </c>
      <c r="M48" s="35" t="e">
        <f>NA()</f>
        <v>#N/A</v>
      </c>
      <c r="N48" s="35" t="e">
        <f>NA()</f>
        <v>#N/A</v>
      </c>
      <c r="O48" s="35" t="e">
        <f>NA()</f>
        <v>#N/A</v>
      </c>
      <c r="P48" s="35">
        <f>1/$Y$39</f>
        <v>2.20462E-3</v>
      </c>
      <c r="Q48" s="35" t="e">
        <f>NA()</f>
        <v>#N/A</v>
      </c>
      <c r="R48" s="35" t="e">
        <f>NA()</f>
        <v>#N/A</v>
      </c>
      <c r="S48" s="35" t="e">
        <f>NA()</f>
        <v>#N/A</v>
      </c>
      <c r="T48" s="35" t="e">
        <f>NA()</f>
        <v>#N/A</v>
      </c>
      <c r="U48" s="35" t="e">
        <f>NA()</f>
        <v>#N/A</v>
      </c>
      <c r="V48" s="35" t="e">
        <f>NA()</f>
        <v>#N/A</v>
      </c>
      <c r="W48" s="35">
        <f>1/$Y$46</f>
        <v>3.527392E-2</v>
      </c>
      <c r="X48" s="35" t="e">
        <f>NA()</f>
        <v>#N/A</v>
      </c>
      <c r="Y48" s="35">
        <v>1</v>
      </c>
      <c r="Z48" s="35" t="e">
        <f>NA()</f>
        <v>#N/A</v>
      </c>
      <c r="AA48" s="35" t="e">
        <f>NA()</f>
        <v>#N/A</v>
      </c>
    </row>
    <row r="49" spans="1:27">
      <c r="A49" s="3">
        <f t="shared" si="2"/>
        <v>25</v>
      </c>
      <c r="B49" s="124" t="s">
        <v>500</v>
      </c>
      <c r="C49" s="35" t="e">
        <f>NA()</f>
        <v>#N/A</v>
      </c>
      <c r="D49" s="35" t="e">
        <f>NA()</f>
        <v>#N/A</v>
      </c>
      <c r="E49" s="35" t="e">
        <f>NA()</f>
        <v>#N/A</v>
      </c>
      <c r="F49" s="35" t="e">
        <f>NA()</f>
        <v>#N/A</v>
      </c>
      <c r="G49" s="35" t="e">
        <f>NA()</f>
        <v>#N/A</v>
      </c>
      <c r="H49" s="35" t="e">
        <f>NA()</f>
        <v>#N/A</v>
      </c>
      <c r="I49" s="35" t="e">
        <f>NA()</f>
        <v>#N/A</v>
      </c>
      <c r="J49" s="35" t="e">
        <f>NA()</f>
        <v>#N/A</v>
      </c>
      <c r="K49" s="35">
        <f>$S$49/$S$34</f>
        <v>2.7626189232337752E-2</v>
      </c>
      <c r="L49" s="35">
        <f>$E$17/1000</f>
        <v>1.0543502808894585</v>
      </c>
      <c r="M49" s="35">
        <f>$E$17/1000000</f>
        <v>1.0543502808894585E-3</v>
      </c>
      <c r="N49" s="35" t="e">
        <f>NA()</f>
        <v>#N/A</v>
      </c>
      <c r="O49" s="35" t="e">
        <f>NA()</f>
        <v>#N/A</v>
      </c>
      <c r="P49" s="35" t="e">
        <f>NA()</f>
        <v>#N/A</v>
      </c>
      <c r="Q49" s="35" t="e">
        <f>NA()</f>
        <v>#N/A</v>
      </c>
      <c r="R49" s="35" t="e">
        <f>NA()</f>
        <v>#N/A</v>
      </c>
      <c r="S49" s="35">
        <f>1/$Z$42</f>
        <v>0.97560975609756106</v>
      </c>
      <c r="T49" s="35">
        <f>1/$Z$43</f>
        <v>0.01</v>
      </c>
      <c r="U49" s="35">
        <v>1E-3</v>
      </c>
      <c r="V49" s="35" t="e">
        <f>NA()</f>
        <v>#N/A</v>
      </c>
      <c r="W49" s="35" t="e">
        <f>NA()</f>
        <v>#N/A</v>
      </c>
      <c r="X49" s="35" t="e">
        <f>NA()</f>
        <v>#N/A</v>
      </c>
      <c r="Y49" s="35" t="e">
        <f>NA()</f>
        <v>#N/A</v>
      </c>
      <c r="Z49" s="35">
        <v>1</v>
      </c>
      <c r="AA49" s="35" t="e">
        <f>NA()</f>
        <v>#N/A</v>
      </c>
    </row>
    <row r="50" spans="1:27">
      <c r="A50" s="3">
        <f t="shared" si="2"/>
        <v>26</v>
      </c>
      <c r="B50" s="124" t="s">
        <v>247</v>
      </c>
      <c r="C50" s="35" t="e">
        <f>NA()</f>
        <v>#N/A</v>
      </c>
      <c r="D50" s="35" t="e">
        <f>NA()</f>
        <v>#N/A</v>
      </c>
      <c r="E50" s="35" t="e">
        <f>NA()</f>
        <v>#N/A</v>
      </c>
      <c r="F50" s="35" t="e">
        <f>NA()</f>
        <v>#N/A</v>
      </c>
      <c r="G50" s="35" t="e">
        <f>NA()</f>
        <v>#N/A</v>
      </c>
      <c r="H50" s="35" t="e">
        <f>NA()</f>
        <v>#N/A</v>
      </c>
      <c r="I50" s="35" t="e">
        <f>NA()</f>
        <v>#N/A</v>
      </c>
      <c r="J50" s="35" t="e">
        <f>NA()</f>
        <v>#N/A</v>
      </c>
      <c r="K50" s="35">
        <f>D21</f>
        <v>2.3597372159999998E-3</v>
      </c>
      <c r="L50" s="35" t="e">
        <f>NA()</f>
        <v>#N/A</v>
      </c>
      <c r="M50" s="35" t="e">
        <f>NA()</f>
        <v>#N/A</v>
      </c>
      <c r="N50" s="35" t="e">
        <f>NA()</f>
        <v>#N/A</v>
      </c>
      <c r="O50" s="35" t="e">
        <f>NA()</f>
        <v>#N/A</v>
      </c>
      <c r="P50" s="35" t="e">
        <f>NA()</f>
        <v>#N/A</v>
      </c>
      <c r="Q50" s="35" t="e">
        <f>NA()</f>
        <v>#N/A</v>
      </c>
      <c r="R50" s="35" t="e">
        <f>NA()</f>
        <v>#N/A</v>
      </c>
      <c r="S50" s="35" t="e">
        <f>NA()</f>
        <v>#N/A</v>
      </c>
      <c r="T50" s="35" t="e">
        <f>NA()</f>
        <v>#N/A</v>
      </c>
      <c r="U50" s="35" t="e">
        <f>NA()</f>
        <v>#N/A</v>
      </c>
      <c r="V50" s="35" t="e">
        <f>NA()</f>
        <v>#N/A</v>
      </c>
      <c r="W50" s="35" t="e">
        <f>NA()</f>
        <v>#N/A</v>
      </c>
      <c r="X50" s="35" t="e">
        <f>NA()</f>
        <v>#N/A</v>
      </c>
      <c r="Y50" s="35" t="e">
        <f>NA()</f>
        <v>#N/A</v>
      </c>
      <c r="Z50" s="35" t="e">
        <f>NA()</f>
        <v>#N/A</v>
      </c>
      <c r="AA50" s="35">
        <v>1</v>
      </c>
    </row>
    <row r="56" spans="1:27">
      <c r="D56" s="3">
        <f>P28/H41</f>
        <v>8.3453950034400002</v>
      </c>
      <c r="E56" s="3">
        <f>D56*0.88</f>
        <v>7.3439476030272006</v>
      </c>
    </row>
  </sheetData>
  <sheetProtection password="840D" sheet="1" objects="1" scenarios="1" selectLockedCells="1" selectUnlockedCells="1"/>
  <mergeCells count="2">
    <mergeCell ref="B1:F1"/>
    <mergeCell ref="H1:J1"/>
  </mergeCells>
  <conditionalFormatting sqref="C26:I50 K26:AA50">
    <cfRule type="containsErrors" dxfId="3" priority="4">
      <formula>ISERROR(C26)</formula>
    </cfRule>
  </conditionalFormatting>
  <conditionalFormatting sqref="J26:J33 J35:J50">
    <cfRule type="containsErrors" dxfId="2" priority="2">
      <formula>ISERROR(J26)</formula>
    </cfRule>
  </conditionalFormatting>
  <conditionalFormatting sqref="J34">
    <cfRule type="containsErrors" dxfId="1" priority="1">
      <formula>ISERROR(J34)</formula>
    </cfRule>
  </conditionalFormatting>
  <pageMargins left="0.7" right="0.7" top="0.75" bottom="0.75" header="0.3" footer="0.3"/>
  <pageSetup orientation="portrait" horizontalDpi="0"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CF223"/>
  <sheetViews>
    <sheetView zoomScale="80" zoomScaleNormal="80" workbookViewId="0">
      <pane xSplit="4" ySplit="7" topLeftCell="U8" activePane="bottomRight" state="frozen"/>
      <selection pane="topRight" activeCell="D1" sqref="D1"/>
      <selection pane="bottomLeft" activeCell="A8" sqref="A8"/>
      <selection pane="bottomRight" activeCell="AE19" sqref="AE19"/>
    </sheetView>
  </sheetViews>
  <sheetFormatPr baseColWidth="10" defaultColWidth="8.83203125" defaultRowHeight="15"/>
  <cols>
    <col min="3" max="3" width="36.1640625" customWidth="1"/>
    <col min="4" max="4" width="10.33203125" bestFit="1" customWidth="1"/>
    <col min="5" max="6" width="24.5" customWidth="1"/>
    <col min="7" max="8" width="19.33203125" customWidth="1"/>
    <col min="9" max="9" width="21" customWidth="1"/>
    <col min="10" max="12" width="22" customWidth="1"/>
    <col min="13" max="13" width="19.83203125" customWidth="1"/>
    <col min="14" max="25" width="19.33203125" customWidth="1"/>
    <col min="26" max="31" width="19.83203125" customWidth="1"/>
    <col min="32" max="47" width="19.33203125" customWidth="1"/>
    <col min="48" max="58" width="19.5" customWidth="1"/>
    <col min="59" max="63" width="20.33203125" customWidth="1"/>
  </cols>
  <sheetData>
    <row r="1" spans="1:63">
      <c r="G1">
        <f>0.00135/2</f>
        <v>6.7500000000000004E-4</v>
      </c>
      <c r="H1" t="s">
        <v>816</v>
      </c>
    </row>
    <row r="2" spans="1:63">
      <c r="B2">
        <f>COLUMN(B$2)-COLUMN($B$2)+1</f>
        <v>1</v>
      </c>
      <c r="C2">
        <f t="shared" ref="C2:BK2" si="0">COLUMN(C$2)-COLUMN($B$2)+1</f>
        <v>2</v>
      </c>
      <c r="D2">
        <f t="shared" si="0"/>
        <v>3</v>
      </c>
      <c r="E2">
        <f t="shared" si="0"/>
        <v>4</v>
      </c>
      <c r="G2">
        <f t="shared" si="0"/>
        <v>6</v>
      </c>
      <c r="H2">
        <f t="shared" si="0"/>
        <v>7</v>
      </c>
      <c r="I2">
        <f t="shared" si="0"/>
        <v>8</v>
      </c>
      <c r="J2">
        <f t="shared" si="0"/>
        <v>9</v>
      </c>
      <c r="K2">
        <f t="shared" si="0"/>
        <v>10</v>
      </c>
      <c r="L2">
        <f t="shared" si="0"/>
        <v>11</v>
      </c>
      <c r="M2">
        <f t="shared" si="0"/>
        <v>12</v>
      </c>
      <c r="N2">
        <f t="shared" si="0"/>
        <v>13</v>
      </c>
      <c r="O2">
        <f t="shared" si="0"/>
        <v>14</v>
      </c>
      <c r="P2">
        <f t="shared" si="0"/>
        <v>15</v>
      </c>
      <c r="Q2">
        <f t="shared" si="0"/>
        <v>16</v>
      </c>
      <c r="R2">
        <f t="shared" si="0"/>
        <v>17</v>
      </c>
      <c r="S2">
        <f t="shared" si="0"/>
        <v>18</v>
      </c>
      <c r="T2">
        <f t="shared" si="0"/>
        <v>19</v>
      </c>
      <c r="U2">
        <f t="shared" si="0"/>
        <v>20</v>
      </c>
      <c r="V2">
        <f t="shared" si="0"/>
        <v>21</v>
      </c>
      <c r="W2">
        <f t="shared" si="0"/>
        <v>22</v>
      </c>
      <c r="X2">
        <f t="shared" si="0"/>
        <v>23</v>
      </c>
      <c r="Y2">
        <f t="shared" si="0"/>
        <v>24</v>
      </c>
      <c r="Z2">
        <f t="shared" si="0"/>
        <v>25</v>
      </c>
      <c r="AA2">
        <f t="shared" si="0"/>
        <v>26</v>
      </c>
      <c r="AB2">
        <f t="shared" si="0"/>
        <v>27</v>
      </c>
      <c r="AC2">
        <f t="shared" si="0"/>
        <v>28</v>
      </c>
      <c r="AD2">
        <f t="shared" si="0"/>
        <v>29</v>
      </c>
      <c r="AE2">
        <f t="shared" si="0"/>
        <v>30</v>
      </c>
      <c r="AF2">
        <f t="shared" si="0"/>
        <v>31</v>
      </c>
      <c r="AG2">
        <f t="shared" si="0"/>
        <v>32</v>
      </c>
      <c r="AH2">
        <f t="shared" si="0"/>
        <v>33</v>
      </c>
      <c r="AI2">
        <f t="shared" si="0"/>
        <v>34</v>
      </c>
      <c r="AJ2">
        <f t="shared" si="0"/>
        <v>35</v>
      </c>
      <c r="AK2">
        <f t="shared" si="0"/>
        <v>36</v>
      </c>
      <c r="AL2">
        <f t="shared" si="0"/>
        <v>37</v>
      </c>
      <c r="AM2">
        <f t="shared" si="0"/>
        <v>38</v>
      </c>
      <c r="AN2">
        <f t="shared" si="0"/>
        <v>39</v>
      </c>
      <c r="AO2">
        <f t="shared" si="0"/>
        <v>40</v>
      </c>
      <c r="AP2">
        <f t="shared" si="0"/>
        <v>41</v>
      </c>
      <c r="AQ2">
        <f t="shared" si="0"/>
        <v>42</v>
      </c>
      <c r="AR2">
        <f t="shared" si="0"/>
        <v>43</v>
      </c>
      <c r="AS2">
        <f t="shared" si="0"/>
        <v>44</v>
      </c>
      <c r="AT2">
        <f t="shared" si="0"/>
        <v>45</v>
      </c>
      <c r="AU2">
        <f t="shared" si="0"/>
        <v>46</v>
      </c>
      <c r="AV2">
        <f t="shared" si="0"/>
        <v>47</v>
      </c>
      <c r="AW2">
        <f t="shared" si="0"/>
        <v>48</v>
      </c>
      <c r="AX2">
        <f t="shared" si="0"/>
        <v>49</v>
      </c>
      <c r="AY2">
        <f t="shared" si="0"/>
        <v>50</v>
      </c>
      <c r="AZ2">
        <f t="shared" si="0"/>
        <v>51</v>
      </c>
      <c r="BA2">
        <f t="shared" si="0"/>
        <v>52</v>
      </c>
      <c r="BB2">
        <f t="shared" si="0"/>
        <v>53</v>
      </c>
      <c r="BC2">
        <f t="shared" si="0"/>
        <v>54</v>
      </c>
      <c r="BD2">
        <f t="shared" si="0"/>
        <v>55</v>
      </c>
      <c r="BE2">
        <f t="shared" si="0"/>
        <v>56</v>
      </c>
      <c r="BF2">
        <f t="shared" si="0"/>
        <v>57</v>
      </c>
      <c r="BG2">
        <f t="shared" si="0"/>
        <v>58</v>
      </c>
      <c r="BH2">
        <f t="shared" si="0"/>
        <v>59</v>
      </c>
      <c r="BI2">
        <f t="shared" si="0"/>
        <v>60</v>
      </c>
      <c r="BJ2">
        <f t="shared" si="0"/>
        <v>61</v>
      </c>
      <c r="BK2">
        <f t="shared" si="0"/>
        <v>62</v>
      </c>
    </row>
    <row r="3" spans="1:63">
      <c r="E3" s="731" t="s">
        <v>121</v>
      </c>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2"/>
      <c r="AJ3" s="732"/>
      <c r="AK3" s="732"/>
      <c r="AL3" s="732"/>
      <c r="AM3" s="732"/>
      <c r="AN3" s="732"/>
      <c r="AO3" s="733"/>
      <c r="AP3" s="740" t="s">
        <v>488</v>
      </c>
      <c r="AQ3" s="741"/>
      <c r="AR3" s="741"/>
      <c r="AS3" s="741"/>
      <c r="AT3" s="741"/>
      <c r="AU3" s="741"/>
      <c r="AV3" s="734" t="s">
        <v>122</v>
      </c>
      <c r="AW3" s="735"/>
      <c r="AX3" s="735"/>
      <c r="AY3" s="735"/>
      <c r="AZ3" s="735"/>
      <c r="BA3" s="735"/>
      <c r="BB3" s="735"/>
      <c r="BC3" s="735"/>
      <c r="BD3" s="735"/>
      <c r="BE3" s="735"/>
      <c r="BF3" s="736"/>
      <c r="BG3" s="737" t="s">
        <v>123</v>
      </c>
      <c r="BH3" s="738"/>
      <c r="BI3" s="738"/>
      <c r="BJ3" s="738"/>
      <c r="BK3" s="739"/>
    </row>
    <row r="4" spans="1:63">
      <c r="A4">
        <f>ROW($A4)-ROW($A$4)+1</f>
        <v>1</v>
      </c>
      <c r="E4" s="111"/>
      <c r="F4" s="111"/>
      <c r="G4" s="111"/>
      <c r="H4" s="111"/>
      <c r="I4" s="111"/>
      <c r="J4" s="111"/>
      <c r="K4" s="111"/>
      <c r="L4" s="111"/>
      <c r="M4" s="111"/>
      <c r="N4" s="111"/>
      <c r="O4" s="111"/>
      <c r="P4" s="111"/>
      <c r="Q4" s="111"/>
      <c r="R4" s="111"/>
      <c r="S4" s="111"/>
      <c r="T4" s="111"/>
      <c r="U4" s="111"/>
      <c r="V4" s="111"/>
      <c r="W4" s="112"/>
      <c r="X4" s="112"/>
      <c r="Y4" s="112"/>
      <c r="Z4" s="112"/>
      <c r="AA4" s="112"/>
      <c r="AB4" s="112"/>
      <c r="AC4" s="112"/>
      <c r="AD4" s="112"/>
      <c r="AE4" s="112"/>
      <c r="AF4" s="112"/>
      <c r="AG4" s="111"/>
      <c r="AH4" s="111"/>
      <c r="AI4" s="111"/>
      <c r="AJ4" s="111"/>
      <c r="AK4" s="111"/>
      <c r="AL4" s="111"/>
      <c r="AM4" s="111"/>
      <c r="AN4" s="112"/>
      <c r="AO4" s="112"/>
      <c r="AP4" s="314"/>
      <c r="AQ4" s="314"/>
      <c r="AR4" s="314"/>
      <c r="AS4" s="314"/>
      <c r="AT4" s="314"/>
      <c r="AU4" s="314"/>
      <c r="AV4" s="110"/>
      <c r="AW4" s="110"/>
      <c r="AX4" s="110"/>
      <c r="AY4" s="110"/>
      <c r="AZ4" s="110"/>
      <c r="BA4" s="110"/>
      <c r="BB4" s="110"/>
      <c r="BC4" s="110"/>
      <c r="BD4" s="110"/>
      <c r="BE4" s="110"/>
      <c r="BF4" s="110"/>
      <c r="BG4" s="109"/>
      <c r="BH4" s="109"/>
      <c r="BI4" s="109"/>
      <c r="BJ4" s="109"/>
      <c r="BK4" s="109"/>
    </row>
    <row r="5" spans="1:63">
      <c r="A5">
        <f t="shared" ref="A5:A216" si="1">ROW($A5)-ROW($A$4)+1</f>
        <v>2</v>
      </c>
      <c r="E5" s="112"/>
      <c r="F5" s="112"/>
      <c r="G5" s="112"/>
      <c r="H5" s="112"/>
      <c r="I5" s="112"/>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314"/>
      <c r="AQ5" s="314"/>
      <c r="AR5" s="314"/>
      <c r="AS5" s="314"/>
      <c r="AT5" s="314"/>
      <c r="AU5" s="314"/>
      <c r="AV5" s="110"/>
      <c r="AW5" s="110"/>
      <c r="AX5" s="110"/>
      <c r="AY5" s="110"/>
      <c r="AZ5" s="110"/>
      <c r="BA5" s="110"/>
      <c r="BB5" s="110"/>
      <c r="BC5" s="110"/>
      <c r="BD5" s="110"/>
      <c r="BE5" s="110"/>
      <c r="BF5" s="110"/>
      <c r="BG5" s="109"/>
      <c r="BH5" s="109"/>
      <c r="BI5" s="109"/>
      <c r="BJ5" s="109"/>
      <c r="BK5" s="109"/>
    </row>
    <row r="6" spans="1:63" ht="76.5" customHeight="1">
      <c r="A6">
        <f t="shared" si="1"/>
        <v>3</v>
      </c>
      <c r="B6" t="s">
        <v>475</v>
      </c>
      <c r="D6" t="s">
        <v>475</v>
      </c>
      <c r="E6" s="120" t="str">
        <f>'Plant Inputs'!$D$30</f>
        <v>Portland Cement</v>
      </c>
      <c r="F6" s="120" t="str">
        <f>'Plant Inputs'!$D$31</f>
        <v>Portland Limestone Cement (PLC)</v>
      </c>
      <c r="G6" s="120" t="str">
        <f>'Plant Inputs'!$D$33</f>
        <v>Fine Aggregate - natural sand</v>
      </c>
      <c r="H6" s="120" t="str">
        <f>'Plant Inputs'!$D$34</f>
        <v>Fine Aggregate - manufactured</v>
      </c>
      <c r="I6" s="120" t="str">
        <f>'Plant Inputs'!$D$35</f>
        <v>Coarse Aggregate - natural gravel</v>
      </c>
      <c r="J6" s="120" t="str">
        <f>'Plant Inputs'!$D$36</f>
        <v>Coarse Aggregate - crushed</v>
      </c>
      <c r="K6" s="120" t="str">
        <f>'Plant Inputs'!$D$37</f>
        <v>Manufactured Lightweight Aggregate</v>
      </c>
      <c r="L6" s="120" t="str">
        <f>'Plant Inputs'!$D$38</f>
        <v>Natural Lightweight Aggregate</v>
      </c>
      <c r="M6" s="120" t="str">
        <f>'Plant Inputs'!$D$39</f>
        <v>SCMs - Fly Ash</v>
      </c>
      <c r="N6" s="120" t="str">
        <f>'Plant Inputs'!$D$40</f>
        <v>SCMs - Silica Fume</v>
      </c>
      <c r="O6" s="120" t="str">
        <f>'Plant Inputs'!$D$41</f>
        <v>Slag Cement</v>
      </c>
      <c r="P6" s="120" t="str">
        <f>'Plant Inputs'!$D$42</f>
        <v>Chemical Admixture - Air Entraining Agent</v>
      </c>
      <c r="Q6" s="120" t="str">
        <f>'Plant Inputs'!$D$43</f>
        <v>Chemical Admixture - Water Reducer/Plasticizer</v>
      </c>
      <c r="R6" s="120" t="str">
        <f>'Plant Inputs'!$D$44</f>
        <v>Chemical Admixture - Accelerator</v>
      </c>
      <c r="S6" s="120" t="str">
        <f>'Plant Inputs'!$D$45</f>
        <v>Chemical Admixture - High Range Water Reducer (HRWR)/Super Plasticizer</v>
      </c>
      <c r="T6" s="120" t="str">
        <f>'Plant Inputs'!$D$46</f>
        <v>Chemical Admixture - Corrosion Inhibiting</v>
      </c>
      <c r="U6" s="120" t="str">
        <f>'Plant Inputs'!$D$47</f>
        <v>Chemical Admixture - Viscosity Modifying Admixture (VMA)</v>
      </c>
      <c r="V6" s="121" t="str">
        <f>'Plant Inputs'!$D$48</f>
        <v>Form Release Agent</v>
      </c>
      <c r="W6" s="121" t="str">
        <f>'Plant Inputs'!$D$49</f>
        <v>Rebar</v>
      </c>
      <c r="X6" s="121" t="str">
        <f>'Plant Inputs'!$D$50</f>
        <v>Welded Wire Reinforcement (WWR)</v>
      </c>
      <c r="Y6" s="121" t="str">
        <f>'Plant Inputs'!$D$51</f>
        <v>Steel Anchors</v>
      </c>
      <c r="Z6" s="121" t="str">
        <f>'Plant Inputs'!$D$52</f>
        <v>Steel Stressing Strand</v>
      </c>
      <c r="AA6" s="121" t="str">
        <f>'Plant Inputs'!$D$53</f>
        <v>Carbon Fibre Reinforced Polymer (CFRP) strand</v>
      </c>
      <c r="AB6" s="121" t="str">
        <f>'Plant Inputs'!$D$54</f>
        <v>Polypropylene Fibers</v>
      </c>
      <c r="AC6" s="121" t="str">
        <f>'Plant Inputs'!$D$55</f>
        <v>Steel Fibers</v>
      </c>
      <c r="AD6" s="121" t="str">
        <f>'Plant Inputs'!$D$56</f>
        <v>Glass Fibre Reinforced Polymer (GFRP) reinforcing bars</v>
      </c>
      <c r="AE6" s="121" t="str">
        <f>'Plant Inputs'!$D$57</f>
        <v>Carbon Fibre Reinforced Polymer (CFRP) reinforcing bars</v>
      </c>
      <c r="AF6" s="121" t="str">
        <f>'Plant Inputs'!$D$58</f>
        <v>Fibre Reinforced Polymer (FRP) wrap</v>
      </c>
      <c r="AG6" s="121" t="str">
        <f>'Plant Inputs'!$D$59</f>
        <v>Expanded Polystyrene</v>
      </c>
      <c r="AH6" s="121" t="str">
        <f>'Plant Inputs'!$D$60</f>
        <v>Extruded Polystyrene</v>
      </c>
      <c r="AI6" s="121" t="str">
        <f>'Plant Inputs'!$D$61</f>
        <v>Brick</v>
      </c>
      <c r="AJ6" s="121" t="str">
        <f>'Plant Inputs'!$D$62</f>
        <v>Natural Stone</v>
      </c>
      <c r="AK6" s="121" t="str">
        <f>'Plant Inputs'!$D$63</f>
        <v>Pigments</v>
      </c>
      <c r="AL6" s="121" t="str">
        <f>'Plant Inputs'!$D$64</f>
        <v>Net Consumables</v>
      </c>
      <c r="AM6" s="121" t="str">
        <f>'Plant Inputs'!$D$65</f>
        <v>Total Batch Water Use</v>
      </c>
      <c r="AN6" s="121" t="str">
        <f>'Plant Inputs'!$D$66</f>
        <v>Total Plant Water Use</v>
      </c>
      <c r="AO6" s="121" t="str">
        <f>'Plant Inputs'!$D$67</f>
        <v>Percentage of Batch Water that is Recycled Water</v>
      </c>
      <c r="AP6" s="317" t="str">
        <f>'Plant Inputs'!$D$97</f>
        <v>Hazardous Waste to Landfill</v>
      </c>
      <c r="AQ6" s="317" t="str">
        <f>'Plant Inputs'!$D$98</f>
        <v>Hazardous Waste to Recycling Facility</v>
      </c>
      <c r="AR6" s="317" t="str">
        <f>'Plant Inputs'!$D$99</f>
        <v>Hazardous Waste to Incineration Facility</v>
      </c>
      <c r="AS6" s="317" t="str">
        <f>'Plant Inputs'!$D$100</f>
        <v>Non-Hazardous Waste to Landfill</v>
      </c>
      <c r="AT6" s="317" t="str">
        <f>'Plant Inputs'!$D$101</f>
        <v>Non-Hazardous Waste to Recycling Facility</v>
      </c>
      <c r="AU6" s="317" t="str">
        <f>'Plant Inputs'!$D$102</f>
        <v>Non-Hazardous Waste to Incineration Facility</v>
      </c>
      <c r="AV6" s="125" t="str">
        <f>'Plant Inputs'!$D$76</f>
        <v>Purchased Electricity (from Regional Electricity Grid)</v>
      </c>
      <c r="AW6" s="125" t="str">
        <f>'Plant Inputs'!$D$77</f>
        <v>On-Site Generated Electricity - Solar</v>
      </c>
      <c r="AX6" s="125" t="str">
        <f>'Plant Inputs'!$D$78</f>
        <v>On-Site Generated Electricity - Wind</v>
      </c>
      <c r="AY6" s="125" t="str">
        <f>'Plant Inputs'!$D$79</f>
        <v>On-Site Generated Electricity - Hydroelectric</v>
      </c>
      <c r="AZ6" s="125" t="str">
        <f>'Plant Inputs'!$D$80</f>
        <v>On-Site Generated Electricity - Geothermal</v>
      </c>
      <c r="BA6" s="125" t="str">
        <f>'Plant Inputs'!$D$81</f>
        <v>On-Site Generated Electricity - Biomass</v>
      </c>
      <c r="BB6" s="125" t="str">
        <f>'Plant Inputs'!$D$82</f>
        <v>Gasoline</v>
      </c>
      <c r="BC6" s="125" t="str">
        <f>'Plant Inputs'!$D$83</f>
        <v>Natural Gas</v>
      </c>
      <c r="BD6" s="125" t="str">
        <f>'Plant Inputs'!$D$84</f>
        <v>Diesel</v>
      </c>
      <c r="BE6" s="125" t="str">
        <f>'Plant Inputs'!$D$85</f>
        <v>Heavy Fuel Oil</v>
      </c>
      <c r="BF6" s="125" t="str">
        <f>'Plant Inputs'!$D$86</f>
        <v>LPG (Liquified Propane Gas)</v>
      </c>
      <c r="BG6" s="126" t="s">
        <v>13</v>
      </c>
      <c r="BH6" s="127"/>
      <c r="BI6" s="126" t="s">
        <v>14</v>
      </c>
      <c r="BJ6" s="126" t="s">
        <v>16</v>
      </c>
      <c r="BK6" s="126" t="s">
        <v>15</v>
      </c>
    </row>
    <row r="7" spans="1:63" ht="144">
      <c r="A7">
        <f t="shared" si="1"/>
        <v>4</v>
      </c>
      <c r="B7" t="s">
        <v>475</v>
      </c>
      <c r="C7" t="s">
        <v>475</v>
      </c>
      <c r="D7" t="s">
        <v>475</v>
      </c>
      <c r="E7" s="121" t="s">
        <v>844</v>
      </c>
      <c r="F7" s="121" t="s">
        <v>602</v>
      </c>
      <c r="G7" s="121" t="s">
        <v>845</v>
      </c>
      <c r="H7" s="121" t="s">
        <v>846</v>
      </c>
      <c r="I7" s="121" t="s">
        <v>847</v>
      </c>
      <c r="J7" s="121" t="s">
        <v>848</v>
      </c>
      <c r="K7" s="121"/>
      <c r="L7" s="121"/>
      <c r="M7" s="121"/>
      <c r="N7" s="121"/>
      <c r="O7" s="121"/>
      <c r="P7" s="121" t="s">
        <v>795</v>
      </c>
      <c r="Q7" s="121" t="s">
        <v>795</v>
      </c>
      <c r="R7" s="121" t="s">
        <v>795</v>
      </c>
      <c r="S7" s="121" t="s">
        <v>795</v>
      </c>
      <c r="T7" s="121" t="s">
        <v>795</v>
      </c>
      <c r="U7" s="121" t="s">
        <v>795</v>
      </c>
      <c r="V7" s="121" t="s">
        <v>812</v>
      </c>
      <c r="W7" s="121" t="s">
        <v>809</v>
      </c>
      <c r="X7" s="121" t="s">
        <v>810</v>
      </c>
      <c r="Y7" s="121" t="s">
        <v>811</v>
      </c>
      <c r="Z7" s="122">
        <v>1.1000000000000001</v>
      </c>
      <c r="AA7" s="122"/>
      <c r="AB7" s="122"/>
      <c r="AC7" s="122">
        <v>1</v>
      </c>
      <c r="AD7" s="122"/>
      <c r="AE7" s="122"/>
      <c r="AF7" s="121"/>
      <c r="AG7" s="121" t="s">
        <v>849</v>
      </c>
      <c r="AH7" s="121" t="s">
        <v>850</v>
      </c>
      <c r="AI7" s="121" t="s">
        <v>851</v>
      </c>
      <c r="AJ7" s="121" t="s">
        <v>852</v>
      </c>
      <c r="AK7" s="121" t="s">
        <v>853</v>
      </c>
      <c r="AL7" s="121" t="s">
        <v>854</v>
      </c>
      <c r="AM7" s="121"/>
      <c r="AN7" s="121"/>
      <c r="AO7" s="121"/>
      <c r="AP7" s="315"/>
      <c r="AQ7" s="315"/>
      <c r="AR7" s="315"/>
      <c r="AS7" s="315"/>
      <c r="AT7" s="315"/>
      <c r="AU7" s="315"/>
      <c r="AV7" s="128" t="s">
        <v>824</v>
      </c>
      <c r="AW7" s="128"/>
      <c r="AX7" s="128"/>
      <c r="AY7" s="128"/>
      <c r="AZ7" s="128"/>
      <c r="BA7" s="128" t="s">
        <v>855</v>
      </c>
      <c r="BB7" s="128" t="s">
        <v>825</v>
      </c>
      <c r="BC7" s="128" t="s">
        <v>826</v>
      </c>
      <c r="BD7" s="128" t="s">
        <v>827</v>
      </c>
      <c r="BE7" s="128" t="s">
        <v>828</v>
      </c>
      <c r="BF7" s="128" t="s">
        <v>829</v>
      </c>
      <c r="BG7" s="126" t="s">
        <v>830</v>
      </c>
      <c r="BH7" s="126" t="s">
        <v>831</v>
      </c>
      <c r="BI7" s="126" t="s">
        <v>832</v>
      </c>
      <c r="BJ7" s="126" t="s">
        <v>833</v>
      </c>
      <c r="BK7" s="126" t="s">
        <v>834</v>
      </c>
    </row>
    <row r="8" spans="1:63">
      <c r="A8" s="112">
        <f t="shared" si="1"/>
        <v>5</v>
      </c>
      <c r="B8" s="112" t="s">
        <v>106</v>
      </c>
      <c r="C8" s="112" t="str">
        <f>INDEX(EPD_Measures,1)</f>
        <v>Global warming potential (GWP)</v>
      </c>
      <c r="D8" s="112" t="str">
        <f>INDEX(EPD_Calc_Units,1)</f>
        <v>kg</v>
      </c>
      <c r="E8" s="123">
        <v>0.94321546199999995</v>
      </c>
      <c r="F8" s="123">
        <f>E8*'Supplemental LCA Data'!$E$49</f>
        <v>0.8439296238947368</v>
      </c>
      <c r="G8" s="123">
        <v>4.5129999999999997E-3</v>
      </c>
      <c r="H8" s="123">
        <v>3.539E-3</v>
      </c>
      <c r="I8" s="123">
        <v>2.9723839999999998E-3</v>
      </c>
      <c r="J8" s="123">
        <v>3.539E-3</v>
      </c>
      <c r="K8" s="123">
        <v>0</v>
      </c>
      <c r="L8" s="123">
        <v>0</v>
      </c>
      <c r="M8" s="123">
        <v>0</v>
      </c>
      <c r="N8" s="123">
        <v>0</v>
      </c>
      <c r="O8" s="123">
        <v>0</v>
      </c>
      <c r="P8" s="123">
        <f>'Supplemental LCA Data'!$AC$45</f>
        <v>0.10406360712476165</v>
      </c>
      <c r="Q8" s="123">
        <f>'Supplemental LCA Data'!$AD$45</f>
        <v>0.22949974224587316</v>
      </c>
      <c r="R8" s="123">
        <f>'Supplemental LCA Data'!$AE$45</f>
        <v>1.2625032020663256</v>
      </c>
      <c r="S8" s="123">
        <f>'Supplemental LCA Data'!$AF$45</f>
        <v>0.76998593521882752</v>
      </c>
      <c r="T8" s="123">
        <f>'Supplemental LCA Data'!$AG$45</f>
        <v>0.22949974224587316</v>
      </c>
      <c r="U8" s="123">
        <f>'Supplemental LCA Data'!$AH$45</f>
        <v>0.51911044578033227</v>
      </c>
      <c r="V8" s="123">
        <v>2.9429471121354829</v>
      </c>
      <c r="W8" s="123">
        <f>'Supplemental LCA Data'!$B$71/1000</f>
        <v>0.89195544554366246</v>
      </c>
      <c r="X8" s="123">
        <f>'Supplemental LCA Data'!$C$71/1000</f>
        <v>1.0380563118652284</v>
      </c>
      <c r="Y8" s="123">
        <f>'Supplemental LCA Data'!$D$71/1000</f>
        <v>1.5012328955993122</v>
      </c>
      <c r="Z8" s="123">
        <f>W8*$Z$7</f>
        <v>0.98115099009802875</v>
      </c>
      <c r="AA8" s="123">
        <v>0</v>
      </c>
      <c r="AB8" s="123">
        <v>0</v>
      </c>
      <c r="AC8" s="123">
        <f t="shared" ref="AC8:AC215" si="2">$W8*$AC$7</f>
        <v>0.89195544554366246</v>
      </c>
      <c r="AD8" s="123">
        <v>0</v>
      </c>
      <c r="AE8" s="123">
        <v>0</v>
      </c>
      <c r="AF8" s="123">
        <v>0</v>
      </c>
      <c r="AG8" s="123">
        <v>3.3162413704963716</v>
      </c>
      <c r="AH8" s="123">
        <v>9.0789952164299699</v>
      </c>
      <c r="AI8" s="123">
        <v>0.2453477255455345</v>
      </c>
      <c r="AJ8" s="123">
        <v>0.3279493299762562</v>
      </c>
      <c r="AK8" s="123">
        <v>4.6408478655656005</v>
      </c>
      <c r="AL8" s="123">
        <v>0.92461248966214149</v>
      </c>
      <c r="AM8" s="123">
        <v>0</v>
      </c>
      <c r="AN8" s="123">
        <v>0</v>
      </c>
      <c r="AO8" s="123">
        <v>0</v>
      </c>
      <c r="AP8" s="316">
        <v>0</v>
      </c>
      <c r="AQ8" s="316">
        <v>0</v>
      </c>
      <c r="AR8" s="316">
        <v>0</v>
      </c>
      <c r="AS8" s="316">
        <v>0</v>
      </c>
      <c r="AT8" s="316">
        <v>0</v>
      </c>
      <c r="AU8" s="316">
        <v>0</v>
      </c>
      <c r="AV8" s="129">
        <v>0.25681766499999997</v>
      </c>
      <c r="AW8" s="129">
        <v>0</v>
      </c>
      <c r="AX8" s="129">
        <v>0</v>
      </c>
      <c r="AY8" s="129">
        <v>0</v>
      </c>
      <c r="AZ8" s="129">
        <v>0</v>
      </c>
      <c r="BA8" s="129">
        <v>4.5765858E-2</v>
      </c>
      <c r="BB8" s="129">
        <v>2.529973</v>
      </c>
      <c r="BC8" s="129">
        <v>2.4438970000000002</v>
      </c>
      <c r="BD8" s="129">
        <v>3.1787649999999998</v>
      </c>
      <c r="BE8" s="129">
        <v>3.7603420000000001</v>
      </c>
      <c r="BF8" s="129">
        <v>2.0422280000000002</v>
      </c>
      <c r="BG8" s="130">
        <v>9.2743999999999993E-2</v>
      </c>
      <c r="BH8" s="130">
        <v>7.3523000000000005E-2</v>
      </c>
      <c r="BI8" s="130">
        <v>2.2027999999999999E-2</v>
      </c>
      <c r="BJ8" s="130">
        <v>1.8526999999999998E-2</v>
      </c>
      <c r="BK8" s="130">
        <v>3.3079999999999998E-2</v>
      </c>
    </row>
    <row r="9" spans="1:63">
      <c r="A9">
        <f t="shared" si="1"/>
        <v>6</v>
      </c>
      <c r="B9" t="s">
        <v>106</v>
      </c>
      <c r="C9" t="str">
        <f>INDEX(EPD_Measures,2)</f>
        <v>Acidification potential</v>
      </c>
      <c r="D9" t="str">
        <f>INDEX(EPD_Calc_Units,2)</f>
        <v>kg</v>
      </c>
      <c r="E9" s="123">
        <v>3.815293E-3</v>
      </c>
      <c r="F9" s="123">
        <f>E9*'Supplemental LCA Data'!$E$52</f>
        <v>3.4430692926829265E-3</v>
      </c>
      <c r="G9" s="123">
        <v>4.4700000000000002E-5</v>
      </c>
      <c r="H9" s="123">
        <v>4.0899999999999998E-5</v>
      </c>
      <c r="I9" s="123">
        <v>3.5210899999999999E-5</v>
      </c>
      <c r="J9" s="123">
        <v>4.0899999999999998E-5</v>
      </c>
      <c r="K9" s="123"/>
      <c r="L9" s="123"/>
      <c r="M9" s="123">
        <v>0</v>
      </c>
      <c r="N9" s="123">
        <v>0</v>
      </c>
      <c r="O9" s="123">
        <v>0</v>
      </c>
      <c r="P9" s="123">
        <f>'Supplemental LCA Data'!$AC$46</f>
        <v>5.7703135192831948E-4</v>
      </c>
      <c r="Q9" s="123">
        <f>'Supplemental LCA Data'!$AD$46</f>
        <v>1.2139986365417917E-3</v>
      </c>
      <c r="R9" s="123">
        <f>'Supplemental LCA Data'!$AE$46</f>
        <v>4.7483946670140312E-3</v>
      </c>
      <c r="S9" s="123">
        <f>'Supplemental LCA Data'!$AF$46</f>
        <v>3.9528555604969102</v>
      </c>
      <c r="T9" s="123">
        <f>'Supplemental LCA Data'!$AG$46</f>
        <v>1.2139986365417917E-3</v>
      </c>
      <c r="U9" s="123">
        <f>'Supplemental LCA Data'!$AH$46</f>
        <v>0.79212179675778727</v>
      </c>
      <c r="V9" s="123"/>
      <c r="W9" s="123"/>
      <c r="X9" s="123"/>
      <c r="Y9" s="123"/>
      <c r="Z9" s="123"/>
      <c r="AA9" s="123"/>
      <c r="AB9" s="123"/>
      <c r="AC9" s="123"/>
      <c r="AD9" s="123"/>
      <c r="AE9" s="123"/>
      <c r="AF9" s="123"/>
      <c r="AG9" s="123"/>
      <c r="AH9" s="123"/>
      <c r="AI9" s="123"/>
      <c r="AJ9" s="123"/>
      <c r="AK9" s="123"/>
      <c r="AL9" s="123"/>
      <c r="AM9" s="123">
        <v>0</v>
      </c>
      <c r="AN9" s="123">
        <v>0</v>
      </c>
      <c r="AO9" s="123">
        <v>0</v>
      </c>
      <c r="AP9" s="316">
        <v>0</v>
      </c>
      <c r="AQ9" s="316">
        <v>0</v>
      </c>
      <c r="AR9" s="316">
        <v>0</v>
      </c>
      <c r="AS9" s="316">
        <v>0</v>
      </c>
      <c r="AT9" s="316">
        <v>0</v>
      </c>
      <c r="AU9" s="316">
        <v>0</v>
      </c>
      <c r="AV9" s="129">
        <v>1.584795E-3</v>
      </c>
      <c r="AW9" s="129"/>
      <c r="AX9" s="129"/>
      <c r="AY9" s="129"/>
      <c r="AZ9" s="129"/>
      <c r="BA9" s="129">
        <v>8.3965400000000001E-4</v>
      </c>
      <c r="BB9" s="129">
        <v>2.6606000000000001E-2</v>
      </c>
      <c r="BC9" s="129">
        <v>2.0861000000000001E-2</v>
      </c>
      <c r="BD9" s="129">
        <v>5.646E-3</v>
      </c>
      <c r="BE9" s="129">
        <v>8.8570000000000003E-3</v>
      </c>
      <c r="BF9" s="129">
        <v>4.045E-3</v>
      </c>
      <c r="BG9" s="130">
        <v>4.6900000000000002E-4</v>
      </c>
      <c r="BH9" s="130">
        <v>3.2299999999999999E-4</v>
      </c>
      <c r="BI9" s="130">
        <v>3.7199999999999999E-4</v>
      </c>
      <c r="BJ9" s="130">
        <v>3.2299999999999999E-4</v>
      </c>
      <c r="BK9" s="130">
        <v>2.8299999999999999E-4</v>
      </c>
    </row>
    <row r="10" spans="1:63">
      <c r="A10">
        <f t="shared" si="1"/>
        <v>7</v>
      </c>
      <c r="B10" t="s">
        <v>106</v>
      </c>
      <c r="C10" t="str">
        <f>INDEX(EPD_Measures,3)</f>
        <v>Eutrophication potential</v>
      </c>
      <c r="D10" t="str">
        <f>INDEX(EPD_Calc_Units,3)</f>
        <v>kg</v>
      </c>
      <c r="E10" s="123">
        <v>1.24144E-4</v>
      </c>
      <c r="F10" s="123">
        <f>E10*'Supplemental LCA Data'!$E$53</f>
        <v>1.1459446153846154E-4</v>
      </c>
      <c r="G10" s="123">
        <v>2.0999999999999998E-6</v>
      </c>
      <c r="H10" s="123">
        <v>2.5399999999999998E-6</v>
      </c>
      <c r="I10" s="123">
        <v>1.9157000000000001E-6</v>
      </c>
      <c r="J10" s="123">
        <v>2.5399999999999998E-6</v>
      </c>
      <c r="K10" s="123"/>
      <c r="L10" s="123"/>
      <c r="M10" s="123">
        <v>0</v>
      </c>
      <c r="N10" s="123">
        <v>0</v>
      </c>
      <c r="O10" s="123">
        <v>0</v>
      </c>
      <c r="P10" s="123">
        <f>'Supplemental LCA Data'!$AC$47</f>
        <v>1.9624831959085375E-4</v>
      </c>
      <c r="Q10" s="123">
        <f>'Supplemental LCA Data'!$AD$47</f>
        <v>4.226795252829316E-5</v>
      </c>
      <c r="R10" s="123">
        <f>'Supplemental LCA Data'!$AE$47</f>
        <v>8.7898401280121123E-4</v>
      </c>
      <c r="S10" s="123">
        <f>'Supplemental LCA Data'!$AF$47</f>
        <v>0.24926944204227258</v>
      </c>
      <c r="T10" s="123">
        <f>'Supplemental LCA Data'!$AG$47</f>
        <v>4.226795252829316E-5</v>
      </c>
      <c r="U10" s="123">
        <f>'Supplemental LCA Data'!$AH$47</f>
        <v>5.0085842055944255E-2</v>
      </c>
      <c r="V10" s="123"/>
      <c r="W10" s="123"/>
      <c r="X10" s="123"/>
      <c r="Y10" s="123"/>
      <c r="Z10" s="123"/>
      <c r="AA10" s="123"/>
      <c r="AB10" s="123"/>
      <c r="AC10" s="123"/>
      <c r="AD10" s="123"/>
      <c r="AE10" s="123"/>
      <c r="AF10" s="123"/>
      <c r="AG10" s="123"/>
      <c r="AH10" s="123"/>
      <c r="AI10" s="123"/>
      <c r="AJ10" s="123"/>
      <c r="AK10" s="123"/>
      <c r="AL10" s="123"/>
      <c r="AM10" s="123">
        <v>0</v>
      </c>
      <c r="AN10" s="123">
        <v>0</v>
      </c>
      <c r="AO10" s="123">
        <v>0</v>
      </c>
      <c r="AP10" s="316">
        <v>0</v>
      </c>
      <c r="AQ10" s="316">
        <v>0</v>
      </c>
      <c r="AR10" s="316">
        <v>0</v>
      </c>
      <c r="AS10" s="316">
        <v>0</v>
      </c>
      <c r="AT10" s="316">
        <v>0</v>
      </c>
      <c r="AU10" s="316">
        <v>0</v>
      </c>
      <c r="AV10" s="129">
        <v>3.1234800000000001E-5</v>
      </c>
      <c r="AW10" s="129"/>
      <c r="AX10" s="129"/>
      <c r="AY10" s="129"/>
      <c r="AZ10" s="129"/>
      <c r="BA10" s="129">
        <v>4.0302700000000003E-5</v>
      </c>
      <c r="BB10" s="129">
        <v>1.722E-3</v>
      </c>
      <c r="BC10" s="129">
        <v>2.05E-4</v>
      </c>
      <c r="BD10" s="129">
        <v>3.9599999999999998E-4</v>
      </c>
      <c r="BE10" s="129">
        <v>6.0300000000000002E-4</v>
      </c>
      <c r="BF10" s="129">
        <v>2.8299999999999999E-4</v>
      </c>
      <c r="BG10" s="130">
        <v>3.0800000000000003E-5</v>
      </c>
      <c r="BH10" s="130">
        <v>2.1500000000000001E-5</v>
      </c>
      <c r="BI10" s="130">
        <v>2.3799999999999999E-5</v>
      </c>
      <c r="BJ10" s="130">
        <v>2.0699999999999998E-5</v>
      </c>
      <c r="BK10" s="130">
        <v>1.8300000000000001E-5</v>
      </c>
    </row>
    <row r="11" spans="1:63">
      <c r="A11">
        <f t="shared" si="1"/>
        <v>8</v>
      </c>
      <c r="B11" t="s">
        <v>106</v>
      </c>
      <c r="C11" t="str">
        <f>INDEX(EPD_Measures,4)</f>
        <v>Smog creation potential</v>
      </c>
      <c r="D11" t="str">
        <f>INDEX(EPD_Calc_Units,4)</f>
        <v>kg</v>
      </c>
      <c r="E11" s="123">
        <v>4.5607274000000003E-2</v>
      </c>
      <c r="F11" s="123">
        <f>E11*'Supplemental LCA Data'!$E$55</f>
        <v>4.0856516291666665E-2</v>
      </c>
      <c r="G11" s="123">
        <v>1.09E-3</v>
      </c>
      <c r="H11" s="123">
        <v>1.1820000000000001E-3</v>
      </c>
      <c r="I11" s="123">
        <v>1.0082800000000001E-3</v>
      </c>
      <c r="J11" s="123">
        <v>1.1820000000000001E-3</v>
      </c>
      <c r="K11" s="123"/>
      <c r="L11" s="123"/>
      <c r="M11" s="123">
        <v>0</v>
      </c>
      <c r="N11" s="123">
        <v>0</v>
      </c>
      <c r="O11" s="123">
        <v>0</v>
      </c>
      <c r="P11" s="123">
        <f>'Supplemental LCA Data'!$AC$48</f>
        <v>8.7017595456788718E-3</v>
      </c>
      <c r="Q11" s="123">
        <f>'Supplemental LCA Data'!$AD$48</f>
        <v>1.3524104726696053E-2</v>
      </c>
      <c r="R11" s="123">
        <f>'Supplemental LCA Data'!$AE$48</f>
        <v>5.7241581200289861E-2</v>
      </c>
      <c r="S11" s="123">
        <f>'Supplemental LCA Data'!$AF$48</f>
        <v>43.192743848068233</v>
      </c>
      <c r="T11" s="123">
        <f>'Supplemental LCA Data'!$AG$48</f>
        <v>1.3524104726696053E-2</v>
      </c>
      <c r="U11" s="123">
        <f>'Supplemental LCA Data'!$AH$48</f>
        <v>8.6571470796535195</v>
      </c>
      <c r="V11" s="123"/>
      <c r="W11" s="123"/>
      <c r="X11" s="123"/>
      <c r="Y11" s="123"/>
      <c r="Z11" s="123"/>
      <c r="AA11" s="123"/>
      <c r="AB11" s="123"/>
      <c r="AC11" s="123"/>
      <c r="AD11" s="123"/>
      <c r="AE11" s="123"/>
      <c r="AF11" s="123"/>
      <c r="AG11" s="123"/>
      <c r="AH11" s="123"/>
      <c r="AI11" s="123"/>
      <c r="AJ11" s="123"/>
      <c r="AK11" s="123"/>
      <c r="AL11" s="123"/>
      <c r="AM11" s="123">
        <v>0</v>
      </c>
      <c r="AN11" s="123">
        <v>0</v>
      </c>
      <c r="AO11" s="123">
        <v>0</v>
      </c>
      <c r="AP11" s="316">
        <v>0</v>
      </c>
      <c r="AQ11" s="316">
        <v>0</v>
      </c>
      <c r="AR11" s="316">
        <v>0</v>
      </c>
      <c r="AS11" s="316">
        <v>0</v>
      </c>
      <c r="AT11" s="316">
        <v>0</v>
      </c>
      <c r="AU11" s="316">
        <v>0</v>
      </c>
      <c r="AV11" s="129">
        <v>1.3699866999999999E-2</v>
      </c>
      <c r="AW11" s="129"/>
      <c r="AX11" s="129"/>
      <c r="AY11" s="129"/>
      <c r="AZ11" s="129"/>
      <c r="BA11" s="129">
        <v>0.241503051</v>
      </c>
      <c r="BB11" s="129">
        <v>0.90166400000000002</v>
      </c>
      <c r="BC11" s="129">
        <v>5.2539000000000002E-2</v>
      </c>
      <c r="BD11" s="129">
        <v>0.13974</v>
      </c>
      <c r="BE11" s="129">
        <v>0.24854699999999999</v>
      </c>
      <c r="BF11" s="129">
        <v>0.10738499999999999</v>
      </c>
      <c r="BG11" s="130">
        <v>1.5133000000000001E-2</v>
      </c>
      <c r="BH11" s="130">
        <v>1.0231000000000001E-2</v>
      </c>
      <c r="BI11" s="130">
        <v>1.2799E-2</v>
      </c>
      <c r="BJ11" s="130">
        <v>1.1180000000000001E-2</v>
      </c>
      <c r="BK11" s="130">
        <v>9.5029999999999993E-3</v>
      </c>
    </row>
    <row r="12" spans="1:63">
      <c r="A12">
        <f t="shared" si="1"/>
        <v>9</v>
      </c>
      <c r="B12" t="s">
        <v>106</v>
      </c>
      <c r="C12" t="str">
        <f>INDEX(EPD_Measures,5)</f>
        <v>Ozone depletion potential</v>
      </c>
      <c r="D12" t="str">
        <f>INDEX(EPD_Calc_Units,5)</f>
        <v>kg</v>
      </c>
      <c r="E12" s="123">
        <v>1.0744199999999999E-11</v>
      </c>
      <c r="F12" s="123">
        <f>E12*'Supplemental LCA Data'!$E$56</f>
        <v>9.3767563636363608E-12</v>
      </c>
      <c r="G12" s="123">
        <v>1.53E-13</v>
      </c>
      <c r="H12" s="123">
        <v>9.6800000000000004E-11</v>
      </c>
      <c r="I12" s="123">
        <v>1.11411E-13</v>
      </c>
      <c r="J12" s="123">
        <v>9.6800000000000004E-11</v>
      </c>
      <c r="K12" s="123"/>
      <c r="L12" s="123"/>
      <c r="M12" s="123">
        <v>0</v>
      </c>
      <c r="N12" s="123">
        <v>0</v>
      </c>
      <c r="O12" s="123">
        <v>0</v>
      </c>
      <c r="P12" s="123">
        <f>'Supplemental LCA Data'!$AC$49</f>
        <v>4.817994588850506E-10</v>
      </c>
      <c r="Q12" s="123">
        <f>'Supplemental LCA Data'!$AD$49</f>
        <v>0</v>
      </c>
      <c r="R12" s="123">
        <f>'Supplemental LCA Data'!$AE$49</f>
        <v>2.4089972944252421E-9</v>
      </c>
      <c r="S12" s="123">
        <f>'Supplemental LCA Data'!$AF$49</f>
        <v>3.2599963386576577E-9</v>
      </c>
      <c r="T12" s="123">
        <f>'Supplemental LCA Data'!$AG$49</f>
        <v>0</v>
      </c>
      <c r="U12" s="123">
        <f>'Supplemental LCA Data'!$AH$49</f>
        <v>1.2301586183935901E-9</v>
      </c>
      <c r="V12" s="123"/>
      <c r="W12" s="123"/>
      <c r="X12" s="123"/>
      <c r="Y12" s="123"/>
      <c r="Z12" s="123"/>
      <c r="AA12" s="123"/>
      <c r="AB12" s="123"/>
      <c r="AC12" s="123"/>
      <c r="AD12" s="123"/>
      <c r="AE12" s="123"/>
      <c r="AF12" s="123"/>
      <c r="AG12" s="123"/>
      <c r="AH12" s="123"/>
      <c r="AI12" s="123"/>
      <c r="AJ12" s="123"/>
      <c r="AK12" s="123"/>
      <c r="AL12" s="123"/>
      <c r="AM12" s="123">
        <v>0</v>
      </c>
      <c r="AN12" s="123">
        <v>0</v>
      </c>
      <c r="AO12" s="123">
        <v>0</v>
      </c>
      <c r="AP12" s="316">
        <v>0</v>
      </c>
      <c r="AQ12" s="316">
        <v>0</v>
      </c>
      <c r="AR12" s="316">
        <v>0</v>
      </c>
      <c r="AS12" s="316">
        <v>0</v>
      </c>
      <c r="AT12" s="316">
        <v>0</v>
      </c>
      <c r="AU12" s="316">
        <v>0</v>
      </c>
      <c r="AV12" s="129">
        <v>6.8996299999999998E-12</v>
      </c>
      <c r="AW12" s="129"/>
      <c r="AX12" s="129"/>
      <c r="AY12" s="129"/>
      <c r="AZ12" s="129"/>
      <c r="BA12" s="129">
        <v>9.58911E-14</v>
      </c>
      <c r="BB12" s="129">
        <v>1.16E-10</v>
      </c>
      <c r="BC12" s="129">
        <v>1.6799999999999999E-12</v>
      </c>
      <c r="BD12" s="129">
        <v>1.2999999999999999E-10</v>
      </c>
      <c r="BE12" s="129">
        <v>1.41E-10</v>
      </c>
      <c r="BF12" s="129">
        <v>8.1099999999999997E-11</v>
      </c>
      <c r="BG12" s="130">
        <v>3.5300000000000001E-12</v>
      </c>
      <c r="BH12" s="130">
        <v>3.1599999999999999E-12</v>
      </c>
      <c r="BI12" s="130">
        <v>8.4099999999999995E-13</v>
      </c>
      <c r="BJ12" s="130">
        <v>6.9599999999999996E-13</v>
      </c>
      <c r="BK12" s="130">
        <v>1.2499999999999999E-12</v>
      </c>
    </row>
    <row r="13" spans="1:63">
      <c r="A13">
        <f t="shared" si="1"/>
        <v>10</v>
      </c>
      <c r="B13" t="s">
        <v>106</v>
      </c>
      <c r="C13" t="str">
        <f>INDEX(EPD_Measures,6)</f>
        <v>Total primary energy consumption</v>
      </c>
      <c r="D13" t="str">
        <f>INDEX(EPD_Calc_Units,6)</f>
        <v>MJ</v>
      </c>
      <c r="E13" s="123">
        <v>6.6168402149999999</v>
      </c>
      <c r="F13" s="123">
        <f>E13*'Supplemental LCA Data'!$E$50</f>
        <v>6.0171266003474306</v>
      </c>
      <c r="G13" s="123">
        <v>0.10367899999999999</v>
      </c>
      <c r="H13" s="123">
        <v>6.4824999999999994E-2</v>
      </c>
      <c r="I13" s="123">
        <v>5.6367185E-2</v>
      </c>
      <c r="J13" s="123">
        <v>6.4824999999999994E-2</v>
      </c>
      <c r="K13" s="123">
        <v>0</v>
      </c>
      <c r="L13" s="123">
        <v>0</v>
      </c>
      <c r="M13" s="123">
        <v>0</v>
      </c>
      <c r="N13" s="123">
        <v>0</v>
      </c>
      <c r="O13" s="123">
        <v>0</v>
      </c>
      <c r="P13" s="123">
        <f>'Supplemental LCA Data'!$AC$50</f>
        <v>2.099997641465547</v>
      </c>
      <c r="Q13" s="123">
        <f>'Supplemental LCA Data'!$AD$50</f>
        <v>4.5999948336864307</v>
      </c>
      <c r="R13" s="123">
        <f>'Supplemental LCA Data'!$AE$50</f>
        <v>22.799974393054555</v>
      </c>
      <c r="S13" s="123">
        <f>'Supplemental LCA Data'!$AF$50</f>
        <v>18.299979447056902</v>
      </c>
      <c r="T13" s="123">
        <f>'Supplemental LCA Data'!$AG$50</f>
        <v>4.5999948336864307</v>
      </c>
      <c r="U13" s="123">
        <f>'Supplemental LCA Data'!$AH$50</f>
        <v>10.479988229789974</v>
      </c>
      <c r="V13" s="123">
        <v>57.506173091793869</v>
      </c>
      <c r="W13" s="123">
        <f>'Supplemental LCA Data'!$B$72/1000</f>
        <v>17.379305548594214</v>
      </c>
      <c r="X13" s="123">
        <f>'Supplemental LCA Data'!$C$72/1000</f>
        <v>21.115558668452628</v>
      </c>
      <c r="Y13" s="123">
        <f>'Supplemental LCA Data'!$D$72/1000</f>
        <v>25.458767950129285</v>
      </c>
      <c r="Z13" s="123">
        <f>W13*$Z$7</f>
        <v>19.117236103453639</v>
      </c>
      <c r="AA13" s="123">
        <v>0</v>
      </c>
      <c r="AB13" s="123">
        <v>0</v>
      </c>
      <c r="AC13" s="123">
        <f t="shared" si="2"/>
        <v>17.379305548594214</v>
      </c>
      <c r="AD13" s="123">
        <v>0</v>
      </c>
      <c r="AE13" s="123">
        <v>0</v>
      </c>
      <c r="AF13" s="123">
        <v>0</v>
      </c>
      <c r="AG13" s="123">
        <v>111.41336281293017</v>
      </c>
      <c r="AH13" s="123">
        <v>96.934631722060175</v>
      </c>
      <c r="AI13" s="123">
        <v>3.4310468673118439</v>
      </c>
      <c r="AJ13" s="123">
        <v>7.079849022399789</v>
      </c>
      <c r="AK13" s="123">
        <v>88.609789579499989</v>
      </c>
      <c r="AL13" s="123">
        <v>75.869011043824344</v>
      </c>
      <c r="AM13" s="123">
        <v>0</v>
      </c>
      <c r="AN13" s="123">
        <v>0</v>
      </c>
      <c r="AO13" s="123">
        <v>0</v>
      </c>
      <c r="AP13" s="316">
        <v>0</v>
      </c>
      <c r="AQ13" s="316">
        <v>0</v>
      </c>
      <c r="AR13" s="316">
        <v>0</v>
      </c>
      <c r="AS13" s="316">
        <v>0</v>
      </c>
      <c r="AT13" s="316">
        <v>0</v>
      </c>
      <c r="AU13" s="316">
        <v>0</v>
      </c>
      <c r="AV13" s="129">
        <v>7.8852277869999998</v>
      </c>
      <c r="AW13" s="129">
        <v>3.6</v>
      </c>
      <c r="AX13" s="129">
        <v>3.6</v>
      </c>
      <c r="AY13" s="129">
        <v>3.6</v>
      </c>
      <c r="AZ13" s="129">
        <v>3.6</v>
      </c>
      <c r="BA13" s="129">
        <v>3.4579025999999999E-2</v>
      </c>
      <c r="BB13" s="129">
        <v>41.990099999999998</v>
      </c>
      <c r="BC13" s="129">
        <v>43.209249999999997</v>
      </c>
      <c r="BD13" s="129">
        <v>46.983649999999997</v>
      </c>
      <c r="BE13" s="129">
        <v>51.126690000000004</v>
      </c>
      <c r="BF13" s="129">
        <v>29.343319999999999</v>
      </c>
      <c r="BG13" s="130">
        <v>1.2783040000000001</v>
      </c>
      <c r="BH13" s="130">
        <v>1.14236</v>
      </c>
      <c r="BI13" s="130">
        <v>0.30436299999999999</v>
      </c>
      <c r="BJ13" s="130">
        <v>0.25176399999999999</v>
      </c>
      <c r="BK13" s="130">
        <v>0.45051000000000002</v>
      </c>
    </row>
    <row r="14" spans="1:63">
      <c r="A14">
        <f t="shared" si="1"/>
        <v>11</v>
      </c>
      <c r="B14" t="s">
        <v>106</v>
      </c>
      <c r="C14" t="str">
        <f>INDEX(EPD_Measures,7)</f>
        <v>Nonrenewable energy resources</v>
      </c>
      <c r="D14" t="str">
        <f>INDEX(EPD_Calc_Units,7)</f>
        <v>MJ</v>
      </c>
      <c r="E14" s="123">
        <v>6.2516756679999999</v>
      </c>
      <c r="F14" s="123">
        <f>E14*'Supplemental LCA Data'!$E$51</f>
        <v>5.6733707417735255</v>
      </c>
      <c r="G14" s="123">
        <v>8.2511000000000001E-2</v>
      </c>
      <c r="H14" s="123">
        <v>5.7757999999999997E-2</v>
      </c>
      <c r="I14" s="123">
        <v>4.9311202999999998E-2</v>
      </c>
      <c r="J14" s="123">
        <v>5.7757999999999997E-2</v>
      </c>
      <c r="K14" s="123"/>
      <c r="L14" s="123"/>
      <c r="M14" s="123">
        <v>0</v>
      </c>
      <c r="N14" s="123">
        <v>0</v>
      </c>
      <c r="O14" s="123">
        <v>0</v>
      </c>
      <c r="P14" s="123">
        <f>'Supplemental LCA Data'!$AC$51</f>
        <v>2.099997641465547</v>
      </c>
      <c r="Q14" s="123">
        <f>'Supplemental LCA Data'!$AD$51</f>
        <v>4.5999948336864307</v>
      </c>
      <c r="R14" s="123">
        <f>'Supplemental LCA Data'!$AE$51</f>
        <v>22.799974393054555</v>
      </c>
      <c r="S14" s="123">
        <f>'Supplemental LCA Data'!$AF$51</f>
        <v>18.299979447056902</v>
      </c>
      <c r="T14" s="123">
        <f>'Supplemental LCA Data'!$AG$51</f>
        <v>4.5999948336864307</v>
      </c>
      <c r="U14" s="123">
        <f>'Supplemental LCA Data'!$AH$51</f>
        <v>10.479988229789974</v>
      </c>
      <c r="V14" s="123"/>
      <c r="W14" s="123"/>
      <c r="X14" s="123"/>
      <c r="Y14" s="123"/>
      <c r="Z14" s="123"/>
      <c r="AA14" s="123"/>
      <c r="AB14" s="123"/>
      <c r="AC14" s="123"/>
      <c r="AD14" s="123"/>
      <c r="AE14" s="123"/>
      <c r="AF14" s="123"/>
      <c r="AG14" s="123"/>
      <c r="AH14" s="123"/>
      <c r="AI14" s="123"/>
      <c r="AJ14" s="123"/>
      <c r="AK14" s="123"/>
      <c r="AL14" s="123"/>
      <c r="AM14" s="123">
        <v>0</v>
      </c>
      <c r="AN14" s="123">
        <v>0</v>
      </c>
      <c r="AO14" s="123">
        <v>0</v>
      </c>
      <c r="AP14" s="316">
        <v>0</v>
      </c>
      <c r="AQ14" s="316">
        <v>0</v>
      </c>
      <c r="AR14" s="316">
        <v>0</v>
      </c>
      <c r="AS14" s="316">
        <v>0</v>
      </c>
      <c r="AT14" s="316">
        <v>0</v>
      </c>
      <c r="AU14" s="316">
        <v>0</v>
      </c>
      <c r="AV14" s="129">
        <v>5.5332337239999996</v>
      </c>
      <c r="AW14" s="129"/>
      <c r="AX14" s="129"/>
      <c r="AY14" s="129"/>
      <c r="AZ14" s="129"/>
      <c r="BA14" s="129">
        <v>3.4579025999999999E-2</v>
      </c>
      <c r="BB14" s="129">
        <v>41.929009999999998</v>
      </c>
      <c r="BC14" s="129">
        <v>43.189610000000002</v>
      </c>
      <c r="BD14" s="129">
        <v>46.915320000000001</v>
      </c>
      <c r="BE14" s="129">
        <v>51.052590000000002</v>
      </c>
      <c r="BF14" s="129">
        <v>29.300560000000001</v>
      </c>
      <c r="BG14" s="130">
        <v>1.276451</v>
      </c>
      <c r="BH14" s="130">
        <v>1.1407039999999999</v>
      </c>
      <c r="BI14" s="130">
        <v>0.303921</v>
      </c>
      <c r="BJ14" s="130">
        <v>0.25139899999999998</v>
      </c>
      <c r="BK14" s="130">
        <v>0.44985700000000001</v>
      </c>
    </row>
    <row r="15" spans="1:63">
      <c r="A15">
        <f t="shared" si="1"/>
        <v>12</v>
      </c>
      <c r="B15" t="s">
        <v>106</v>
      </c>
      <c r="C15" t="str">
        <f>INDEX(EPD_Measures,8)</f>
        <v>Renewable energy resources</v>
      </c>
      <c r="D15" t="str">
        <f>INDEX(EPD_Calc_Units,8)</f>
        <v>MJ</v>
      </c>
      <c r="E15" s="123">
        <v>0.36516454700000001</v>
      </c>
      <c r="F15" s="123">
        <f>E15*'Supplemental LCA Data'!$E$57</f>
        <v>0.33138537040350885</v>
      </c>
      <c r="G15" s="123">
        <v>2.1167999999999999E-2</v>
      </c>
      <c r="H15" s="123">
        <v>7.0670000000000004E-3</v>
      </c>
      <c r="I15" s="123">
        <v>7.0559819999999997E-3</v>
      </c>
      <c r="J15" s="123">
        <v>7.0670000000000004E-3</v>
      </c>
      <c r="K15" s="123"/>
      <c r="L15" s="123"/>
      <c r="M15" s="123">
        <v>0</v>
      </c>
      <c r="N15" s="123">
        <v>0</v>
      </c>
      <c r="O15" s="123">
        <v>0</v>
      </c>
      <c r="P15" s="123">
        <f>'Supplemental LCA Data'!$AC$52</f>
        <v>0</v>
      </c>
      <c r="Q15" s="123">
        <f>'Supplemental LCA Data'!$AD$52</f>
        <v>0</v>
      </c>
      <c r="R15" s="123">
        <f>'Supplemental LCA Data'!$AE$52</f>
        <v>0</v>
      </c>
      <c r="S15" s="123">
        <f>'Supplemental LCA Data'!$AF$52</f>
        <v>0</v>
      </c>
      <c r="T15" s="123">
        <f>'Supplemental LCA Data'!$AG$52</f>
        <v>0</v>
      </c>
      <c r="U15" s="123">
        <f>'Supplemental LCA Data'!$AH$52</f>
        <v>0</v>
      </c>
      <c r="V15" s="123"/>
      <c r="W15" s="123"/>
      <c r="X15" s="123"/>
      <c r="Y15" s="123"/>
      <c r="Z15" s="123"/>
      <c r="AA15" s="123"/>
      <c r="AB15" s="123"/>
      <c r="AC15" s="123"/>
      <c r="AD15" s="123"/>
      <c r="AE15" s="123"/>
      <c r="AF15" s="123"/>
      <c r="AG15" s="123"/>
      <c r="AH15" s="123"/>
      <c r="AI15" s="123"/>
      <c r="AJ15" s="123"/>
      <c r="AK15" s="123"/>
      <c r="AL15" s="123"/>
      <c r="AM15" s="123">
        <v>0</v>
      </c>
      <c r="AN15" s="123">
        <v>0</v>
      </c>
      <c r="AO15" s="123">
        <v>0</v>
      </c>
      <c r="AP15" s="316">
        <v>0</v>
      </c>
      <c r="AQ15" s="316">
        <v>0</v>
      </c>
      <c r="AR15" s="316">
        <v>0</v>
      </c>
      <c r="AS15" s="316">
        <v>0</v>
      </c>
      <c r="AT15" s="316">
        <v>0</v>
      </c>
      <c r="AU15" s="316">
        <v>0</v>
      </c>
      <c r="AV15" s="129">
        <v>2.3519940639999999</v>
      </c>
      <c r="AW15" s="129"/>
      <c r="AX15" s="129"/>
      <c r="AY15" s="129"/>
      <c r="AZ15" s="129"/>
      <c r="BA15" s="129">
        <v>0</v>
      </c>
      <c r="BB15" s="129">
        <v>6.1093000000000001E-2</v>
      </c>
      <c r="BC15" s="129">
        <v>1.9647000000000001E-2</v>
      </c>
      <c r="BD15" s="129">
        <v>6.8331000000000003E-2</v>
      </c>
      <c r="BE15" s="129">
        <v>7.4106000000000005E-2</v>
      </c>
      <c r="BF15" s="129">
        <v>4.2762000000000001E-2</v>
      </c>
      <c r="BG15" s="130">
        <v>1.853E-3</v>
      </c>
      <c r="BH15" s="130">
        <v>1.6559999999999999E-3</v>
      </c>
      <c r="BI15" s="130">
        <v>4.4099999999999999E-4</v>
      </c>
      <c r="BJ15" s="130">
        <v>3.6499999999999998E-4</v>
      </c>
      <c r="BK15" s="130">
        <v>6.5300000000000004E-4</v>
      </c>
    </row>
    <row r="16" spans="1:63">
      <c r="A16">
        <f t="shared" si="1"/>
        <v>13</v>
      </c>
      <c r="B16" t="s">
        <v>106</v>
      </c>
      <c r="C16" t="str">
        <f>INDEX(EPD_Measures,9)</f>
        <v>Material resources consumption</v>
      </c>
      <c r="D16" t="str">
        <f>INDEX(EPD_Calc_Units,9)</f>
        <v>kg</v>
      </c>
      <c r="E16" s="123">
        <v>1.6540299999999999</v>
      </c>
      <c r="F16" s="123">
        <f>E16*'Supplemental LCA Data'!$E$58</f>
        <v>1.6540299999999999</v>
      </c>
      <c r="G16" s="123">
        <v>1.0000015600000001</v>
      </c>
      <c r="H16" s="123">
        <v>1.0000021111649813</v>
      </c>
      <c r="I16" s="123">
        <v>1.0000015600000001</v>
      </c>
      <c r="J16" s="123">
        <v>1.0000021111649813</v>
      </c>
      <c r="K16" s="123"/>
      <c r="L16" s="123"/>
      <c r="M16" s="123">
        <v>0</v>
      </c>
      <c r="N16" s="123">
        <v>0</v>
      </c>
      <c r="O16" s="123">
        <v>0</v>
      </c>
      <c r="P16" s="123">
        <f>'Supplemental LCA Data'!$AC$53</f>
        <v>0</v>
      </c>
      <c r="Q16" s="123">
        <f>'Supplemental LCA Data'!$AD$53</f>
        <v>0</v>
      </c>
      <c r="R16" s="123">
        <f>'Supplemental LCA Data'!$AE$53</f>
        <v>0</v>
      </c>
      <c r="S16" s="123">
        <f>'Supplemental LCA Data'!$AF$53</f>
        <v>0</v>
      </c>
      <c r="T16" s="123">
        <f>'Supplemental LCA Data'!$AG$53</f>
        <v>0</v>
      </c>
      <c r="U16" s="123">
        <f>'Supplemental LCA Data'!$AH$53</f>
        <v>0</v>
      </c>
      <c r="V16" s="123"/>
      <c r="W16" s="123"/>
      <c r="X16" s="123"/>
      <c r="Y16" s="123"/>
      <c r="Z16" s="123"/>
      <c r="AA16" s="123"/>
      <c r="AB16" s="123"/>
      <c r="AC16" s="123"/>
      <c r="AD16" s="123"/>
      <c r="AE16" s="123"/>
      <c r="AF16" s="123"/>
      <c r="AG16" s="123"/>
      <c r="AH16" s="123"/>
      <c r="AI16" s="123"/>
      <c r="AJ16" s="123"/>
      <c r="AK16" s="123"/>
      <c r="AL16" s="123"/>
      <c r="AM16" s="123">
        <v>0</v>
      </c>
      <c r="AN16" s="123">
        <v>0</v>
      </c>
      <c r="AO16" s="123">
        <v>0</v>
      </c>
      <c r="AP16" s="316">
        <v>0</v>
      </c>
      <c r="AQ16" s="316">
        <v>0</v>
      </c>
      <c r="AR16" s="316">
        <v>0</v>
      </c>
      <c r="AS16" s="316">
        <v>0</v>
      </c>
      <c r="AT16" s="316">
        <v>0</v>
      </c>
      <c r="AU16" s="316">
        <v>0</v>
      </c>
      <c r="AV16" s="129">
        <v>0</v>
      </c>
      <c r="AW16" s="129"/>
      <c r="AX16" s="129"/>
      <c r="AY16" s="129"/>
      <c r="AZ16" s="129"/>
      <c r="BA16" s="129">
        <v>0.84323164500000003</v>
      </c>
      <c r="BB16" s="129">
        <v>0</v>
      </c>
      <c r="BC16" s="129">
        <v>0</v>
      </c>
      <c r="BD16" s="129">
        <v>0</v>
      </c>
      <c r="BE16" s="129">
        <v>0</v>
      </c>
      <c r="BF16" s="129">
        <v>0</v>
      </c>
      <c r="BG16" s="130">
        <v>0</v>
      </c>
      <c r="BH16" s="130">
        <v>0</v>
      </c>
      <c r="BI16" s="130">
        <v>0</v>
      </c>
      <c r="BJ16" s="130">
        <v>0</v>
      </c>
      <c r="BK16" s="130">
        <v>0</v>
      </c>
    </row>
    <row r="17" spans="1:63">
      <c r="A17">
        <f t="shared" si="1"/>
        <v>14</v>
      </c>
      <c r="B17" t="s">
        <v>106</v>
      </c>
      <c r="C17" t="str">
        <f>INDEX(EPD_Measures,10)</f>
        <v>Nonrenewable material resources</v>
      </c>
      <c r="D17" t="str">
        <f>INDEX(EPD_Calc_Units,10)</f>
        <v>kg</v>
      </c>
      <c r="E17" s="123">
        <v>1.6540299999999999</v>
      </c>
      <c r="F17" s="123">
        <f>E17*'Supplemental LCA Data'!$E$59</f>
        <v>1.6540299999999999</v>
      </c>
      <c r="G17" s="123">
        <v>1</v>
      </c>
      <c r="H17" s="123">
        <v>1.0000001919044312</v>
      </c>
      <c r="I17" s="123">
        <v>1</v>
      </c>
      <c r="J17" s="123">
        <v>1.0000001919044312</v>
      </c>
      <c r="K17" s="123"/>
      <c r="L17" s="123"/>
      <c r="M17" s="123">
        <v>0</v>
      </c>
      <c r="N17" s="123">
        <v>0</v>
      </c>
      <c r="O17" s="123">
        <v>0</v>
      </c>
      <c r="P17" s="123">
        <f>'Supplemental LCA Data'!$AC$54</f>
        <v>0</v>
      </c>
      <c r="Q17" s="123">
        <f>'Supplemental LCA Data'!$AD$54</f>
        <v>0</v>
      </c>
      <c r="R17" s="123">
        <f>'Supplemental LCA Data'!$AE$54</f>
        <v>0</v>
      </c>
      <c r="S17" s="123">
        <f>'Supplemental LCA Data'!$AF$54</f>
        <v>0</v>
      </c>
      <c r="T17" s="123">
        <f>'Supplemental LCA Data'!$AG$54</f>
        <v>0</v>
      </c>
      <c r="U17" s="123">
        <f>'Supplemental LCA Data'!$AH$54</f>
        <v>0</v>
      </c>
      <c r="V17" s="123"/>
      <c r="W17" s="123"/>
      <c r="X17" s="123"/>
      <c r="Y17" s="123"/>
      <c r="Z17" s="123"/>
      <c r="AA17" s="123"/>
      <c r="AB17" s="123"/>
      <c r="AC17" s="123"/>
      <c r="AD17" s="123"/>
      <c r="AE17" s="123"/>
      <c r="AF17" s="123"/>
      <c r="AG17" s="123"/>
      <c r="AH17" s="123"/>
      <c r="AI17" s="123"/>
      <c r="AJ17" s="123"/>
      <c r="AK17" s="123"/>
      <c r="AL17" s="123"/>
      <c r="AM17" s="123">
        <v>0</v>
      </c>
      <c r="AN17" s="123">
        <v>0</v>
      </c>
      <c r="AO17" s="123">
        <v>0</v>
      </c>
      <c r="AP17" s="316">
        <v>0</v>
      </c>
      <c r="AQ17" s="316">
        <v>0</v>
      </c>
      <c r="AR17" s="316">
        <v>0</v>
      </c>
      <c r="AS17" s="316">
        <v>0</v>
      </c>
      <c r="AT17" s="316">
        <v>0</v>
      </c>
      <c r="AU17" s="316">
        <v>0</v>
      </c>
      <c r="AV17" s="129">
        <v>0</v>
      </c>
      <c r="AW17" s="129"/>
      <c r="AX17" s="129"/>
      <c r="AY17" s="129"/>
      <c r="AZ17" s="129"/>
      <c r="BA17" s="129">
        <v>0</v>
      </c>
      <c r="BB17" s="129">
        <v>0</v>
      </c>
      <c r="BC17" s="129">
        <v>0</v>
      </c>
      <c r="BD17" s="129">
        <v>0</v>
      </c>
      <c r="BE17" s="129">
        <v>0</v>
      </c>
      <c r="BF17" s="129">
        <v>0</v>
      </c>
      <c r="BG17" s="130">
        <v>0</v>
      </c>
      <c r="BH17" s="130">
        <v>0</v>
      </c>
      <c r="BI17" s="130">
        <v>0</v>
      </c>
      <c r="BJ17" s="130">
        <v>0</v>
      </c>
      <c r="BK17" s="130">
        <v>0</v>
      </c>
    </row>
    <row r="18" spans="1:63">
      <c r="A18">
        <f t="shared" si="1"/>
        <v>15</v>
      </c>
      <c r="B18" t="s">
        <v>106</v>
      </c>
      <c r="C18" t="str">
        <f>INDEX(EPD_Measures,11)</f>
        <v>Renewable material resources</v>
      </c>
      <c r="D18" t="str">
        <f>INDEX(EPD_Calc_Units,11)</f>
        <v>kg</v>
      </c>
      <c r="E18" s="123">
        <v>0</v>
      </c>
      <c r="F18" s="123">
        <f>E18*'Supplemental LCA Data'!$E$60</f>
        <v>0</v>
      </c>
      <c r="G18" s="123">
        <v>1.5600000000000001E-6</v>
      </c>
      <c r="H18" s="123">
        <v>1.9192605499999998E-6</v>
      </c>
      <c r="I18" s="123">
        <v>1.5600000000000001E-6</v>
      </c>
      <c r="J18" s="123">
        <v>1.9192605499999998E-6</v>
      </c>
      <c r="K18" s="123"/>
      <c r="L18" s="123"/>
      <c r="M18" s="123">
        <v>0</v>
      </c>
      <c r="N18" s="123">
        <v>0</v>
      </c>
      <c r="O18" s="123">
        <v>0</v>
      </c>
      <c r="P18" s="123">
        <f>'Supplemental LCA Data'!$AC$55</f>
        <v>0</v>
      </c>
      <c r="Q18" s="123">
        <f>'Supplemental LCA Data'!$AD$55</f>
        <v>0</v>
      </c>
      <c r="R18" s="123">
        <f>'Supplemental LCA Data'!$AE$55</f>
        <v>0</v>
      </c>
      <c r="S18" s="123">
        <f>'Supplemental LCA Data'!$AF$55</f>
        <v>0</v>
      </c>
      <c r="T18" s="123">
        <f>'Supplemental LCA Data'!$AG$55</f>
        <v>0</v>
      </c>
      <c r="U18" s="123">
        <f>'Supplemental LCA Data'!$AH$55</f>
        <v>0</v>
      </c>
      <c r="V18" s="123"/>
      <c r="W18" s="123"/>
      <c r="X18" s="123"/>
      <c r="Y18" s="123"/>
      <c r="Z18" s="123"/>
      <c r="AA18" s="123"/>
      <c r="AB18" s="123"/>
      <c r="AC18" s="123"/>
      <c r="AD18" s="123"/>
      <c r="AE18" s="123"/>
      <c r="AF18" s="123"/>
      <c r="AG18" s="123"/>
      <c r="AH18" s="123"/>
      <c r="AI18" s="123"/>
      <c r="AJ18" s="123"/>
      <c r="AK18" s="123"/>
      <c r="AL18" s="123"/>
      <c r="AM18" s="123">
        <v>0</v>
      </c>
      <c r="AN18" s="123">
        <v>0</v>
      </c>
      <c r="AO18" s="123">
        <v>0</v>
      </c>
      <c r="AP18" s="316">
        <v>0</v>
      </c>
      <c r="AQ18" s="316">
        <v>0</v>
      </c>
      <c r="AR18" s="316">
        <v>0</v>
      </c>
      <c r="AS18" s="316">
        <v>0</v>
      </c>
      <c r="AT18" s="316">
        <v>0</v>
      </c>
      <c r="AU18" s="316">
        <v>0</v>
      </c>
      <c r="AV18" s="129">
        <v>0</v>
      </c>
      <c r="AW18" s="129"/>
      <c r="AX18" s="129"/>
      <c r="AY18" s="129"/>
      <c r="AZ18" s="129"/>
      <c r="BA18" s="129">
        <v>0.84323164500000003</v>
      </c>
      <c r="BB18" s="129">
        <v>0</v>
      </c>
      <c r="BC18" s="129">
        <v>0</v>
      </c>
      <c r="BD18" s="129">
        <v>0</v>
      </c>
      <c r="BE18" s="129">
        <v>0</v>
      </c>
      <c r="BF18" s="129">
        <v>0</v>
      </c>
      <c r="BG18" s="130">
        <v>0</v>
      </c>
      <c r="BH18" s="130">
        <v>0</v>
      </c>
      <c r="BI18" s="130">
        <v>0</v>
      </c>
      <c r="BJ18" s="130">
        <v>0</v>
      </c>
      <c r="BK18" s="130">
        <v>0</v>
      </c>
    </row>
    <row r="19" spans="1:63">
      <c r="A19">
        <f t="shared" si="1"/>
        <v>16</v>
      </c>
      <c r="B19" t="s">
        <v>106</v>
      </c>
      <c r="C19" t="str">
        <f>INDEX(EPD_Measures,12)</f>
        <v>Net Fresh Water</v>
      </c>
      <c r="D19" t="str">
        <f>INDEX(EPD_Calc_Units,12)</f>
        <v>m3</v>
      </c>
      <c r="E19" s="123">
        <v>9.7039999999999995E-4</v>
      </c>
      <c r="F19" s="123">
        <f>E19*'Supplemental LCA Data'!$E$61</f>
        <v>8.7336E-4</v>
      </c>
      <c r="G19" s="123">
        <f>$G$1+0</f>
        <v>6.7500000000000004E-4</v>
      </c>
      <c r="H19" s="123">
        <f>$G$1+0.000000717</f>
        <v>6.7571700000000005E-4</v>
      </c>
      <c r="I19" s="123">
        <f>$G$1+0</f>
        <v>6.7500000000000004E-4</v>
      </c>
      <c r="J19" s="123">
        <f>$G$1+0.000000717</f>
        <v>6.7571700000000005E-4</v>
      </c>
      <c r="K19" s="123">
        <v>0</v>
      </c>
      <c r="L19" s="123">
        <v>0</v>
      </c>
      <c r="M19" s="123">
        <v>0</v>
      </c>
      <c r="N19" s="123">
        <v>0</v>
      </c>
      <c r="O19" s="123">
        <v>0</v>
      </c>
      <c r="P19" s="123">
        <f>'Supplemental LCA Data'!$AC$56</f>
        <v>0</v>
      </c>
      <c r="Q19" s="123">
        <f>'Supplemental LCA Data'!$AD$56</f>
        <v>0</v>
      </c>
      <c r="R19" s="123">
        <f>'Supplemental LCA Data'!$AE$56</f>
        <v>0</v>
      </c>
      <c r="S19" s="123">
        <f>'Supplemental LCA Data'!$AF$56</f>
        <v>0</v>
      </c>
      <c r="T19" s="123">
        <f>'Supplemental LCA Data'!$AG$56</f>
        <v>0</v>
      </c>
      <c r="U19" s="123">
        <f>'Supplemental LCA Data'!$AH$56</f>
        <v>0</v>
      </c>
      <c r="V19" s="123">
        <v>0.11500386618134965</v>
      </c>
      <c r="W19" s="123">
        <f>'Supplemental LCA Data'!$B$73/1000/1000</f>
        <v>1.3732079207907059E-2</v>
      </c>
      <c r="X19" s="123">
        <f>'Supplemental LCA Data'!$C$73/1000/1000</f>
        <v>1.389655434006113E-2</v>
      </c>
      <c r="Y19" s="123">
        <f>'Supplemental LCA Data'!$D$73/1000/1000</f>
        <v>1.4675578391799121E-2</v>
      </c>
      <c r="Z19" s="123">
        <f>W19*$Z$7</f>
        <v>1.5105287128697766E-2</v>
      </c>
      <c r="AA19" s="123">
        <v>0</v>
      </c>
      <c r="AB19" s="123">
        <v>0</v>
      </c>
      <c r="AC19" s="123">
        <f t="shared" si="2"/>
        <v>1.3732079207907059E-2</v>
      </c>
      <c r="AD19" s="123">
        <v>0</v>
      </c>
      <c r="AE19" s="123">
        <v>0</v>
      </c>
      <c r="AF19" s="123">
        <v>0</v>
      </c>
      <c r="AG19" s="123">
        <v>6.6615854003756548E-4</v>
      </c>
      <c r="AH19" s="123">
        <v>8.5599624991234465E-3</v>
      </c>
      <c r="AI19" s="123">
        <v>3.5226266152208971E-4</v>
      </c>
      <c r="AJ19" s="123">
        <v>3.9507938615937904E-3</v>
      </c>
      <c r="AK19" s="123">
        <v>7.4033158500000001E-2</v>
      </c>
      <c r="AL19" s="123">
        <v>0</v>
      </c>
      <c r="AM19" s="123">
        <v>0</v>
      </c>
      <c r="AN19" s="123">
        <v>0</v>
      </c>
      <c r="AO19" s="123">
        <v>0</v>
      </c>
      <c r="AP19" s="316">
        <v>0</v>
      </c>
      <c r="AQ19" s="316">
        <v>0</v>
      </c>
      <c r="AR19" s="316">
        <v>0</v>
      </c>
      <c r="AS19" s="316">
        <v>0</v>
      </c>
      <c r="AT19" s="316">
        <v>0</v>
      </c>
      <c r="AU19" s="316">
        <v>0</v>
      </c>
      <c r="AV19" s="129">
        <v>0</v>
      </c>
      <c r="AW19" s="129">
        <v>0</v>
      </c>
      <c r="AX19" s="129">
        <v>0</v>
      </c>
      <c r="AY19" s="129">
        <v>0</v>
      </c>
      <c r="AZ19" s="129">
        <v>0</v>
      </c>
      <c r="BA19" s="129">
        <v>0</v>
      </c>
      <c r="BB19" s="129">
        <v>0</v>
      </c>
      <c r="BC19" s="129">
        <v>0</v>
      </c>
      <c r="BD19" s="129">
        <v>0</v>
      </c>
      <c r="BE19" s="129">
        <v>0</v>
      </c>
      <c r="BF19" s="129">
        <v>0</v>
      </c>
      <c r="BG19" s="130">
        <v>0</v>
      </c>
      <c r="BH19" s="130">
        <v>0</v>
      </c>
      <c r="BI19" s="130">
        <v>0</v>
      </c>
      <c r="BJ19" s="130">
        <v>0</v>
      </c>
      <c r="BK19" s="130">
        <v>0</v>
      </c>
    </row>
    <row r="20" spans="1:63">
      <c r="A20">
        <f t="shared" si="1"/>
        <v>17</v>
      </c>
      <c r="B20" t="s">
        <v>106</v>
      </c>
      <c r="C20" t="str">
        <f>INDEX(EPD_Measures,13)</f>
        <v>Non-hazardous waste generated</v>
      </c>
      <c r="D20" t="str">
        <f>INDEX(EPD_Calc_Units,13)</f>
        <v>kg</v>
      </c>
      <c r="E20" s="123">
        <v>5.1000000000000004E-3</v>
      </c>
      <c r="F20" s="123">
        <f>E20*'Supplemental LCA Data'!$E$62</f>
        <v>5.1000000000000004E-3</v>
      </c>
      <c r="G20" s="123">
        <v>0</v>
      </c>
      <c r="H20" s="123">
        <v>0</v>
      </c>
      <c r="I20" s="123">
        <v>0</v>
      </c>
      <c r="J20" s="123">
        <v>0</v>
      </c>
      <c r="K20" s="123"/>
      <c r="L20" s="123"/>
      <c r="M20" s="123">
        <v>0</v>
      </c>
      <c r="N20" s="123">
        <v>0</v>
      </c>
      <c r="O20" s="123">
        <v>0</v>
      </c>
      <c r="P20" s="123">
        <f>'Supplemental LCA Data'!$AC$57</f>
        <v>0</v>
      </c>
      <c r="Q20" s="123">
        <f>'Supplemental LCA Data'!$AD$57</f>
        <v>0</v>
      </c>
      <c r="R20" s="123">
        <f>'Supplemental LCA Data'!$AE$57</f>
        <v>0</v>
      </c>
      <c r="S20" s="123">
        <f>'Supplemental LCA Data'!$AF$57</f>
        <v>0</v>
      </c>
      <c r="T20" s="123">
        <f>'Supplemental LCA Data'!$AG$57</f>
        <v>0</v>
      </c>
      <c r="U20" s="123">
        <f>'Supplemental LCA Data'!$AH$57</f>
        <v>0</v>
      </c>
      <c r="V20" s="123"/>
      <c r="W20" s="123"/>
      <c r="X20" s="123"/>
      <c r="Y20" s="123"/>
      <c r="Z20" s="123"/>
      <c r="AA20" s="123"/>
      <c r="AB20" s="123"/>
      <c r="AC20" s="123"/>
      <c r="AD20" s="123"/>
      <c r="AE20" s="123"/>
      <c r="AF20" s="123"/>
      <c r="AG20" s="123"/>
      <c r="AH20" s="123"/>
      <c r="AI20" s="123"/>
      <c r="AJ20" s="123"/>
      <c r="AK20" s="123"/>
      <c r="AL20" s="123"/>
      <c r="AM20" s="123">
        <v>0</v>
      </c>
      <c r="AN20" s="123">
        <v>0</v>
      </c>
      <c r="AO20" s="123">
        <v>0</v>
      </c>
      <c r="AP20" s="316">
        <v>0</v>
      </c>
      <c r="AQ20" s="316">
        <v>0</v>
      </c>
      <c r="AR20" s="316">
        <v>0</v>
      </c>
      <c r="AS20" s="316">
        <v>0</v>
      </c>
      <c r="AT20" s="316">
        <v>0</v>
      </c>
      <c r="AU20" s="316">
        <v>0</v>
      </c>
      <c r="AV20" s="129">
        <v>0</v>
      </c>
      <c r="AW20" s="129"/>
      <c r="AX20" s="129"/>
      <c r="AY20" s="129"/>
      <c r="AZ20" s="129"/>
      <c r="BA20" s="129">
        <v>0</v>
      </c>
      <c r="BB20" s="129">
        <v>0</v>
      </c>
      <c r="BC20" s="129">
        <v>0</v>
      </c>
      <c r="BD20" s="129">
        <v>0</v>
      </c>
      <c r="BE20" s="129">
        <v>0</v>
      </c>
      <c r="BF20" s="129">
        <v>0</v>
      </c>
      <c r="BG20" s="130">
        <v>0</v>
      </c>
      <c r="BH20" s="130">
        <v>0</v>
      </c>
      <c r="BI20" s="130">
        <v>0</v>
      </c>
      <c r="BJ20" s="130">
        <v>0</v>
      </c>
      <c r="BK20" s="130">
        <v>0</v>
      </c>
    </row>
    <row r="21" spans="1:63">
      <c r="A21">
        <f t="shared" si="1"/>
        <v>18</v>
      </c>
      <c r="B21" t="s">
        <v>106</v>
      </c>
      <c r="C21" t="str">
        <f>INDEX(EPD_Measures,14)</f>
        <v>Hazardous waste generated</v>
      </c>
      <c r="D21" t="str">
        <f>INDEX(EPD_Calc_Units,14)</f>
        <v>kg</v>
      </c>
      <c r="E21" s="123">
        <v>0</v>
      </c>
      <c r="F21" s="123">
        <f>E21*'Supplemental LCA Data'!$E$63</f>
        <v>0</v>
      </c>
      <c r="G21" s="123">
        <v>0</v>
      </c>
      <c r="H21" s="123">
        <v>0</v>
      </c>
      <c r="I21" s="123">
        <v>0</v>
      </c>
      <c r="J21" s="123">
        <v>0</v>
      </c>
      <c r="K21" s="123"/>
      <c r="L21" s="123"/>
      <c r="M21" s="123">
        <v>0</v>
      </c>
      <c r="N21" s="123">
        <v>0</v>
      </c>
      <c r="O21" s="123">
        <v>0</v>
      </c>
      <c r="P21" s="123">
        <f>'Supplemental LCA Data'!$AC$58</f>
        <v>0</v>
      </c>
      <c r="Q21" s="123">
        <f>'Supplemental LCA Data'!$AD$58</f>
        <v>0</v>
      </c>
      <c r="R21" s="123">
        <f>'Supplemental LCA Data'!$AE$58</f>
        <v>0</v>
      </c>
      <c r="S21" s="123">
        <f>'Supplemental LCA Data'!$AF$58</f>
        <v>0</v>
      </c>
      <c r="T21" s="123">
        <f>'Supplemental LCA Data'!$AG$58</f>
        <v>0</v>
      </c>
      <c r="U21" s="123">
        <f>'Supplemental LCA Data'!$AH$58</f>
        <v>0</v>
      </c>
      <c r="V21" s="123"/>
      <c r="W21" s="123"/>
      <c r="X21" s="123"/>
      <c r="Y21" s="123"/>
      <c r="Z21" s="123"/>
      <c r="AA21" s="123"/>
      <c r="AB21" s="123"/>
      <c r="AC21" s="123"/>
      <c r="AD21" s="123"/>
      <c r="AE21" s="123"/>
      <c r="AF21" s="123"/>
      <c r="AG21" s="123"/>
      <c r="AH21" s="123"/>
      <c r="AI21" s="123"/>
      <c r="AJ21" s="123"/>
      <c r="AK21" s="123"/>
      <c r="AL21" s="123"/>
      <c r="AM21" s="123">
        <v>0</v>
      </c>
      <c r="AN21" s="123">
        <v>0</v>
      </c>
      <c r="AO21" s="123">
        <v>0</v>
      </c>
      <c r="AP21" s="316">
        <v>0</v>
      </c>
      <c r="AQ21" s="316">
        <v>0</v>
      </c>
      <c r="AR21" s="316">
        <v>0</v>
      </c>
      <c r="AS21" s="316">
        <v>0</v>
      </c>
      <c r="AT21" s="316">
        <v>0</v>
      </c>
      <c r="AU21" s="316">
        <v>0</v>
      </c>
      <c r="AV21" s="129">
        <v>0</v>
      </c>
      <c r="AW21" s="129"/>
      <c r="AX21" s="129"/>
      <c r="AY21" s="129"/>
      <c r="AZ21" s="129"/>
      <c r="BA21" s="129">
        <v>0</v>
      </c>
      <c r="BB21" s="129">
        <v>0</v>
      </c>
      <c r="BC21" s="129">
        <v>0</v>
      </c>
      <c r="BD21" s="129">
        <v>0</v>
      </c>
      <c r="BE21" s="129">
        <v>0</v>
      </c>
      <c r="BF21" s="129">
        <v>0</v>
      </c>
      <c r="BG21" s="130">
        <v>0</v>
      </c>
      <c r="BH21" s="130">
        <v>0</v>
      </c>
      <c r="BI21" s="130">
        <v>0</v>
      </c>
      <c r="BJ21" s="130">
        <v>0</v>
      </c>
      <c r="BK21" s="130">
        <v>0</v>
      </c>
    </row>
    <row r="22" spans="1:63">
      <c r="A22" s="112">
        <f t="shared" si="1"/>
        <v>19</v>
      </c>
      <c r="B22" s="112" t="s">
        <v>107</v>
      </c>
      <c r="C22" s="112" t="str">
        <f>INDEX(EPD_Measures,1)</f>
        <v>Global warming potential (GWP)</v>
      </c>
      <c r="D22" s="112" t="str">
        <f>INDEX(EPD_Calc_Units,1)</f>
        <v>kg</v>
      </c>
      <c r="E22" s="123">
        <v>1.0503769270000001</v>
      </c>
      <c r="F22" s="123">
        <f>E22*'Supplemental LCA Data'!$E$49</f>
        <v>0.93981093468421062</v>
      </c>
      <c r="G22" s="123">
        <v>1.0803999999999999E-2</v>
      </c>
      <c r="H22" s="123">
        <v>5.6360000000000004E-3</v>
      </c>
      <c r="I22" s="123">
        <v>5.0691349999999998E-3</v>
      </c>
      <c r="J22" s="123">
        <v>5.6360000000000004E-3</v>
      </c>
      <c r="K22" s="123">
        <v>0</v>
      </c>
      <c r="L22" s="123">
        <v>0</v>
      </c>
      <c r="M22" s="123">
        <v>0</v>
      </c>
      <c r="N22" s="123">
        <v>0</v>
      </c>
      <c r="O22" s="123">
        <v>0</v>
      </c>
      <c r="P22" s="123">
        <f>'Supplemental LCA Data'!$AC$45</f>
        <v>0.10406360712476165</v>
      </c>
      <c r="Q22" s="123">
        <f>'Supplemental LCA Data'!$AD$45</f>
        <v>0.22949974224587316</v>
      </c>
      <c r="R22" s="123">
        <f>'Supplemental LCA Data'!$AE$45</f>
        <v>1.2625032020663256</v>
      </c>
      <c r="S22" s="123">
        <f>'Supplemental LCA Data'!$AF$45</f>
        <v>0.76998593521882752</v>
      </c>
      <c r="T22" s="123">
        <f>'Supplemental LCA Data'!$AG$45</f>
        <v>0.22949974224587316</v>
      </c>
      <c r="U22" s="123">
        <f>'Supplemental LCA Data'!$AH$45</f>
        <v>0.51911044578033227</v>
      </c>
      <c r="V22" s="123">
        <v>2.9429471121354829</v>
      </c>
      <c r="W22" s="123">
        <f>'Supplemental LCA Data'!$B$71/1000</f>
        <v>0.89195544554366246</v>
      </c>
      <c r="X22" s="123">
        <f>'Supplemental LCA Data'!$C$71/1000</f>
        <v>1.0380563118652284</v>
      </c>
      <c r="Y22" s="123">
        <f>'Supplemental LCA Data'!$D$71/1000</f>
        <v>1.5012328955993122</v>
      </c>
      <c r="Z22" s="123">
        <f t="shared" ref="Z22:Z215" si="3">W22*$Z$7</f>
        <v>0.98115099009802875</v>
      </c>
      <c r="AA22" s="123">
        <v>0</v>
      </c>
      <c r="AB22" s="123">
        <v>0</v>
      </c>
      <c r="AC22" s="123">
        <f t="shared" si="2"/>
        <v>0.89195544554366246</v>
      </c>
      <c r="AD22" s="123">
        <v>0</v>
      </c>
      <c r="AE22" s="123">
        <v>0</v>
      </c>
      <c r="AF22" s="123">
        <v>0</v>
      </c>
      <c r="AG22" s="123">
        <v>3.3162413704963716</v>
      </c>
      <c r="AH22" s="123">
        <v>9.0789952164299699</v>
      </c>
      <c r="AI22" s="123">
        <v>0.2453477255455345</v>
      </c>
      <c r="AJ22" s="123">
        <v>0.3279493299762562</v>
      </c>
      <c r="AK22" s="123">
        <v>4.6408478655656005</v>
      </c>
      <c r="AL22" s="123">
        <v>0.92461248966214149</v>
      </c>
      <c r="AM22" s="123">
        <v>0</v>
      </c>
      <c r="AN22" s="123">
        <v>0</v>
      </c>
      <c r="AO22" s="123">
        <v>0</v>
      </c>
      <c r="AP22" s="316">
        <v>0</v>
      </c>
      <c r="AQ22" s="316">
        <v>0</v>
      </c>
      <c r="AR22" s="316">
        <v>0</v>
      </c>
      <c r="AS22" s="316">
        <v>0</v>
      </c>
      <c r="AT22" s="316">
        <v>0</v>
      </c>
      <c r="AU22" s="316">
        <v>0</v>
      </c>
      <c r="AV22" s="129">
        <v>0.95573477200000001</v>
      </c>
      <c r="AW22" s="129">
        <v>0</v>
      </c>
      <c r="AX22" s="129">
        <v>0</v>
      </c>
      <c r="AY22" s="129">
        <v>0</v>
      </c>
      <c r="AZ22" s="129">
        <v>0</v>
      </c>
      <c r="BA22" s="129">
        <v>4.5765858E-2</v>
      </c>
      <c r="BB22" s="129">
        <v>2.529973</v>
      </c>
      <c r="BC22" s="129">
        <v>2.4438970000000002</v>
      </c>
      <c r="BD22" s="129">
        <v>3.1787649999999998</v>
      </c>
      <c r="BE22" s="129">
        <v>3.7603420000000001</v>
      </c>
      <c r="BF22" s="129">
        <v>2.0422280000000002</v>
      </c>
      <c r="BG22" s="130">
        <v>9.2743999999999993E-2</v>
      </c>
      <c r="BH22" s="130">
        <v>7.3523000000000005E-2</v>
      </c>
      <c r="BI22" s="130">
        <v>2.2027999999999999E-2</v>
      </c>
      <c r="BJ22" s="130">
        <v>1.8526999999999998E-2</v>
      </c>
      <c r="BK22" s="130">
        <v>3.3079999999999998E-2</v>
      </c>
    </row>
    <row r="23" spans="1:63">
      <c r="A23">
        <f t="shared" si="1"/>
        <v>20</v>
      </c>
      <c r="B23" t="s">
        <v>107</v>
      </c>
      <c r="C23" t="str">
        <f>INDEX(EPD_Measures,2)</f>
        <v>Acidification potential</v>
      </c>
      <c r="D23" t="str">
        <f>INDEX(EPD_Calc_Units,2)</f>
        <v>kg</v>
      </c>
      <c r="E23" s="123">
        <v>4.56537E-3</v>
      </c>
      <c r="F23" s="123">
        <f>E23*'Supplemental LCA Data'!$E$52</f>
        <v>4.1199680487804874E-3</v>
      </c>
      <c r="G23" s="123">
        <v>8.8700000000000001E-5</v>
      </c>
      <c r="H23" s="123">
        <v>5.5600000000000003E-5</v>
      </c>
      <c r="I23" s="123">
        <v>4.9887199999999999E-5</v>
      </c>
      <c r="J23" s="123">
        <v>5.5600000000000003E-5</v>
      </c>
      <c r="K23" s="123"/>
      <c r="L23" s="123"/>
      <c r="M23" s="123">
        <v>0</v>
      </c>
      <c r="N23" s="123">
        <v>0</v>
      </c>
      <c r="O23" s="123">
        <v>0</v>
      </c>
      <c r="P23" s="123">
        <f>'Supplemental LCA Data'!$AC$46</f>
        <v>5.7703135192831948E-4</v>
      </c>
      <c r="Q23" s="123">
        <f>'Supplemental LCA Data'!$AD$46</f>
        <v>1.2139986365417917E-3</v>
      </c>
      <c r="R23" s="123">
        <f>'Supplemental LCA Data'!$AE$46</f>
        <v>4.7483946670140312E-3</v>
      </c>
      <c r="S23" s="123">
        <f>'Supplemental LCA Data'!$AF$46</f>
        <v>3.9528555604969102</v>
      </c>
      <c r="T23" s="123">
        <f>'Supplemental LCA Data'!$AG$46</f>
        <v>1.2139986365417917E-3</v>
      </c>
      <c r="U23" s="123">
        <f>'Supplemental LCA Data'!$AH$46</f>
        <v>0.79212179675778727</v>
      </c>
      <c r="V23" s="123"/>
      <c r="W23" s="123"/>
      <c r="X23" s="123"/>
      <c r="Y23" s="123"/>
      <c r="Z23" s="123"/>
      <c r="AA23" s="123"/>
      <c r="AB23" s="123"/>
      <c r="AC23" s="123"/>
      <c r="AD23" s="123"/>
      <c r="AE23" s="123"/>
      <c r="AF23" s="123"/>
      <c r="AG23" s="123"/>
      <c r="AH23" s="123"/>
      <c r="AI23" s="123"/>
      <c r="AJ23" s="123"/>
      <c r="AK23" s="123"/>
      <c r="AL23" s="123"/>
      <c r="AM23" s="123">
        <v>0</v>
      </c>
      <c r="AN23" s="123">
        <v>0</v>
      </c>
      <c r="AO23" s="123">
        <v>0</v>
      </c>
      <c r="AP23" s="316">
        <v>0</v>
      </c>
      <c r="AQ23" s="316">
        <v>0</v>
      </c>
      <c r="AR23" s="316">
        <v>0</v>
      </c>
      <c r="AS23" s="316">
        <v>0</v>
      </c>
      <c r="AT23" s="316">
        <v>0</v>
      </c>
      <c r="AU23" s="316">
        <v>0</v>
      </c>
      <c r="AV23" s="129">
        <v>6.4768680000000002E-3</v>
      </c>
      <c r="AW23" s="129"/>
      <c r="AX23" s="129"/>
      <c r="AY23" s="129"/>
      <c r="AZ23" s="129"/>
      <c r="BA23" s="129">
        <v>8.3965400000000001E-4</v>
      </c>
      <c r="BB23" s="129">
        <v>2.6606000000000001E-2</v>
      </c>
      <c r="BC23" s="129">
        <v>2.0861000000000001E-2</v>
      </c>
      <c r="BD23" s="129">
        <v>5.646E-3</v>
      </c>
      <c r="BE23" s="129">
        <v>8.8570000000000003E-3</v>
      </c>
      <c r="BF23" s="129">
        <v>4.045E-3</v>
      </c>
      <c r="BG23" s="130">
        <v>4.6900000000000002E-4</v>
      </c>
      <c r="BH23" s="130">
        <v>3.2299999999999999E-4</v>
      </c>
      <c r="BI23" s="130">
        <v>3.7199999999999999E-4</v>
      </c>
      <c r="BJ23" s="130">
        <v>3.2299999999999999E-4</v>
      </c>
      <c r="BK23" s="130">
        <v>2.8299999999999999E-4</v>
      </c>
    </row>
    <row r="24" spans="1:63">
      <c r="A24">
        <f t="shared" si="1"/>
        <v>21</v>
      </c>
      <c r="B24" t="s">
        <v>107</v>
      </c>
      <c r="C24" t="str">
        <f>INDEX(EPD_Measures,3)</f>
        <v>Eutrophication potential</v>
      </c>
      <c r="D24" t="str">
        <f>INDEX(EPD_Calc_Units,3)</f>
        <v>kg</v>
      </c>
      <c r="E24" s="123">
        <v>1.37136E-4</v>
      </c>
      <c r="F24" s="123">
        <f>E24*'Supplemental LCA Data'!$E$53</f>
        <v>1.2658707692307693E-4</v>
      </c>
      <c r="G24" s="123">
        <v>2.8700000000000001E-6</v>
      </c>
      <c r="H24" s="123">
        <v>2.79E-6</v>
      </c>
      <c r="I24" s="123">
        <v>2.1699199999999999E-6</v>
      </c>
      <c r="J24" s="123">
        <v>2.79E-6</v>
      </c>
      <c r="K24" s="123"/>
      <c r="L24" s="123"/>
      <c r="M24" s="123">
        <v>0</v>
      </c>
      <c r="N24" s="123">
        <v>0</v>
      </c>
      <c r="O24" s="123">
        <v>0</v>
      </c>
      <c r="P24" s="123">
        <f>'Supplemental LCA Data'!$AC$47</f>
        <v>1.9624831959085375E-4</v>
      </c>
      <c r="Q24" s="123">
        <f>'Supplemental LCA Data'!$AD$47</f>
        <v>4.226795252829316E-5</v>
      </c>
      <c r="R24" s="123">
        <f>'Supplemental LCA Data'!$AE$47</f>
        <v>8.7898401280121123E-4</v>
      </c>
      <c r="S24" s="123">
        <f>'Supplemental LCA Data'!$AF$47</f>
        <v>0.24926944204227258</v>
      </c>
      <c r="T24" s="123">
        <f>'Supplemental LCA Data'!$AG$47</f>
        <v>4.226795252829316E-5</v>
      </c>
      <c r="U24" s="123">
        <f>'Supplemental LCA Data'!$AH$47</f>
        <v>5.0085842055944255E-2</v>
      </c>
      <c r="V24" s="123"/>
      <c r="W24" s="123"/>
      <c r="X24" s="123"/>
      <c r="Y24" s="123"/>
      <c r="Z24" s="123"/>
      <c r="AA24" s="123"/>
      <c r="AB24" s="123"/>
      <c r="AC24" s="123"/>
      <c r="AD24" s="123"/>
      <c r="AE24" s="123"/>
      <c r="AF24" s="123"/>
      <c r="AG24" s="123"/>
      <c r="AH24" s="123"/>
      <c r="AI24" s="123"/>
      <c r="AJ24" s="123"/>
      <c r="AK24" s="123"/>
      <c r="AL24" s="123"/>
      <c r="AM24" s="123">
        <v>0</v>
      </c>
      <c r="AN24" s="123">
        <v>0</v>
      </c>
      <c r="AO24" s="123">
        <v>0</v>
      </c>
      <c r="AP24" s="316">
        <v>0</v>
      </c>
      <c r="AQ24" s="316">
        <v>0</v>
      </c>
      <c r="AR24" s="316">
        <v>0</v>
      </c>
      <c r="AS24" s="316">
        <v>0</v>
      </c>
      <c r="AT24" s="316">
        <v>0</v>
      </c>
      <c r="AU24" s="316">
        <v>0</v>
      </c>
      <c r="AV24" s="129">
        <v>1.15973E-4</v>
      </c>
      <c r="AW24" s="129"/>
      <c r="AX24" s="129"/>
      <c r="AY24" s="129"/>
      <c r="AZ24" s="129"/>
      <c r="BA24" s="129">
        <v>4.0302700000000003E-5</v>
      </c>
      <c r="BB24" s="129">
        <v>1.722E-3</v>
      </c>
      <c r="BC24" s="129">
        <v>2.05E-4</v>
      </c>
      <c r="BD24" s="129">
        <v>3.9599999999999998E-4</v>
      </c>
      <c r="BE24" s="129">
        <v>6.0300000000000002E-4</v>
      </c>
      <c r="BF24" s="129">
        <v>2.8299999999999999E-4</v>
      </c>
      <c r="BG24" s="130">
        <v>3.0800000000000003E-5</v>
      </c>
      <c r="BH24" s="130">
        <v>2.1500000000000001E-5</v>
      </c>
      <c r="BI24" s="130">
        <v>2.3799999999999999E-5</v>
      </c>
      <c r="BJ24" s="130">
        <v>2.0699999999999998E-5</v>
      </c>
      <c r="BK24" s="130">
        <v>1.8300000000000001E-5</v>
      </c>
    </row>
    <row r="25" spans="1:63">
      <c r="A25">
        <f t="shared" si="1"/>
        <v>22</v>
      </c>
      <c r="B25" t="s">
        <v>107</v>
      </c>
      <c r="C25" t="str">
        <f>INDEX(EPD_Measures,4)</f>
        <v>Smog creation potential</v>
      </c>
      <c r="D25" t="str">
        <f>INDEX(EPD_Calc_Units,4)</f>
        <v>kg</v>
      </c>
      <c r="E25" s="123">
        <v>5.1873629999999997E-2</v>
      </c>
      <c r="F25" s="123">
        <f>E25*'Supplemental LCA Data'!$E$55</f>
        <v>4.6470126874999997E-2</v>
      </c>
      <c r="G25" s="123">
        <v>1.4580000000000001E-3</v>
      </c>
      <c r="H25" s="123">
        <v>1.305E-3</v>
      </c>
      <c r="I25" s="123">
        <v>1.1308889999999999E-3</v>
      </c>
      <c r="J25" s="123">
        <v>1.305E-3</v>
      </c>
      <c r="K25" s="123"/>
      <c r="L25" s="123"/>
      <c r="M25" s="123">
        <v>0</v>
      </c>
      <c r="N25" s="123">
        <v>0</v>
      </c>
      <c r="O25" s="123">
        <v>0</v>
      </c>
      <c r="P25" s="123">
        <f>'Supplemental LCA Data'!$AC$48</f>
        <v>8.7017595456788718E-3</v>
      </c>
      <c r="Q25" s="123">
        <f>'Supplemental LCA Data'!$AD$48</f>
        <v>1.3524104726696053E-2</v>
      </c>
      <c r="R25" s="123">
        <f>'Supplemental LCA Data'!$AE$48</f>
        <v>5.7241581200289861E-2</v>
      </c>
      <c r="S25" s="123">
        <f>'Supplemental LCA Data'!$AF$48</f>
        <v>43.192743848068233</v>
      </c>
      <c r="T25" s="123">
        <f>'Supplemental LCA Data'!$AG$48</f>
        <v>1.3524104726696053E-2</v>
      </c>
      <c r="U25" s="123">
        <f>'Supplemental LCA Data'!$AH$48</f>
        <v>8.6571470796535195</v>
      </c>
      <c r="V25" s="123"/>
      <c r="W25" s="123"/>
      <c r="X25" s="123"/>
      <c r="Y25" s="123"/>
      <c r="Z25" s="123"/>
      <c r="AA25" s="123"/>
      <c r="AB25" s="123"/>
      <c r="AC25" s="123"/>
      <c r="AD25" s="123"/>
      <c r="AE25" s="123"/>
      <c r="AF25" s="123"/>
      <c r="AG25" s="123"/>
      <c r="AH25" s="123"/>
      <c r="AI25" s="123"/>
      <c r="AJ25" s="123"/>
      <c r="AK25" s="123"/>
      <c r="AL25" s="123"/>
      <c r="AM25" s="123">
        <v>0</v>
      </c>
      <c r="AN25" s="123">
        <v>0</v>
      </c>
      <c r="AO25" s="123">
        <v>0</v>
      </c>
      <c r="AP25" s="316">
        <v>0</v>
      </c>
      <c r="AQ25" s="316">
        <v>0</v>
      </c>
      <c r="AR25" s="316">
        <v>0</v>
      </c>
      <c r="AS25" s="316">
        <v>0</v>
      </c>
      <c r="AT25" s="316">
        <v>0</v>
      </c>
      <c r="AU25" s="316">
        <v>0</v>
      </c>
      <c r="AV25" s="129">
        <v>5.4569629000000001E-2</v>
      </c>
      <c r="AW25" s="129"/>
      <c r="AX25" s="129"/>
      <c r="AY25" s="129"/>
      <c r="AZ25" s="129"/>
      <c r="BA25" s="129">
        <v>0.241503051</v>
      </c>
      <c r="BB25" s="129">
        <v>0.90166400000000002</v>
      </c>
      <c r="BC25" s="129">
        <v>5.2539000000000002E-2</v>
      </c>
      <c r="BD25" s="129">
        <v>0.13974</v>
      </c>
      <c r="BE25" s="129">
        <v>0.24854699999999999</v>
      </c>
      <c r="BF25" s="129">
        <v>0.10738499999999999</v>
      </c>
      <c r="BG25" s="130">
        <v>1.5133000000000001E-2</v>
      </c>
      <c r="BH25" s="130">
        <v>1.0231000000000001E-2</v>
      </c>
      <c r="BI25" s="130">
        <v>1.2799E-2</v>
      </c>
      <c r="BJ25" s="130">
        <v>1.1180000000000001E-2</v>
      </c>
      <c r="BK25" s="130">
        <v>9.5029999999999993E-3</v>
      </c>
    </row>
    <row r="26" spans="1:63">
      <c r="A26">
        <f t="shared" si="1"/>
        <v>23</v>
      </c>
      <c r="B26" t="s">
        <v>107</v>
      </c>
      <c r="C26" t="str">
        <f>INDEX(EPD_Measures,5)</f>
        <v>Ozone depletion potential</v>
      </c>
      <c r="D26" t="str">
        <f>INDEX(EPD_Calc_Units,5)</f>
        <v>kg</v>
      </c>
      <c r="E26" s="123">
        <v>1.28213E-11</v>
      </c>
      <c r="F26" s="123">
        <f>E26*'Supplemental LCA Data'!$E$56</f>
        <v>1.1189498181818179E-11</v>
      </c>
      <c r="G26" s="123">
        <v>2.7499999999999999E-13</v>
      </c>
      <c r="H26" s="123">
        <v>9.6800000000000004E-11</v>
      </c>
      <c r="I26" s="123">
        <v>1.5205300000000001E-13</v>
      </c>
      <c r="J26" s="123">
        <v>9.6800000000000004E-11</v>
      </c>
      <c r="K26" s="123"/>
      <c r="L26" s="123"/>
      <c r="M26" s="123">
        <v>0</v>
      </c>
      <c r="N26" s="123">
        <v>0</v>
      </c>
      <c r="O26" s="123">
        <v>0</v>
      </c>
      <c r="P26" s="123">
        <f>'Supplemental LCA Data'!$AC$49</f>
        <v>4.817994588850506E-10</v>
      </c>
      <c r="Q26" s="123">
        <f>'Supplemental LCA Data'!$AD$49</f>
        <v>0</v>
      </c>
      <c r="R26" s="123">
        <f>'Supplemental LCA Data'!$AE$49</f>
        <v>2.4089972944252421E-9</v>
      </c>
      <c r="S26" s="123">
        <f>'Supplemental LCA Data'!$AF$49</f>
        <v>3.2599963386576577E-9</v>
      </c>
      <c r="T26" s="123">
        <f>'Supplemental LCA Data'!$AG$49</f>
        <v>0</v>
      </c>
      <c r="U26" s="123">
        <f>'Supplemental LCA Data'!$AH$49</f>
        <v>1.2301586183935901E-9</v>
      </c>
      <c r="V26" s="123"/>
      <c r="W26" s="123"/>
      <c r="X26" s="123"/>
      <c r="Y26" s="123"/>
      <c r="Z26" s="123"/>
      <c r="AA26" s="123"/>
      <c r="AB26" s="123"/>
      <c r="AC26" s="123"/>
      <c r="AD26" s="123"/>
      <c r="AE26" s="123"/>
      <c r="AF26" s="123"/>
      <c r="AG26" s="123"/>
      <c r="AH26" s="123"/>
      <c r="AI26" s="123"/>
      <c r="AJ26" s="123"/>
      <c r="AK26" s="123"/>
      <c r="AL26" s="123"/>
      <c r="AM26" s="123">
        <v>0</v>
      </c>
      <c r="AN26" s="123">
        <v>0</v>
      </c>
      <c r="AO26" s="123">
        <v>0</v>
      </c>
      <c r="AP26" s="316">
        <v>0</v>
      </c>
      <c r="AQ26" s="316">
        <v>0</v>
      </c>
      <c r="AR26" s="316">
        <v>0</v>
      </c>
      <c r="AS26" s="316">
        <v>0</v>
      </c>
      <c r="AT26" s="316">
        <v>0</v>
      </c>
      <c r="AU26" s="316">
        <v>0</v>
      </c>
      <c r="AV26" s="129">
        <v>2.0447000000000001E-11</v>
      </c>
      <c r="AW26" s="129"/>
      <c r="AX26" s="129"/>
      <c r="AY26" s="129"/>
      <c r="AZ26" s="129"/>
      <c r="BA26" s="129">
        <v>9.58911E-14</v>
      </c>
      <c r="BB26" s="129">
        <v>1.16E-10</v>
      </c>
      <c r="BC26" s="129">
        <v>1.6799999999999999E-12</v>
      </c>
      <c r="BD26" s="129">
        <v>1.2999999999999999E-10</v>
      </c>
      <c r="BE26" s="129">
        <v>1.41E-10</v>
      </c>
      <c r="BF26" s="129">
        <v>8.1099999999999997E-11</v>
      </c>
      <c r="BG26" s="130">
        <v>3.5300000000000001E-12</v>
      </c>
      <c r="BH26" s="130">
        <v>3.1599999999999999E-12</v>
      </c>
      <c r="BI26" s="130">
        <v>8.4099999999999995E-13</v>
      </c>
      <c r="BJ26" s="130">
        <v>6.9599999999999996E-13</v>
      </c>
      <c r="BK26" s="130">
        <v>1.2499999999999999E-12</v>
      </c>
    </row>
    <row r="27" spans="1:63">
      <c r="A27">
        <f t="shared" si="1"/>
        <v>24</v>
      </c>
      <c r="B27" t="s">
        <v>107</v>
      </c>
      <c r="C27" t="str">
        <f>INDEX(EPD_Measures,6)</f>
        <v>Total primary energy consumption</v>
      </c>
      <c r="D27" t="str">
        <f>INDEX(EPD_Calc_Units,6)</f>
        <v>MJ</v>
      </c>
      <c r="E27" s="123">
        <v>7.5513523999999999</v>
      </c>
      <c r="F27" s="123">
        <f>E27*'Supplemental LCA Data'!$E$50</f>
        <v>6.8669397957703913</v>
      </c>
      <c r="G27" s="123">
        <v>0.15853399999999998</v>
      </c>
      <c r="H27" s="123">
        <v>8.3109999999999989E-2</v>
      </c>
      <c r="I27" s="123">
        <v>7.4652112999999992E-2</v>
      </c>
      <c r="J27" s="123">
        <v>8.3109999999999989E-2</v>
      </c>
      <c r="K27" s="123">
        <v>0</v>
      </c>
      <c r="L27" s="123">
        <v>0</v>
      </c>
      <c r="M27" s="123">
        <v>0</v>
      </c>
      <c r="N27" s="123">
        <v>0</v>
      </c>
      <c r="O27" s="123">
        <v>0</v>
      </c>
      <c r="P27" s="123">
        <f>'Supplemental LCA Data'!$AC$50</f>
        <v>2.099997641465547</v>
      </c>
      <c r="Q27" s="123">
        <f>'Supplemental LCA Data'!$AD$50</f>
        <v>4.5999948336864307</v>
      </c>
      <c r="R27" s="123">
        <f>'Supplemental LCA Data'!$AE$50</f>
        <v>22.799974393054555</v>
      </c>
      <c r="S27" s="123">
        <f>'Supplemental LCA Data'!$AF$50</f>
        <v>18.299979447056902</v>
      </c>
      <c r="T27" s="123">
        <f>'Supplemental LCA Data'!$AG$50</f>
        <v>4.5999948336864307</v>
      </c>
      <c r="U27" s="123">
        <f>'Supplemental LCA Data'!$AH$50</f>
        <v>10.479988229789974</v>
      </c>
      <c r="V27" s="123">
        <v>57.506173091793869</v>
      </c>
      <c r="W27" s="123">
        <f>'Supplemental LCA Data'!$B$72/1000</f>
        <v>17.379305548594214</v>
      </c>
      <c r="X27" s="123">
        <f>'Supplemental LCA Data'!$C$72/1000</f>
        <v>21.115558668452628</v>
      </c>
      <c r="Y27" s="123">
        <f>'Supplemental LCA Data'!$D$72/1000</f>
        <v>25.458767950129285</v>
      </c>
      <c r="Z27" s="123">
        <f t="shared" si="3"/>
        <v>19.117236103453639</v>
      </c>
      <c r="AA27" s="123">
        <v>0</v>
      </c>
      <c r="AB27" s="123">
        <v>0</v>
      </c>
      <c r="AC27" s="123">
        <f t="shared" si="2"/>
        <v>17.379305548594214</v>
      </c>
      <c r="AD27" s="123">
        <v>0</v>
      </c>
      <c r="AE27" s="123">
        <v>0</v>
      </c>
      <c r="AF27" s="123">
        <v>0</v>
      </c>
      <c r="AG27" s="123">
        <v>111.41336281293017</v>
      </c>
      <c r="AH27" s="123">
        <v>96.934631722060175</v>
      </c>
      <c r="AI27" s="123">
        <v>3.4310468673118439</v>
      </c>
      <c r="AJ27" s="123">
        <v>7.079849022399789</v>
      </c>
      <c r="AK27" s="123">
        <v>88.609789579499989</v>
      </c>
      <c r="AL27" s="123">
        <v>75.869011043824344</v>
      </c>
      <c r="AM27" s="123">
        <v>0</v>
      </c>
      <c r="AN27" s="123">
        <v>0</v>
      </c>
      <c r="AO27" s="123">
        <v>0</v>
      </c>
      <c r="AP27" s="316">
        <v>0</v>
      </c>
      <c r="AQ27" s="316">
        <v>0</v>
      </c>
      <c r="AR27" s="316">
        <v>0</v>
      </c>
      <c r="AS27" s="316">
        <v>0</v>
      </c>
      <c r="AT27" s="316">
        <v>0</v>
      </c>
      <c r="AU27" s="316">
        <v>0</v>
      </c>
      <c r="AV27" s="129">
        <v>13.98020378</v>
      </c>
      <c r="AW27" s="129">
        <v>3.6</v>
      </c>
      <c r="AX27" s="129">
        <v>3.6</v>
      </c>
      <c r="AY27" s="129">
        <v>3.6</v>
      </c>
      <c r="AZ27" s="129">
        <v>3.6</v>
      </c>
      <c r="BA27" s="129">
        <v>3.4579025999999999E-2</v>
      </c>
      <c r="BB27" s="129">
        <v>41.990099999999998</v>
      </c>
      <c r="BC27" s="129">
        <v>43.209249999999997</v>
      </c>
      <c r="BD27" s="129">
        <v>46.983649999999997</v>
      </c>
      <c r="BE27" s="129">
        <v>51.126690000000004</v>
      </c>
      <c r="BF27" s="129">
        <v>29.343319999999999</v>
      </c>
      <c r="BG27" s="130">
        <v>1.2783040000000001</v>
      </c>
      <c r="BH27" s="130">
        <v>1.14236</v>
      </c>
      <c r="BI27" s="130">
        <v>0.30436299999999999</v>
      </c>
      <c r="BJ27" s="130">
        <v>0.25176399999999999</v>
      </c>
      <c r="BK27" s="130">
        <v>0.45051000000000002</v>
      </c>
    </row>
    <row r="28" spans="1:63">
      <c r="A28">
        <f t="shared" si="1"/>
        <v>25</v>
      </c>
      <c r="B28" t="s">
        <v>107</v>
      </c>
      <c r="C28" t="str">
        <f>INDEX(EPD_Measures,7)</f>
        <v>Nonrenewable energy resources</v>
      </c>
      <c r="D28" t="str">
        <f>INDEX(EPD_Calc_Units,7)</f>
        <v>MJ</v>
      </c>
      <c r="E28" s="123">
        <v>7.4831678110000004</v>
      </c>
      <c r="F28" s="123">
        <f>E28*'Supplemental LCA Data'!$E$51</f>
        <v>6.7909449512902729</v>
      </c>
      <c r="G28" s="123">
        <v>0.15479799999999999</v>
      </c>
      <c r="H28" s="123">
        <v>8.1853999999999996E-2</v>
      </c>
      <c r="I28" s="123">
        <v>7.3406923999999998E-2</v>
      </c>
      <c r="J28" s="123">
        <v>8.1853999999999996E-2</v>
      </c>
      <c r="K28" s="123"/>
      <c r="L28" s="123"/>
      <c r="M28" s="123">
        <v>0</v>
      </c>
      <c r="N28" s="123">
        <v>0</v>
      </c>
      <c r="O28" s="123">
        <v>0</v>
      </c>
      <c r="P28" s="123">
        <f>'Supplemental LCA Data'!$AC$51</f>
        <v>2.099997641465547</v>
      </c>
      <c r="Q28" s="123">
        <f>'Supplemental LCA Data'!$AD$51</f>
        <v>4.5999948336864307</v>
      </c>
      <c r="R28" s="123">
        <f>'Supplemental LCA Data'!$AE$51</f>
        <v>22.799974393054555</v>
      </c>
      <c r="S28" s="123">
        <f>'Supplemental LCA Data'!$AF$51</f>
        <v>18.299979447056902</v>
      </c>
      <c r="T28" s="123">
        <f>'Supplemental LCA Data'!$AG$51</f>
        <v>4.5999948336864307</v>
      </c>
      <c r="U28" s="123">
        <f>'Supplemental LCA Data'!$AH$51</f>
        <v>10.479988229789974</v>
      </c>
      <c r="V28" s="123"/>
      <c r="W28" s="123"/>
      <c r="X28" s="123"/>
      <c r="Y28" s="123"/>
      <c r="Z28" s="123"/>
      <c r="AA28" s="123"/>
      <c r="AB28" s="123"/>
      <c r="AC28" s="123"/>
      <c r="AD28" s="123"/>
      <c r="AE28" s="123"/>
      <c r="AF28" s="123"/>
      <c r="AG28" s="123"/>
      <c r="AH28" s="123"/>
      <c r="AI28" s="123"/>
      <c r="AJ28" s="123"/>
      <c r="AK28" s="123"/>
      <c r="AL28" s="123"/>
      <c r="AM28" s="123">
        <v>0</v>
      </c>
      <c r="AN28" s="123">
        <v>0</v>
      </c>
      <c r="AO28" s="123">
        <v>0</v>
      </c>
      <c r="AP28" s="316">
        <v>0</v>
      </c>
      <c r="AQ28" s="316">
        <v>0</v>
      </c>
      <c r="AR28" s="316">
        <v>0</v>
      </c>
      <c r="AS28" s="316">
        <v>0</v>
      </c>
      <c r="AT28" s="316">
        <v>0</v>
      </c>
      <c r="AU28" s="316">
        <v>0</v>
      </c>
      <c r="AV28" s="129">
        <v>13.5651408</v>
      </c>
      <c r="AW28" s="129"/>
      <c r="AX28" s="129"/>
      <c r="AY28" s="129"/>
      <c r="AZ28" s="129"/>
      <c r="BA28" s="129">
        <v>3.4579025999999999E-2</v>
      </c>
      <c r="BB28" s="129">
        <v>41.929009999999998</v>
      </c>
      <c r="BC28" s="129">
        <v>43.189610000000002</v>
      </c>
      <c r="BD28" s="129">
        <v>46.915320000000001</v>
      </c>
      <c r="BE28" s="129">
        <v>51.052590000000002</v>
      </c>
      <c r="BF28" s="129">
        <v>29.300560000000001</v>
      </c>
      <c r="BG28" s="130">
        <v>1.276451</v>
      </c>
      <c r="BH28" s="130">
        <v>1.1407039999999999</v>
      </c>
      <c r="BI28" s="130">
        <v>0.303921</v>
      </c>
      <c r="BJ28" s="130">
        <v>0.25139899999999998</v>
      </c>
      <c r="BK28" s="130">
        <v>0.44985700000000001</v>
      </c>
    </row>
    <row r="29" spans="1:63">
      <c r="A29">
        <f t="shared" si="1"/>
        <v>26</v>
      </c>
      <c r="B29" t="s">
        <v>107</v>
      </c>
      <c r="C29" t="str">
        <f>INDEX(EPD_Measures,8)</f>
        <v>Renewable energy resources</v>
      </c>
      <c r="D29" t="str">
        <f>INDEX(EPD_Calc_Units,8)</f>
        <v>MJ</v>
      </c>
      <c r="E29" s="123">
        <v>6.8184590000000003E-2</v>
      </c>
      <c r="F29" s="123">
        <f>E29*'Supplemental LCA Data'!$E$57</f>
        <v>6.1877243556618833E-2</v>
      </c>
      <c r="G29" s="123">
        <v>3.7360000000000002E-3</v>
      </c>
      <c r="H29" s="123">
        <v>1.256E-3</v>
      </c>
      <c r="I29" s="123">
        <v>1.2451890000000001E-3</v>
      </c>
      <c r="J29" s="123">
        <v>1.256E-3</v>
      </c>
      <c r="K29" s="123"/>
      <c r="L29" s="123"/>
      <c r="M29" s="123">
        <v>0</v>
      </c>
      <c r="N29" s="123">
        <v>0</v>
      </c>
      <c r="O29" s="123">
        <v>0</v>
      </c>
      <c r="P29" s="123">
        <f>'Supplemental LCA Data'!$AC$52</f>
        <v>0</v>
      </c>
      <c r="Q29" s="123">
        <f>'Supplemental LCA Data'!$AD$52</f>
        <v>0</v>
      </c>
      <c r="R29" s="123">
        <f>'Supplemental LCA Data'!$AE$52</f>
        <v>0</v>
      </c>
      <c r="S29" s="123">
        <f>'Supplemental LCA Data'!$AF$52</f>
        <v>0</v>
      </c>
      <c r="T29" s="123">
        <f>'Supplemental LCA Data'!$AG$52</f>
        <v>0</v>
      </c>
      <c r="U29" s="123">
        <f>'Supplemental LCA Data'!$AH$52</f>
        <v>0</v>
      </c>
      <c r="V29" s="123"/>
      <c r="W29" s="123"/>
      <c r="X29" s="123"/>
      <c r="Y29" s="123"/>
      <c r="Z29" s="123"/>
      <c r="AA29" s="123"/>
      <c r="AB29" s="123"/>
      <c r="AC29" s="123"/>
      <c r="AD29" s="123"/>
      <c r="AE29" s="123"/>
      <c r="AF29" s="123"/>
      <c r="AG29" s="123"/>
      <c r="AH29" s="123"/>
      <c r="AI29" s="123"/>
      <c r="AJ29" s="123"/>
      <c r="AK29" s="123"/>
      <c r="AL29" s="123"/>
      <c r="AM29" s="123">
        <v>0</v>
      </c>
      <c r="AN29" s="123">
        <v>0</v>
      </c>
      <c r="AO29" s="123">
        <v>0</v>
      </c>
      <c r="AP29" s="316">
        <v>0</v>
      </c>
      <c r="AQ29" s="316">
        <v>0</v>
      </c>
      <c r="AR29" s="316">
        <v>0</v>
      </c>
      <c r="AS29" s="316">
        <v>0</v>
      </c>
      <c r="AT29" s="316">
        <v>0</v>
      </c>
      <c r="AU29" s="316">
        <v>0</v>
      </c>
      <c r="AV29" s="129">
        <v>0.415062983</v>
      </c>
      <c r="AW29" s="129"/>
      <c r="AX29" s="129"/>
      <c r="AY29" s="129"/>
      <c r="AZ29" s="129"/>
      <c r="BA29" s="129">
        <v>0</v>
      </c>
      <c r="BB29" s="129">
        <v>6.1093000000000001E-2</v>
      </c>
      <c r="BC29" s="129">
        <v>1.9647000000000001E-2</v>
      </c>
      <c r="BD29" s="129">
        <v>6.8331000000000003E-2</v>
      </c>
      <c r="BE29" s="129">
        <v>7.4106000000000005E-2</v>
      </c>
      <c r="BF29" s="129">
        <v>4.2762000000000001E-2</v>
      </c>
      <c r="BG29" s="130">
        <v>1.853E-3</v>
      </c>
      <c r="BH29" s="130">
        <v>1.6559999999999999E-3</v>
      </c>
      <c r="BI29" s="130">
        <v>4.4099999999999999E-4</v>
      </c>
      <c r="BJ29" s="130">
        <v>3.6499999999999998E-4</v>
      </c>
      <c r="BK29" s="130">
        <v>6.5300000000000004E-4</v>
      </c>
    </row>
    <row r="30" spans="1:63">
      <c r="A30">
        <f t="shared" si="1"/>
        <v>27</v>
      </c>
      <c r="B30" t="s">
        <v>107</v>
      </c>
      <c r="C30" t="str">
        <f>INDEX(EPD_Measures,9)</f>
        <v>Material resources consumption</v>
      </c>
      <c r="D30" t="str">
        <f>INDEX(EPD_Calc_Units,9)</f>
        <v>kg</v>
      </c>
      <c r="E30" s="123">
        <v>1.6540299999999999</v>
      </c>
      <c r="F30" s="123">
        <f>E30*'Supplemental LCA Data'!$E$58</f>
        <v>1.6540299999999999</v>
      </c>
      <c r="G30" s="123">
        <v>1.0000015600000001</v>
      </c>
      <c r="H30" s="123">
        <v>1.0000021111778816</v>
      </c>
      <c r="I30" s="123">
        <v>1.0000015600000001</v>
      </c>
      <c r="J30" s="123">
        <v>1.0000021111778816</v>
      </c>
      <c r="K30" s="123"/>
      <c r="L30" s="123"/>
      <c r="M30" s="123">
        <v>0</v>
      </c>
      <c r="N30" s="123">
        <v>0</v>
      </c>
      <c r="O30" s="123">
        <v>0</v>
      </c>
      <c r="P30" s="123">
        <f>'Supplemental LCA Data'!$AC$53</f>
        <v>0</v>
      </c>
      <c r="Q30" s="123">
        <f>'Supplemental LCA Data'!$AD$53</f>
        <v>0</v>
      </c>
      <c r="R30" s="123">
        <f>'Supplemental LCA Data'!$AE$53</f>
        <v>0</v>
      </c>
      <c r="S30" s="123">
        <f>'Supplemental LCA Data'!$AF$53</f>
        <v>0</v>
      </c>
      <c r="T30" s="123">
        <f>'Supplemental LCA Data'!$AG$53</f>
        <v>0</v>
      </c>
      <c r="U30" s="123">
        <f>'Supplemental LCA Data'!$AH$53</f>
        <v>0</v>
      </c>
      <c r="V30" s="123"/>
      <c r="W30" s="123"/>
      <c r="X30" s="123"/>
      <c r="Y30" s="123"/>
      <c r="Z30" s="123"/>
      <c r="AA30" s="123"/>
      <c r="AB30" s="123"/>
      <c r="AC30" s="123"/>
      <c r="AD30" s="123"/>
      <c r="AE30" s="123"/>
      <c r="AF30" s="123"/>
      <c r="AG30" s="123"/>
      <c r="AH30" s="123"/>
      <c r="AI30" s="123"/>
      <c r="AJ30" s="123"/>
      <c r="AK30" s="123"/>
      <c r="AL30" s="123"/>
      <c r="AM30" s="123">
        <v>0</v>
      </c>
      <c r="AN30" s="123">
        <v>0</v>
      </c>
      <c r="AO30" s="123">
        <v>0</v>
      </c>
      <c r="AP30" s="316">
        <v>0</v>
      </c>
      <c r="AQ30" s="316">
        <v>0</v>
      </c>
      <c r="AR30" s="316">
        <v>0</v>
      </c>
      <c r="AS30" s="316">
        <v>0</v>
      </c>
      <c r="AT30" s="316">
        <v>0</v>
      </c>
      <c r="AU30" s="316">
        <v>0</v>
      </c>
      <c r="AV30" s="129">
        <v>0</v>
      </c>
      <c r="AW30" s="129"/>
      <c r="AX30" s="129"/>
      <c r="AY30" s="129"/>
      <c r="AZ30" s="129"/>
      <c r="BA30" s="129">
        <v>0.84323164500000003</v>
      </c>
      <c r="BB30" s="129">
        <v>0</v>
      </c>
      <c r="BC30" s="129">
        <v>0</v>
      </c>
      <c r="BD30" s="129">
        <v>0</v>
      </c>
      <c r="BE30" s="129">
        <v>0</v>
      </c>
      <c r="BF30" s="129">
        <v>0</v>
      </c>
      <c r="BG30" s="130">
        <v>0</v>
      </c>
      <c r="BH30" s="130">
        <v>0</v>
      </c>
      <c r="BI30" s="130">
        <v>0</v>
      </c>
      <c r="BJ30" s="130">
        <v>0</v>
      </c>
      <c r="BK30" s="130">
        <v>0</v>
      </c>
    </row>
    <row r="31" spans="1:63">
      <c r="A31">
        <f t="shared" si="1"/>
        <v>28</v>
      </c>
      <c r="B31" t="s">
        <v>107</v>
      </c>
      <c r="C31" t="str">
        <f>INDEX(EPD_Measures,10)</f>
        <v>Nonrenewable material resources</v>
      </c>
      <c r="D31" t="str">
        <f>INDEX(EPD_Calc_Units,10)</f>
        <v>kg</v>
      </c>
      <c r="E31" s="123">
        <v>1.6540299999999999</v>
      </c>
      <c r="F31" s="123">
        <f>E31*'Supplemental LCA Data'!$E$59</f>
        <v>1.6540299999999999</v>
      </c>
      <c r="G31" s="123">
        <v>1</v>
      </c>
      <c r="H31" s="123">
        <v>1.0000001919173316</v>
      </c>
      <c r="I31" s="123">
        <v>1</v>
      </c>
      <c r="J31" s="123">
        <v>1.0000001919173316</v>
      </c>
      <c r="K31" s="123"/>
      <c r="L31" s="123"/>
      <c r="M31" s="123">
        <v>0</v>
      </c>
      <c r="N31" s="123">
        <v>0</v>
      </c>
      <c r="O31" s="123">
        <v>0</v>
      </c>
      <c r="P31" s="123">
        <f>'Supplemental LCA Data'!$AC$54</f>
        <v>0</v>
      </c>
      <c r="Q31" s="123">
        <f>'Supplemental LCA Data'!$AD$54</f>
        <v>0</v>
      </c>
      <c r="R31" s="123">
        <f>'Supplemental LCA Data'!$AE$54</f>
        <v>0</v>
      </c>
      <c r="S31" s="123">
        <f>'Supplemental LCA Data'!$AF$54</f>
        <v>0</v>
      </c>
      <c r="T31" s="123">
        <f>'Supplemental LCA Data'!$AG$54</f>
        <v>0</v>
      </c>
      <c r="U31" s="123">
        <f>'Supplemental LCA Data'!$AH$54</f>
        <v>0</v>
      </c>
      <c r="V31" s="123"/>
      <c r="W31" s="123"/>
      <c r="X31" s="123"/>
      <c r="Y31" s="123"/>
      <c r="Z31" s="123"/>
      <c r="AA31" s="123"/>
      <c r="AB31" s="123"/>
      <c r="AC31" s="123"/>
      <c r="AD31" s="123"/>
      <c r="AE31" s="123"/>
      <c r="AF31" s="123"/>
      <c r="AG31" s="123"/>
      <c r="AH31" s="123"/>
      <c r="AI31" s="123"/>
      <c r="AJ31" s="123"/>
      <c r="AK31" s="123"/>
      <c r="AL31" s="123"/>
      <c r="AM31" s="123">
        <v>0</v>
      </c>
      <c r="AN31" s="123">
        <v>0</v>
      </c>
      <c r="AO31" s="123">
        <v>0</v>
      </c>
      <c r="AP31" s="316">
        <v>0</v>
      </c>
      <c r="AQ31" s="316">
        <v>0</v>
      </c>
      <c r="AR31" s="316">
        <v>0</v>
      </c>
      <c r="AS31" s="316">
        <v>0</v>
      </c>
      <c r="AT31" s="316">
        <v>0</v>
      </c>
      <c r="AU31" s="316">
        <v>0</v>
      </c>
      <c r="AV31" s="129">
        <v>0</v>
      </c>
      <c r="AW31" s="129"/>
      <c r="AX31" s="129"/>
      <c r="AY31" s="129"/>
      <c r="AZ31" s="129"/>
      <c r="BA31" s="129">
        <v>0</v>
      </c>
      <c r="BB31" s="129">
        <v>0</v>
      </c>
      <c r="BC31" s="129">
        <v>0</v>
      </c>
      <c r="BD31" s="129">
        <v>0</v>
      </c>
      <c r="BE31" s="129">
        <v>0</v>
      </c>
      <c r="BF31" s="129">
        <v>0</v>
      </c>
      <c r="BG31" s="130">
        <v>0</v>
      </c>
      <c r="BH31" s="130">
        <v>0</v>
      </c>
      <c r="BI31" s="130">
        <v>0</v>
      </c>
      <c r="BJ31" s="130">
        <v>0</v>
      </c>
      <c r="BK31" s="130">
        <v>0</v>
      </c>
    </row>
    <row r="32" spans="1:63">
      <c r="A32">
        <f t="shared" si="1"/>
        <v>29</v>
      </c>
      <c r="B32" t="s">
        <v>107</v>
      </c>
      <c r="C32" t="str">
        <f>INDEX(EPD_Measures,11)</f>
        <v>Renewable material resources</v>
      </c>
      <c r="D32" t="str">
        <f>INDEX(EPD_Calc_Units,11)</f>
        <v>kg</v>
      </c>
      <c r="E32" s="123">
        <v>0</v>
      </c>
      <c r="F32" s="123">
        <f>E32*'Supplemental LCA Data'!$E$60</f>
        <v>0</v>
      </c>
      <c r="G32" s="123">
        <v>1.5600000000000001E-6</v>
      </c>
      <c r="H32" s="123">
        <v>1.9192605499999998E-6</v>
      </c>
      <c r="I32" s="123">
        <v>1.5600000000000001E-6</v>
      </c>
      <c r="J32" s="123">
        <v>1.9192605499999998E-6</v>
      </c>
      <c r="K32" s="123"/>
      <c r="L32" s="123"/>
      <c r="M32" s="123">
        <v>0</v>
      </c>
      <c r="N32" s="123">
        <v>0</v>
      </c>
      <c r="O32" s="123">
        <v>0</v>
      </c>
      <c r="P32" s="123">
        <f>'Supplemental LCA Data'!$AC$55</f>
        <v>0</v>
      </c>
      <c r="Q32" s="123">
        <f>'Supplemental LCA Data'!$AD$55</f>
        <v>0</v>
      </c>
      <c r="R32" s="123">
        <f>'Supplemental LCA Data'!$AE$55</f>
        <v>0</v>
      </c>
      <c r="S32" s="123">
        <f>'Supplemental LCA Data'!$AF$55</f>
        <v>0</v>
      </c>
      <c r="T32" s="123">
        <f>'Supplemental LCA Data'!$AG$55</f>
        <v>0</v>
      </c>
      <c r="U32" s="123">
        <f>'Supplemental LCA Data'!$AH$55</f>
        <v>0</v>
      </c>
      <c r="V32" s="123"/>
      <c r="W32" s="123"/>
      <c r="X32" s="123"/>
      <c r="Y32" s="123"/>
      <c r="Z32" s="123"/>
      <c r="AA32" s="123"/>
      <c r="AB32" s="123"/>
      <c r="AC32" s="123"/>
      <c r="AD32" s="123"/>
      <c r="AE32" s="123"/>
      <c r="AF32" s="123"/>
      <c r="AG32" s="123"/>
      <c r="AH32" s="123"/>
      <c r="AI32" s="123"/>
      <c r="AJ32" s="123"/>
      <c r="AK32" s="123"/>
      <c r="AL32" s="123"/>
      <c r="AM32" s="123">
        <v>0</v>
      </c>
      <c r="AN32" s="123">
        <v>0</v>
      </c>
      <c r="AO32" s="123">
        <v>0</v>
      </c>
      <c r="AP32" s="316">
        <v>0</v>
      </c>
      <c r="AQ32" s="316">
        <v>0</v>
      </c>
      <c r="AR32" s="316">
        <v>0</v>
      </c>
      <c r="AS32" s="316">
        <v>0</v>
      </c>
      <c r="AT32" s="316">
        <v>0</v>
      </c>
      <c r="AU32" s="316">
        <v>0</v>
      </c>
      <c r="AV32" s="129">
        <v>0</v>
      </c>
      <c r="AW32" s="129"/>
      <c r="AX32" s="129"/>
      <c r="AY32" s="129"/>
      <c r="AZ32" s="129"/>
      <c r="BA32" s="129">
        <v>0.84323164500000003</v>
      </c>
      <c r="BB32" s="129">
        <v>0</v>
      </c>
      <c r="BC32" s="129">
        <v>0</v>
      </c>
      <c r="BD32" s="129">
        <v>0</v>
      </c>
      <c r="BE32" s="129">
        <v>0</v>
      </c>
      <c r="BF32" s="129">
        <v>0</v>
      </c>
      <c r="BG32" s="130">
        <v>0</v>
      </c>
      <c r="BH32" s="130">
        <v>0</v>
      </c>
      <c r="BI32" s="130">
        <v>0</v>
      </c>
      <c r="BJ32" s="130">
        <v>0</v>
      </c>
      <c r="BK32" s="130">
        <v>0</v>
      </c>
    </row>
    <row r="33" spans="1:84">
      <c r="A33">
        <f t="shared" si="1"/>
        <v>30</v>
      </c>
      <c r="B33" t="s">
        <v>107</v>
      </c>
      <c r="C33" t="str">
        <f>INDEX(EPD_Measures,12)</f>
        <v>Net Fresh Water</v>
      </c>
      <c r="D33" t="str">
        <f>INDEX(EPD_Calc_Units,12)</f>
        <v>m3</v>
      </c>
      <c r="E33" s="123">
        <v>9.7039999999999995E-4</v>
      </c>
      <c r="F33" s="123">
        <f>E33*'Supplemental LCA Data'!$E$61</f>
        <v>8.7336E-4</v>
      </c>
      <c r="G33" s="123">
        <f>$G$1+0</f>
        <v>6.7500000000000004E-4</v>
      </c>
      <c r="H33" s="123">
        <f>$G$1+0.000000717</f>
        <v>6.7571700000000005E-4</v>
      </c>
      <c r="I33" s="123">
        <f>$G$1+0</f>
        <v>6.7500000000000004E-4</v>
      </c>
      <c r="J33" s="123">
        <f>$G$1+0.000000717</f>
        <v>6.7571700000000005E-4</v>
      </c>
      <c r="K33" s="123">
        <v>0</v>
      </c>
      <c r="L33" s="123">
        <v>0</v>
      </c>
      <c r="M33" s="123">
        <v>0</v>
      </c>
      <c r="N33" s="123">
        <v>0</v>
      </c>
      <c r="O33" s="123">
        <v>0</v>
      </c>
      <c r="P33" s="123">
        <f>'Supplemental LCA Data'!$AC$56</f>
        <v>0</v>
      </c>
      <c r="Q33" s="123">
        <f>'Supplemental LCA Data'!$AD$56</f>
        <v>0</v>
      </c>
      <c r="R33" s="123">
        <f>'Supplemental LCA Data'!$AE$56</f>
        <v>0</v>
      </c>
      <c r="S33" s="123">
        <f>'Supplemental LCA Data'!$AF$56</f>
        <v>0</v>
      </c>
      <c r="T33" s="123">
        <f>'Supplemental LCA Data'!$AG$56</f>
        <v>0</v>
      </c>
      <c r="U33" s="123">
        <f>'Supplemental LCA Data'!$AH$56</f>
        <v>0</v>
      </c>
      <c r="V33" s="123">
        <v>0.11500386618134965</v>
      </c>
      <c r="W33" s="123">
        <f>'Supplemental LCA Data'!$B$73/1000/1000</f>
        <v>1.3732079207907059E-2</v>
      </c>
      <c r="X33" s="123">
        <f>'Supplemental LCA Data'!$C$73/1000/1000</f>
        <v>1.389655434006113E-2</v>
      </c>
      <c r="Y33" s="123">
        <f>'Supplemental LCA Data'!$D$73/1000/1000</f>
        <v>1.4675578391799121E-2</v>
      </c>
      <c r="Z33" s="123">
        <f t="shared" si="3"/>
        <v>1.5105287128697766E-2</v>
      </c>
      <c r="AA33" s="123">
        <v>0</v>
      </c>
      <c r="AB33" s="123">
        <v>0</v>
      </c>
      <c r="AC33" s="123">
        <f t="shared" si="2"/>
        <v>1.3732079207907059E-2</v>
      </c>
      <c r="AD33" s="123">
        <v>0</v>
      </c>
      <c r="AE33" s="123">
        <v>0</v>
      </c>
      <c r="AF33" s="123">
        <v>0</v>
      </c>
      <c r="AG33" s="123">
        <v>6.6615854003756548E-4</v>
      </c>
      <c r="AH33" s="123">
        <v>8.5599624991234465E-3</v>
      </c>
      <c r="AI33" s="123">
        <v>3.5226266152208971E-4</v>
      </c>
      <c r="AJ33" s="123">
        <v>3.9507938615937904E-3</v>
      </c>
      <c r="AK33" s="123">
        <v>7.4033158500000001E-2</v>
      </c>
      <c r="AL33" s="123">
        <v>0</v>
      </c>
      <c r="AM33" s="123">
        <v>0</v>
      </c>
      <c r="AN33" s="123">
        <v>0</v>
      </c>
      <c r="AO33" s="123">
        <v>0</v>
      </c>
      <c r="AP33" s="316">
        <v>0</v>
      </c>
      <c r="AQ33" s="316">
        <v>0</v>
      </c>
      <c r="AR33" s="316">
        <v>0</v>
      </c>
      <c r="AS33" s="316">
        <v>0</v>
      </c>
      <c r="AT33" s="316">
        <v>0</v>
      </c>
      <c r="AU33" s="316">
        <v>0</v>
      </c>
      <c r="AV33" s="129">
        <v>0</v>
      </c>
      <c r="AW33" s="129">
        <v>0</v>
      </c>
      <c r="AX33" s="129">
        <v>0</v>
      </c>
      <c r="AY33" s="129">
        <v>0</v>
      </c>
      <c r="AZ33" s="129">
        <v>0</v>
      </c>
      <c r="BA33" s="129">
        <v>0</v>
      </c>
      <c r="BB33" s="129">
        <v>0</v>
      </c>
      <c r="BC33" s="129">
        <v>0</v>
      </c>
      <c r="BD33" s="129">
        <v>0</v>
      </c>
      <c r="BE33" s="129">
        <v>0</v>
      </c>
      <c r="BF33" s="129">
        <v>0</v>
      </c>
      <c r="BG33" s="130">
        <v>0</v>
      </c>
      <c r="BH33" s="130">
        <v>0</v>
      </c>
      <c r="BI33" s="130">
        <v>0</v>
      </c>
      <c r="BJ33" s="130">
        <v>0</v>
      </c>
      <c r="BK33" s="130">
        <v>0</v>
      </c>
      <c r="BL33" s="88"/>
      <c r="BM33" s="88"/>
      <c r="BN33" s="88"/>
      <c r="BO33" s="88"/>
      <c r="BP33" s="88"/>
      <c r="BQ33" s="88"/>
      <c r="BR33" s="88"/>
      <c r="BS33" s="88"/>
      <c r="BT33" s="88"/>
      <c r="BU33" s="88"/>
      <c r="BV33" s="88"/>
      <c r="BW33" s="88"/>
      <c r="BX33" s="88"/>
      <c r="BY33" s="88"/>
      <c r="BZ33" s="88"/>
      <c r="CA33" s="88"/>
      <c r="CB33" s="88"/>
      <c r="CC33" s="88"/>
      <c r="CD33" s="88"/>
      <c r="CE33" s="88"/>
      <c r="CF33" s="88"/>
    </row>
    <row r="34" spans="1:84">
      <c r="A34">
        <f t="shared" si="1"/>
        <v>31</v>
      </c>
      <c r="B34" t="s">
        <v>107</v>
      </c>
      <c r="C34" t="str">
        <f>INDEX(EPD_Measures,13)</f>
        <v>Non-hazardous waste generated</v>
      </c>
      <c r="D34" t="str">
        <f>INDEX(EPD_Calc_Units,13)</f>
        <v>kg</v>
      </c>
      <c r="E34" s="123">
        <v>5.1000000000000004E-3</v>
      </c>
      <c r="F34" s="123">
        <f>E34*'Supplemental LCA Data'!$E$62</f>
        <v>5.1000000000000004E-3</v>
      </c>
      <c r="G34" s="123">
        <v>0</v>
      </c>
      <c r="H34" s="123">
        <v>0</v>
      </c>
      <c r="I34" s="123">
        <v>0</v>
      </c>
      <c r="J34" s="123">
        <v>0</v>
      </c>
      <c r="K34" s="123"/>
      <c r="L34" s="123"/>
      <c r="M34" s="123">
        <v>0</v>
      </c>
      <c r="N34" s="123">
        <v>0</v>
      </c>
      <c r="O34" s="123">
        <v>0</v>
      </c>
      <c r="P34" s="123">
        <f>'Supplemental LCA Data'!$AC$57</f>
        <v>0</v>
      </c>
      <c r="Q34" s="123">
        <f>'Supplemental LCA Data'!$AD$57</f>
        <v>0</v>
      </c>
      <c r="R34" s="123">
        <f>'Supplemental LCA Data'!$AE$57</f>
        <v>0</v>
      </c>
      <c r="S34" s="123">
        <f>'Supplemental LCA Data'!$AF$57</f>
        <v>0</v>
      </c>
      <c r="T34" s="123">
        <f>'Supplemental LCA Data'!$AG$57</f>
        <v>0</v>
      </c>
      <c r="U34" s="123">
        <f>'Supplemental LCA Data'!$AH$57</f>
        <v>0</v>
      </c>
      <c r="V34" s="123"/>
      <c r="W34" s="123"/>
      <c r="X34" s="123"/>
      <c r="Y34" s="123"/>
      <c r="Z34" s="123"/>
      <c r="AA34" s="123"/>
      <c r="AB34" s="123"/>
      <c r="AC34" s="123"/>
      <c r="AD34" s="123"/>
      <c r="AE34" s="123"/>
      <c r="AF34" s="123"/>
      <c r="AG34" s="123"/>
      <c r="AH34" s="123"/>
      <c r="AI34" s="123"/>
      <c r="AJ34" s="123"/>
      <c r="AK34" s="123"/>
      <c r="AL34" s="123"/>
      <c r="AM34" s="123">
        <v>0</v>
      </c>
      <c r="AN34" s="123">
        <v>0</v>
      </c>
      <c r="AO34" s="123">
        <v>0</v>
      </c>
      <c r="AP34" s="316">
        <v>0</v>
      </c>
      <c r="AQ34" s="316">
        <v>0</v>
      </c>
      <c r="AR34" s="316">
        <v>0</v>
      </c>
      <c r="AS34" s="316">
        <v>0</v>
      </c>
      <c r="AT34" s="316">
        <v>0</v>
      </c>
      <c r="AU34" s="316">
        <v>0</v>
      </c>
      <c r="AV34" s="129">
        <v>0</v>
      </c>
      <c r="AW34" s="129"/>
      <c r="AX34" s="129"/>
      <c r="AY34" s="129"/>
      <c r="AZ34" s="129"/>
      <c r="BA34" s="129">
        <v>0</v>
      </c>
      <c r="BB34" s="129">
        <v>0</v>
      </c>
      <c r="BC34" s="129">
        <v>0</v>
      </c>
      <c r="BD34" s="129">
        <v>0</v>
      </c>
      <c r="BE34" s="129">
        <v>0</v>
      </c>
      <c r="BF34" s="129">
        <v>0</v>
      </c>
      <c r="BG34" s="130">
        <v>0</v>
      </c>
      <c r="BH34" s="130">
        <v>0</v>
      </c>
      <c r="BI34" s="130">
        <v>0</v>
      </c>
      <c r="BJ34" s="130">
        <v>0</v>
      </c>
      <c r="BK34" s="130">
        <v>0</v>
      </c>
    </row>
    <row r="35" spans="1:84">
      <c r="A35">
        <f t="shared" si="1"/>
        <v>32</v>
      </c>
      <c r="B35" t="s">
        <v>107</v>
      </c>
      <c r="C35" t="str">
        <f>INDEX(EPD_Measures,14)</f>
        <v>Hazardous waste generated</v>
      </c>
      <c r="D35" t="str">
        <f>INDEX(EPD_Calc_Units,14)</f>
        <v>kg</v>
      </c>
      <c r="E35" s="123">
        <v>0</v>
      </c>
      <c r="F35" s="123">
        <f>E35*'Supplemental LCA Data'!$E$63</f>
        <v>0</v>
      </c>
      <c r="G35" s="123">
        <v>0</v>
      </c>
      <c r="H35" s="123">
        <v>0</v>
      </c>
      <c r="I35" s="123">
        <v>0</v>
      </c>
      <c r="J35" s="123">
        <v>0</v>
      </c>
      <c r="K35" s="123"/>
      <c r="L35" s="123"/>
      <c r="M35" s="123">
        <v>0</v>
      </c>
      <c r="N35" s="123">
        <v>0</v>
      </c>
      <c r="O35" s="123">
        <v>0</v>
      </c>
      <c r="P35" s="123">
        <f>'Supplemental LCA Data'!$AC$58</f>
        <v>0</v>
      </c>
      <c r="Q35" s="123">
        <f>'Supplemental LCA Data'!$AD$58</f>
        <v>0</v>
      </c>
      <c r="R35" s="123">
        <f>'Supplemental LCA Data'!$AE$58</f>
        <v>0</v>
      </c>
      <c r="S35" s="123">
        <f>'Supplemental LCA Data'!$AF$58</f>
        <v>0</v>
      </c>
      <c r="T35" s="123">
        <f>'Supplemental LCA Data'!$AG$58</f>
        <v>0</v>
      </c>
      <c r="U35" s="123">
        <f>'Supplemental LCA Data'!$AH$58</f>
        <v>0</v>
      </c>
      <c r="V35" s="123"/>
      <c r="W35" s="123"/>
      <c r="X35" s="123"/>
      <c r="Y35" s="123"/>
      <c r="Z35" s="123"/>
      <c r="AA35" s="123"/>
      <c r="AB35" s="123"/>
      <c r="AC35" s="123"/>
      <c r="AD35" s="123"/>
      <c r="AE35" s="123"/>
      <c r="AF35" s="123"/>
      <c r="AG35" s="123"/>
      <c r="AH35" s="123"/>
      <c r="AI35" s="123"/>
      <c r="AJ35" s="123"/>
      <c r="AK35" s="123"/>
      <c r="AL35" s="123"/>
      <c r="AM35" s="123">
        <v>0</v>
      </c>
      <c r="AN35" s="123">
        <v>0</v>
      </c>
      <c r="AO35" s="123">
        <v>0</v>
      </c>
      <c r="AP35" s="316">
        <v>0</v>
      </c>
      <c r="AQ35" s="316">
        <v>0</v>
      </c>
      <c r="AR35" s="316">
        <v>0</v>
      </c>
      <c r="AS35" s="316">
        <v>0</v>
      </c>
      <c r="AT35" s="316">
        <v>0</v>
      </c>
      <c r="AU35" s="316">
        <v>0</v>
      </c>
      <c r="AV35" s="129">
        <v>0</v>
      </c>
      <c r="AW35" s="129"/>
      <c r="AX35" s="129"/>
      <c r="AY35" s="129"/>
      <c r="AZ35" s="129"/>
      <c r="BA35" s="129">
        <v>0</v>
      </c>
      <c r="BB35" s="129">
        <v>0</v>
      </c>
      <c r="BC35" s="129">
        <v>0</v>
      </c>
      <c r="BD35" s="129">
        <v>0</v>
      </c>
      <c r="BE35" s="129">
        <v>0</v>
      </c>
      <c r="BF35" s="129">
        <v>0</v>
      </c>
      <c r="BG35" s="130">
        <v>0</v>
      </c>
      <c r="BH35" s="130">
        <v>0</v>
      </c>
      <c r="BI35" s="130">
        <v>0</v>
      </c>
      <c r="BJ35" s="130">
        <v>0</v>
      </c>
      <c r="BK35" s="130">
        <v>0</v>
      </c>
    </row>
    <row r="36" spans="1:84">
      <c r="A36" s="112">
        <f t="shared" si="1"/>
        <v>33</v>
      </c>
      <c r="B36" s="112" t="s">
        <v>110</v>
      </c>
      <c r="C36" s="112" t="str">
        <f>INDEX(EPD_Measures,1)</f>
        <v>Global warming potential (GWP)</v>
      </c>
      <c r="D36" s="112" t="str">
        <f>INDEX(EPD_Calc_Units,1)</f>
        <v>kg</v>
      </c>
      <c r="E36" s="123">
        <v>0.91412411199999999</v>
      </c>
      <c r="F36" s="123">
        <f>E36*'Supplemental LCA Data'!$E$49</f>
        <v>0.81790052126315793</v>
      </c>
      <c r="G36" s="123">
        <v>2.8059999999999999E-3</v>
      </c>
      <c r="H36" s="123">
        <v>2.97E-3</v>
      </c>
      <c r="I36" s="123">
        <v>2.4031740000000001E-3</v>
      </c>
      <c r="J36" s="123">
        <v>2.97E-3</v>
      </c>
      <c r="K36" s="123">
        <v>0</v>
      </c>
      <c r="L36" s="123">
        <v>0</v>
      </c>
      <c r="M36" s="123">
        <v>0</v>
      </c>
      <c r="N36" s="123">
        <v>0</v>
      </c>
      <c r="O36" s="123">
        <v>0</v>
      </c>
      <c r="P36" s="123">
        <f>'Supplemental LCA Data'!$AC$45</f>
        <v>0.10406360712476165</v>
      </c>
      <c r="Q36" s="123">
        <f>'Supplemental LCA Data'!$AD$45</f>
        <v>0.22949974224587316</v>
      </c>
      <c r="R36" s="123">
        <f>'Supplemental LCA Data'!$AE$45</f>
        <v>1.2625032020663256</v>
      </c>
      <c r="S36" s="123">
        <f>'Supplemental LCA Data'!$AF$45</f>
        <v>0.76998593521882752</v>
      </c>
      <c r="T36" s="123">
        <f>'Supplemental LCA Data'!$AG$45</f>
        <v>0.22949974224587316</v>
      </c>
      <c r="U36" s="123">
        <f>'Supplemental LCA Data'!$AH$45</f>
        <v>0.51911044578033227</v>
      </c>
      <c r="V36" s="123">
        <v>2.9429471121354829</v>
      </c>
      <c r="W36" s="123">
        <f>'Supplemental LCA Data'!$B$71/1000</f>
        <v>0.89195544554366246</v>
      </c>
      <c r="X36" s="123">
        <f>'Supplemental LCA Data'!$C$71/1000</f>
        <v>1.0380563118652284</v>
      </c>
      <c r="Y36" s="123">
        <f>'Supplemental LCA Data'!$D$71/1000</f>
        <v>1.5012328955993122</v>
      </c>
      <c r="Z36" s="123">
        <f t="shared" si="3"/>
        <v>0.98115099009802875</v>
      </c>
      <c r="AA36" s="123">
        <v>0</v>
      </c>
      <c r="AB36" s="123">
        <v>0</v>
      </c>
      <c r="AC36" s="123">
        <f t="shared" si="2"/>
        <v>0.89195544554366246</v>
      </c>
      <c r="AD36" s="123">
        <v>0</v>
      </c>
      <c r="AE36" s="123">
        <v>0</v>
      </c>
      <c r="AF36" s="123">
        <v>0</v>
      </c>
      <c r="AG36" s="123">
        <v>3.3162413704963716</v>
      </c>
      <c r="AH36" s="123">
        <v>9.0789952164299699</v>
      </c>
      <c r="AI36" s="123">
        <v>0.2453477255455345</v>
      </c>
      <c r="AJ36" s="123">
        <v>0.3279493299762562</v>
      </c>
      <c r="AK36" s="123">
        <v>4.6408478655656005</v>
      </c>
      <c r="AL36" s="123">
        <v>0.92461248966214149</v>
      </c>
      <c r="AM36" s="123">
        <v>0</v>
      </c>
      <c r="AN36" s="123">
        <v>0</v>
      </c>
      <c r="AO36" s="123">
        <v>0</v>
      </c>
      <c r="AP36" s="316">
        <v>0</v>
      </c>
      <c r="AQ36" s="316">
        <v>0</v>
      </c>
      <c r="AR36" s="316">
        <v>0</v>
      </c>
      <c r="AS36" s="316">
        <v>0</v>
      </c>
      <c r="AT36" s="316">
        <v>0</v>
      </c>
      <c r="AU36" s="316">
        <v>0</v>
      </c>
      <c r="AV36" s="129">
        <v>6.7081160000000001E-2</v>
      </c>
      <c r="AW36" s="129">
        <v>0</v>
      </c>
      <c r="AX36" s="129">
        <v>0</v>
      </c>
      <c r="AY36" s="129">
        <v>0</v>
      </c>
      <c r="AZ36" s="129">
        <v>0</v>
      </c>
      <c r="BA36" s="129">
        <v>4.5765858E-2</v>
      </c>
      <c r="BB36" s="129">
        <v>2.529973</v>
      </c>
      <c r="BC36" s="129">
        <v>2.4438970000000002</v>
      </c>
      <c r="BD36" s="129">
        <v>3.1787649999999998</v>
      </c>
      <c r="BE36" s="129">
        <v>3.7603420000000001</v>
      </c>
      <c r="BF36" s="129">
        <v>2.0422280000000002</v>
      </c>
      <c r="BG36" s="130">
        <v>9.2743999999999993E-2</v>
      </c>
      <c r="BH36" s="130">
        <v>7.3523000000000005E-2</v>
      </c>
      <c r="BI36" s="130">
        <v>2.2027999999999999E-2</v>
      </c>
      <c r="BJ36" s="130">
        <v>1.8526999999999998E-2</v>
      </c>
      <c r="BK36" s="130">
        <v>3.3079999999999998E-2</v>
      </c>
    </row>
    <row r="37" spans="1:84">
      <c r="A37">
        <f t="shared" si="1"/>
        <v>34</v>
      </c>
      <c r="B37" t="s">
        <v>110</v>
      </c>
      <c r="C37" t="str">
        <f>INDEX(EPD_Measures,2)</f>
        <v>Acidification potential</v>
      </c>
      <c r="D37" t="str">
        <f>INDEX(EPD_Calc_Units,2)</f>
        <v>kg</v>
      </c>
      <c r="E37" s="123">
        <v>3.6028280000000002E-3</v>
      </c>
      <c r="F37" s="123">
        <f>E37*'Supplemental LCA Data'!$E$52</f>
        <v>3.2513325853658535E-3</v>
      </c>
      <c r="G37" s="123">
        <v>3.2199999999999997E-5</v>
      </c>
      <c r="H37" s="123">
        <v>3.68E-5</v>
      </c>
      <c r="I37" s="123">
        <v>3.1053799999999997E-5</v>
      </c>
      <c r="J37" s="123">
        <v>3.68E-5</v>
      </c>
      <c r="K37" s="123"/>
      <c r="L37" s="123"/>
      <c r="M37" s="123">
        <v>0</v>
      </c>
      <c r="N37" s="123">
        <v>0</v>
      </c>
      <c r="O37" s="123">
        <v>0</v>
      </c>
      <c r="P37" s="123">
        <f>'Supplemental LCA Data'!$AC$46</f>
        <v>5.7703135192831948E-4</v>
      </c>
      <c r="Q37" s="123">
        <f>'Supplemental LCA Data'!$AD$46</f>
        <v>1.2139986365417917E-3</v>
      </c>
      <c r="R37" s="123">
        <f>'Supplemental LCA Data'!$AE$46</f>
        <v>4.7483946670140312E-3</v>
      </c>
      <c r="S37" s="123">
        <f>'Supplemental LCA Data'!$AF$46</f>
        <v>3.9528555604969102</v>
      </c>
      <c r="T37" s="123">
        <f>'Supplemental LCA Data'!$AG$46</f>
        <v>1.2139986365417917E-3</v>
      </c>
      <c r="U37" s="123">
        <f>'Supplemental LCA Data'!$AH$46</f>
        <v>0.79212179675778727</v>
      </c>
      <c r="V37" s="123"/>
      <c r="W37" s="123"/>
      <c r="X37" s="123"/>
      <c r="Y37" s="123"/>
      <c r="Z37" s="123"/>
      <c r="AA37" s="123"/>
      <c r="AB37" s="123"/>
      <c r="AC37" s="123"/>
      <c r="AD37" s="123"/>
      <c r="AE37" s="123"/>
      <c r="AF37" s="123"/>
      <c r="AG37" s="123"/>
      <c r="AH37" s="123"/>
      <c r="AI37" s="123"/>
      <c r="AJ37" s="123"/>
      <c r="AK37" s="123"/>
      <c r="AL37" s="123"/>
      <c r="AM37" s="123">
        <v>0</v>
      </c>
      <c r="AN37" s="123">
        <v>0</v>
      </c>
      <c r="AO37" s="123">
        <v>0</v>
      </c>
      <c r="AP37" s="316">
        <v>0</v>
      </c>
      <c r="AQ37" s="316">
        <v>0</v>
      </c>
      <c r="AR37" s="316">
        <v>0</v>
      </c>
      <c r="AS37" s="316">
        <v>0</v>
      </c>
      <c r="AT37" s="316">
        <v>0</v>
      </c>
      <c r="AU37" s="316">
        <v>0</v>
      </c>
      <c r="AV37" s="129">
        <v>1.9907700000000001E-4</v>
      </c>
      <c r="AW37" s="129"/>
      <c r="AX37" s="129"/>
      <c r="AY37" s="129"/>
      <c r="AZ37" s="129"/>
      <c r="BA37" s="129">
        <v>8.3965400000000001E-4</v>
      </c>
      <c r="BB37" s="129">
        <v>2.6606000000000001E-2</v>
      </c>
      <c r="BC37" s="129">
        <v>2.0861000000000001E-2</v>
      </c>
      <c r="BD37" s="129">
        <v>5.646E-3</v>
      </c>
      <c r="BE37" s="129">
        <v>8.8570000000000003E-3</v>
      </c>
      <c r="BF37" s="129">
        <v>4.045E-3</v>
      </c>
      <c r="BG37" s="130">
        <v>4.6900000000000002E-4</v>
      </c>
      <c r="BH37" s="130">
        <v>3.2299999999999999E-4</v>
      </c>
      <c r="BI37" s="130">
        <v>3.7199999999999999E-4</v>
      </c>
      <c r="BJ37" s="130">
        <v>3.2299999999999999E-4</v>
      </c>
      <c r="BK37" s="130">
        <v>2.8299999999999999E-4</v>
      </c>
    </row>
    <row r="38" spans="1:84">
      <c r="A38">
        <f t="shared" si="1"/>
        <v>35</v>
      </c>
      <c r="B38" t="s">
        <v>110</v>
      </c>
      <c r="C38" t="str">
        <f>INDEX(EPD_Measures,3)</f>
        <v>Eutrophication potential</v>
      </c>
      <c r="D38" t="str">
        <f>INDEX(EPD_Calc_Units,3)</f>
        <v>kg</v>
      </c>
      <c r="E38" s="123">
        <v>1.2061E-4</v>
      </c>
      <c r="F38" s="123">
        <f>E38*'Supplemental LCA Data'!$E$53</f>
        <v>1.1133230769230769E-4</v>
      </c>
      <c r="G38" s="123">
        <v>1.9E-6</v>
      </c>
      <c r="H38" s="123">
        <v>2.4700000000000001E-6</v>
      </c>
      <c r="I38" s="123">
        <v>1.8465700000000001E-6</v>
      </c>
      <c r="J38" s="123">
        <v>2.4700000000000001E-6</v>
      </c>
      <c r="K38" s="123"/>
      <c r="L38" s="123"/>
      <c r="M38" s="123">
        <v>0</v>
      </c>
      <c r="N38" s="123">
        <v>0</v>
      </c>
      <c r="O38" s="123">
        <v>0</v>
      </c>
      <c r="P38" s="123">
        <f>'Supplemental LCA Data'!$AC$47</f>
        <v>1.9624831959085375E-4</v>
      </c>
      <c r="Q38" s="123">
        <f>'Supplemental LCA Data'!$AD$47</f>
        <v>4.226795252829316E-5</v>
      </c>
      <c r="R38" s="123">
        <f>'Supplemental LCA Data'!$AE$47</f>
        <v>8.7898401280121123E-4</v>
      </c>
      <c r="S38" s="123">
        <f>'Supplemental LCA Data'!$AF$47</f>
        <v>0.24926944204227258</v>
      </c>
      <c r="T38" s="123">
        <f>'Supplemental LCA Data'!$AG$47</f>
        <v>4.226795252829316E-5</v>
      </c>
      <c r="U38" s="123">
        <f>'Supplemental LCA Data'!$AH$47</f>
        <v>5.0085842055944255E-2</v>
      </c>
      <c r="V38" s="123"/>
      <c r="W38" s="123"/>
      <c r="X38" s="123"/>
      <c r="Y38" s="123"/>
      <c r="Z38" s="123"/>
      <c r="AA38" s="123"/>
      <c r="AB38" s="123"/>
      <c r="AC38" s="123"/>
      <c r="AD38" s="123"/>
      <c r="AE38" s="123"/>
      <c r="AF38" s="123"/>
      <c r="AG38" s="123"/>
      <c r="AH38" s="123"/>
      <c r="AI38" s="123"/>
      <c r="AJ38" s="123"/>
      <c r="AK38" s="123"/>
      <c r="AL38" s="123"/>
      <c r="AM38" s="123">
        <v>0</v>
      </c>
      <c r="AN38" s="123">
        <v>0</v>
      </c>
      <c r="AO38" s="123">
        <v>0</v>
      </c>
      <c r="AP38" s="316">
        <v>0</v>
      </c>
      <c r="AQ38" s="316">
        <v>0</v>
      </c>
      <c r="AR38" s="316">
        <v>0</v>
      </c>
      <c r="AS38" s="316">
        <v>0</v>
      </c>
      <c r="AT38" s="316">
        <v>0</v>
      </c>
      <c r="AU38" s="316">
        <v>0</v>
      </c>
      <c r="AV38" s="129">
        <v>8.1887899999999996E-6</v>
      </c>
      <c r="AW38" s="129"/>
      <c r="AX38" s="129"/>
      <c r="AY38" s="129"/>
      <c r="AZ38" s="129"/>
      <c r="BA38" s="129">
        <v>4.0302700000000003E-5</v>
      </c>
      <c r="BB38" s="129">
        <v>1.722E-3</v>
      </c>
      <c r="BC38" s="129">
        <v>2.05E-4</v>
      </c>
      <c r="BD38" s="129">
        <v>3.9599999999999998E-4</v>
      </c>
      <c r="BE38" s="129">
        <v>6.0300000000000002E-4</v>
      </c>
      <c r="BF38" s="129">
        <v>2.8299999999999999E-4</v>
      </c>
      <c r="BG38" s="130">
        <v>3.0800000000000003E-5</v>
      </c>
      <c r="BH38" s="130">
        <v>2.1500000000000001E-5</v>
      </c>
      <c r="BI38" s="130">
        <v>2.3799999999999999E-5</v>
      </c>
      <c r="BJ38" s="130">
        <v>2.0699999999999998E-5</v>
      </c>
      <c r="BK38" s="130">
        <v>1.8300000000000001E-5</v>
      </c>
    </row>
    <row r="39" spans="1:84">
      <c r="A39">
        <f t="shared" si="1"/>
        <v>36</v>
      </c>
      <c r="B39" t="s">
        <v>110</v>
      </c>
      <c r="C39" t="str">
        <f>INDEX(EPD_Measures,4)</f>
        <v>Smog creation potential</v>
      </c>
      <c r="D39" t="str">
        <f>INDEX(EPD_Calc_Units,4)</f>
        <v>kg</v>
      </c>
      <c r="E39" s="123">
        <v>4.3952104999999998E-2</v>
      </c>
      <c r="F39" s="123">
        <f>E39*'Supplemental LCA Data'!$E$55</f>
        <v>3.9373760729166665E-2</v>
      </c>
      <c r="G39" s="123">
        <v>9.9299999999999996E-4</v>
      </c>
      <c r="H39" s="123">
        <v>1.15E-3</v>
      </c>
      <c r="I39" s="123">
        <v>9.7589400000000005E-4</v>
      </c>
      <c r="J39" s="123">
        <v>1.15E-3</v>
      </c>
      <c r="K39" s="123"/>
      <c r="L39" s="123"/>
      <c r="M39" s="123">
        <v>0</v>
      </c>
      <c r="N39" s="123">
        <v>0</v>
      </c>
      <c r="O39" s="123">
        <v>0</v>
      </c>
      <c r="P39" s="123">
        <f>'Supplemental LCA Data'!$AC$48</f>
        <v>8.7017595456788718E-3</v>
      </c>
      <c r="Q39" s="123">
        <f>'Supplemental LCA Data'!$AD$48</f>
        <v>1.3524104726696053E-2</v>
      </c>
      <c r="R39" s="123">
        <f>'Supplemental LCA Data'!$AE$48</f>
        <v>5.7241581200289861E-2</v>
      </c>
      <c r="S39" s="123">
        <f>'Supplemental LCA Data'!$AF$48</f>
        <v>43.192743848068233</v>
      </c>
      <c r="T39" s="123">
        <f>'Supplemental LCA Data'!$AG$48</f>
        <v>1.3524104726696053E-2</v>
      </c>
      <c r="U39" s="123">
        <f>'Supplemental LCA Data'!$AH$48</f>
        <v>8.6571470796535195</v>
      </c>
      <c r="V39" s="123"/>
      <c r="W39" s="123"/>
      <c r="X39" s="123"/>
      <c r="Y39" s="123"/>
      <c r="Z39" s="123"/>
      <c r="AA39" s="123"/>
      <c r="AB39" s="123"/>
      <c r="AC39" s="123"/>
      <c r="AD39" s="123"/>
      <c r="AE39" s="123"/>
      <c r="AF39" s="123"/>
      <c r="AG39" s="123"/>
      <c r="AH39" s="123"/>
      <c r="AI39" s="123"/>
      <c r="AJ39" s="123"/>
      <c r="AK39" s="123"/>
      <c r="AL39" s="123"/>
      <c r="AM39" s="123">
        <v>0</v>
      </c>
      <c r="AN39" s="123">
        <v>0</v>
      </c>
      <c r="AO39" s="123">
        <v>0</v>
      </c>
      <c r="AP39" s="316">
        <v>0</v>
      </c>
      <c r="AQ39" s="316">
        <v>0</v>
      </c>
      <c r="AR39" s="316">
        <v>0</v>
      </c>
      <c r="AS39" s="316">
        <v>0</v>
      </c>
      <c r="AT39" s="316">
        <v>0</v>
      </c>
      <c r="AU39" s="316">
        <v>0</v>
      </c>
      <c r="AV39" s="129">
        <v>2.904701E-3</v>
      </c>
      <c r="AW39" s="129"/>
      <c r="AX39" s="129"/>
      <c r="AY39" s="129"/>
      <c r="AZ39" s="129"/>
      <c r="BA39" s="129">
        <v>0.241503051</v>
      </c>
      <c r="BB39" s="129">
        <v>0.90166400000000002</v>
      </c>
      <c r="BC39" s="129">
        <v>5.2539000000000002E-2</v>
      </c>
      <c r="BD39" s="129">
        <v>0.13974</v>
      </c>
      <c r="BE39" s="129">
        <v>0.24854699999999999</v>
      </c>
      <c r="BF39" s="129">
        <v>0.10738499999999999</v>
      </c>
      <c r="BG39" s="130">
        <v>1.5133000000000001E-2</v>
      </c>
      <c r="BH39" s="130">
        <v>1.0231000000000001E-2</v>
      </c>
      <c r="BI39" s="130">
        <v>1.2799E-2</v>
      </c>
      <c r="BJ39" s="130">
        <v>1.1180000000000001E-2</v>
      </c>
      <c r="BK39" s="130">
        <v>9.5029999999999993E-3</v>
      </c>
    </row>
    <row r="40" spans="1:84">
      <c r="A40">
        <f t="shared" si="1"/>
        <v>37</v>
      </c>
      <c r="B40" t="s">
        <v>110</v>
      </c>
      <c r="C40" t="str">
        <f>INDEX(EPD_Measures,5)</f>
        <v>Ozone depletion potential</v>
      </c>
      <c r="D40" t="str">
        <f>INDEX(EPD_Calc_Units,5)</f>
        <v>kg</v>
      </c>
      <c r="E40" s="123">
        <v>1.0028700000000001E-11</v>
      </c>
      <c r="F40" s="123">
        <f>E40*'Supplemental LCA Data'!$E$56</f>
        <v>8.7523199999999988E-12</v>
      </c>
      <c r="G40" s="123">
        <v>1.1099999999999999E-13</v>
      </c>
      <c r="H40" s="123">
        <v>9.6800000000000004E-11</v>
      </c>
      <c r="I40" s="123">
        <v>9.7412200000000006E-14</v>
      </c>
      <c r="J40" s="123">
        <v>9.6800000000000004E-11</v>
      </c>
      <c r="K40" s="123"/>
      <c r="L40" s="123"/>
      <c r="M40" s="123">
        <v>0</v>
      </c>
      <c r="N40" s="123">
        <v>0</v>
      </c>
      <c r="O40" s="123">
        <v>0</v>
      </c>
      <c r="P40" s="123">
        <f>'Supplemental LCA Data'!$AC$49</f>
        <v>4.817994588850506E-10</v>
      </c>
      <c r="Q40" s="123">
        <f>'Supplemental LCA Data'!$AD$49</f>
        <v>0</v>
      </c>
      <c r="R40" s="123">
        <f>'Supplemental LCA Data'!$AE$49</f>
        <v>2.4089972944252421E-9</v>
      </c>
      <c r="S40" s="123">
        <f>'Supplemental LCA Data'!$AF$49</f>
        <v>3.2599963386576577E-9</v>
      </c>
      <c r="T40" s="123">
        <f>'Supplemental LCA Data'!$AG$49</f>
        <v>0</v>
      </c>
      <c r="U40" s="123">
        <f>'Supplemental LCA Data'!$AH$49</f>
        <v>1.2301586183935901E-9</v>
      </c>
      <c r="V40" s="123"/>
      <c r="W40" s="123"/>
      <c r="X40" s="123"/>
      <c r="Y40" s="123"/>
      <c r="Z40" s="123"/>
      <c r="AA40" s="123"/>
      <c r="AB40" s="123"/>
      <c r="AC40" s="123"/>
      <c r="AD40" s="123"/>
      <c r="AE40" s="123"/>
      <c r="AF40" s="123"/>
      <c r="AG40" s="123"/>
      <c r="AH40" s="123"/>
      <c r="AI40" s="123"/>
      <c r="AJ40" s="123"/>
      <c r="AK40" s="123"/>
      <c r="AL40" s="123"/>
      <c r="AM40" s="123">
        <v>0</v>
      </c>
      <c r="AN40" s="123">
        <v>0</v>
      </c>
      <c r="AO40" s="123">
        <v>0</v>
      </c>
      <c r="AP40" s="316">
        <v>0</v>
      </c>
      <c r="AQ40" s="316">
        <v>0</v>
      </c>
      <c r="AR40" s="316">
        <v>0</v>
      </c>
      <c r="AS40" s="316">
        <v>0</v>
      </c>
      <c r="AT40" s="316">
        <v>0</v>
      </c>
      <c r="AU40" s="316">
        <v>0</v>
      </c>
      <c r="AV40" s="129">
        <v>2.2333000000000002E-12</v>
      </c>
      <c r="AW40" s="129"/>
      <c r="AX40" s="129"/>
      <c r="AY40" s="129"/>
      <c r="AZ40" s="129"/>
      <c r="BA40" s="129">
        <v>9.58911E-14</v>
      </c>
      <c r="BB40" s="129">
        <v>1.16E-10</v>
      </c>
      <c r="BC40" s="129">
        <v>1.6799999999999999E-12</v>
      </c>
      <c r="BD40" s="129">
        <v>1.2999999999999999E-10</v>
      </c>
      <c r="BE40" s="129">
        <v>1.41E-10</v>
      </c>
      <c r="BF40" s="129">
        <v>8.1099999999999997E-11</v>
      </c>
      <c r="BG40" s="130">
        <v>3.5300000000000001E-12</v>
      </c>
      <c r="BH40" s="130">
        <v>3.1599999999999999E-12</v>
      </c>
      <c r="BI40" s="130">
        <v>8.4099999999999995E-13</v>
      </c>
      <c r="BJ40" s="130">
        <v>6.9599999999999996E-13</v>
      </c>
      <c r="BK40" s="130">
        <v>1.2499999999999999E-12</v>
      </c>
    </row>
    <row r="41" spans="1:84">
      <c r="A41">
        <f t="shared" si="1"/>
        <v>38</v>
      </c>
      <c r="B41" t="s">
        <v>110</v>
      </c>
      <c r="C41" t="str">
        <f>INDEX(EPD_Measures,6)</f>
        <v>Total primary energy consumption</v>
      </c>
      <c r="D41" t="str">
        <f>INDEX(EPD_Calc_Units,6)</f>
        <v>MJ</v>
      </c>
      <c r="E41" s="123">
        <v>6.1062616539999999</v>
      </c>
      <c r="F41" s="123">
        <f>E41*'Supplemental LCA Data'!$E$50</f>
        <v>5.5528240418549837</v>
      </c>
      <c r="G41" s="123">
        <v>7.3708999999999997E-2</v>
      </c>
      <c r="H41" s="123">
        <v>5.4834999999999995E-2</v>
      </c>
      <c r="I41" s="123">
        <v>4.6377061999999997E-2</v>
      </c>
      <c r="J41" s="123">
        <v>5.4834999999999995E-2</v>
      </c>
      <c r="K41" s="123">
        <v>0</v>
      </c>
      <c r="L41" s="123">
        <v>0</v>
      </c>
      <c r="M41" s="123">
        <v>0</v>
      </c>
      <c r="N41" s="123">
        <v>0</v>
      </c>
      <c r="O41" s="123">
        <v>0</v>
      </c>
      <c r="P41" s="123">
        <f>'Supplemental LCA Data'!$AC$50</f>
        <v>2.099997641465547</v>
      </c>
      <c r="Q41" s="123">
        <f>'Supplemental LCA Data'!$AD$50</f>
        <v>4.5999948336864307</v>
      </c>
      <c r="R41" s="123">
        <f>'Supplemental LCA Data'!$AE$50</f>
        <v>22.799974393054555</v>
      </c>
      <c r="S41" s="123">
        <f>'Supplemental LCA Data'!$AF$50</f>
        <v>18.299979447056902</v>
      </c>
      <c r="T41" s="123">
        <f>'Supplemental LCA Data'!$AG$50</f>
        <v>4.5999948336864307</v>
      </c>
      <c r="U41" s="123">
        <f>'Supplemental LCA Data'!$AH$50</f>
        <v>10.479988229789974</v>
      </c>
      <c r="V41" s="123">
        <v>57.506173091793869</v>
      </c>
      <c r="W41" s="123">
        <f>'Supplemental LCA Data'!$B$72/1000</f>
        <v>17.379305548594214</v>
      </c>
      <c r="X41" s="123">
        <f>'Supplemental LCA Data'!$C$72/1000</f>
        <v>21.115558668452628</v>
      </c>
      <c r="Y41" s="123">
        <f>'Supplemental LCA Data'!$D$72/1000</f>
        <v>25.458767950129285</v>
      </c>
      <c r="Z41" s="123">
        <f t="shared" si="3"/>
        <v>19.117236103453639</v>
      </c>
      <c r="AA41" s="123">
        <v>0</v>
      </c>
      <c r="AB41" s="123">
        <v>0</v>
      </c>
      <c r="AC41" s="123">
        <f t="shared" si="2"/>
        <v>17.379305548594214</v>
      </c>
      <c r="AD41" s="123">
        <v>0</v>
      </c>
      <c r="AE41" s="123">
        <v>0</v>
      </c>
      <c r="AF41" s="123">
        <v>0</v>
      </c>
      <c r="AG41" s="123">
        <v>111.41336281293017</v>
      </c>
      <c r="AH41" s="123">
        <v>96.934631722060175</v>
      </c>
      <c r="AI41" s="123">
        <v>3.4310468673118439</v>
      </c>
      <c r="AJ41" s="123">
        <v>7.079849022399789</v>
      </c>
      <c r="AK41" s="123">
        <v>88.609789579499989</v>
      </c>
      <c r="AL41" s="123">
        <v>75.869011043824344</v>
      </c>
      <c r="AM41" s="123">
        <v>0</v>
      </c>
      <c r="AN41" s="123">
        <v>0</v>
      </c>
      <c r="AO41" s="123">
        <v>0</v>
      </c>
      <c r="AP41" s="316">
        <v>0</v>
      </c>
      <c r="AQ41" s="316">
        <v>0</v>
      </c>
      <c r="AR41" s="316">
        <v>0</v>
      </c>
      <c r="AS41" s="316">
        <v>0</v>
      </c>
      <c r="AT41" s="316">
        <v>0</v>
      </c>
      <c r="AU41" s="316">
        <v>0</v>
      </c>
      <c r="AV41" s="129">
        <v>4.5551867599999998</v>
      </c>
      <c r="AW41" s="129">
        <v>3.6</v>
      </c>
      <c r="AX41" s="129">
        <v>3.6</v>
      </c>
      <c r="AY41" s="129">
        <v>3.6</v>
      </c>
      <c r="AZ41" s="129">
        <v>3.6</v>
      </c>
      <c r="BA41" s="129">
        <v>3.4579025999999999E-2</v>
      </c>
      <c r="BB41" s="129">
        <v>41.990099999999998</v>
      </c>
      <c r="BC41" s="129">
        <v>43.209249999999997</v>
      </c>
      <c r="BD41" s="129">
        <v>46.983649999999997</v>
      </c>
      <c r="BE41" s="129">
        <v>51.126690000000004</v>
      </c>
      <c r="BF41" s="129">
        <v>29.343319999999999</v>
      </c>
      <c r="BG41" s="130">
        <v>1.2783040000000001</v>
      </c>
      <c r="BH41" s="130">
        <v>1.14236</v>
      </c>
      <c r="BI41" s="130">
        <v>0.30436299999999999</v>
      </c>
      <c r="BJ41" s="130">
        <v>0.25176399999999999</v>
      </c>
      <c r="BK41" s="130">
        <v>0.45051000000000002</v>
      </c>
    </row>
    <row r="42" spans="1:84">
      <c r="A42">
        <f t="shared" si="1"/>
        <v>39</v>
      </c>
      <c r="B42" t="s">
        <v>110</v>
      </c>
      <c r="C42" t="str">
        <f>INDEX(EPD_Measures,7)</f>
        <v>Nonrenewable energy resources</v>
      </c>
      <c r="D42" t="str">
        <f>INDEX(EPD_Calc_Units,7)</f>
        <v>MJ</v>
      </c>
      <c r="E42" s="123">
        <v>5.5566875529999997</v>
      </c>
      <c r="F42" s="123">
        <f>E42*'Supplemental LCA Data'!$E$51</f>
        <v>5.0426717984960137</v>
      </c>
      <c r="G42" s="123">
        <v>4.1716000000000003E-2</v>
      </c>
      <c r="H42" s="123">
        <v>4.4159999999999998E-2</v>
      </c>
      <c r="I42" s="123">
        <v>3.5712871E-2</v>
      </c>
      <c r="J42" s="123">
        <v>4.4159999999999998E-2</v>
      </c>
      <c r="K42" s="123"/>
      <c r="L42" s="123"/>
      <c r="M42" s="123">
        <v>0</v>
      </c>
      <c r="N42" s="123">
        <v>0</v>
      </c>
      <c r="O42" s="123">
        <v>0</v>
      </c>
      <c r="P42" s="123">
        <f>'Supplemental LCA Data'!$AC$51</f>
        <v>2.099997641465547</v>
      </c>
      <c r="Q42" s="123">
        <f>'Supplemental LCA Data'!$AD$51</f>
        <v>4.5999948336864307</v>
      </c>
      <c r="R42" s="123">
        <f>'Supplemental LCA Data'!$AE$51</f>
        <v>22.799974393054555</v>
      </c>
      <c r="S42" s="123">
        <f>'Supplemental LCA Data'!$AF$51</f>
        <v>18.299979447056902</v>
      </c>
      <c r="T42" s="123">
        <f>'Supplemental LCA Data'!$AG$51</f>
        <v>4.5999948336864307</v>
      </c>
      <c r="U42" s="123">
        <f>'Supplemental LCA Data'!$AH$51</f>
        <v>10.479988229789974</v>
      </c>
      <c r="V42" s="123"/>
      <c r="W42" s="123"/>
      <c r="X42" s="123"/>
      <c r="Y42" s="123"/>
      <c r="Z42" s="123"/>
      <c r="AA42" s="123"/>
      <c r="AB42" s="123"/>
      <c r="AC42" s="123"/>
      <c r="AD42" s="123"/>
      <c r="AE42" s="123"/>
      <c r="AF42" s="123"/>
      <c r="AG42" s="123"/>
      <c r="AH42" s="123"/>
      <c r="AI42" s="123"/>
      <c r="AJ42" s="123"/>
      <c r="AK42" s="123"/>
      <c r="AL42" s="123"/>
      <c r="AM42" s="123">
        <v>0</v>
      </c>
      <c r="AN42" s="123">
        <v>0</v>
      </c>
      <c r="AO42" s="123">
        <v>0</v>
      </c>
      <c r="AP42" s="316">
        <v>0</v>
      </c>
      <c r="AQ42" s="316">
        <v>0</v>
      </c>
      <c r="AR42" s="316">
        <v>0</v>
      </c>
      <c r="AS42" s="316">
        <v>0</v>
      </c>
      <c r="AT42" s="316">
        <v>0</v>
      </c>
      <c r="AU42" s="316">
        <v>0</v>
      </c>
      <c r="AV42" s="129">
        <v>1.000456322</v>
      </c>
      <c r="AW42" s="129"/>
      <c r="AX42" s="129"/>
      <c r="AY42" s="129"/>
      <c r="AZ42" s="129"/>
      <c r="BA42" s="129">
        <v>3.4579025999999999E-2</v>
      </c>
      <c r="BB42" s="129">
        <v>41.929009999999998</v>
      </c>
      <c r="BC42" s="129">
        <v>43.189610000000002</v>
      </c>
      <c r="BD42" s="129">
        <v>46.915320000000001</v>
      </c>
      <c r="BE42" s="129">
        <v>51.052590000000002</v>
      </c>
      <c r="BF42" s="129">
        <v>29.300560000000001</v>
      </c>
      <c r="BG42" s="130">
        <v>1.276451</v>
      </c>
      <c r="BH42" s="130">
        <v>1.1407039999999999</v>
      </c>
      <c r="BI42" s="130">
        <v>0.303921</v>
      </c>
      <c r="BJ42" s="130">
        <v>0.25139899999999998</v>
      </c>
      <c r="BK42" s="130">
        <v>0.44985700000000001</v>
      </c>
    </row>
    <row r="43" spans="1:84">
      <c r="A43">
        <f t="shared" si="1"/>
        <v>40</v>
      </c>
      <c r="B43" t="s">
        <v>110</v>
      </c>
      <c r="C43" t="str">
        <f>INDEX(EPD_Measures,8)</f>
        <v>Renewable energy resources</v>
      </c>
      <c r="D43" t="str">
        <f>INDEX(EPD_Calc_Units,8)</f>
        <v>MJ</v>
      </c>
      <c r="E43" s="123">
        <v>0.54957410100000004</v>
      </c>
      <c r="F43" s="123">
        <f>E43*'Supplemental LCA Data'!$E$57</f>
        <v>0.49873630537320585</v>
      </c>
      <c r="G43" s="123">
        <v>3.1993000000000001E-2</v>
      </c>
      <c r="H43" s="123">
        <v>1.0675E-2</v>
      </c>
      <c r="I43" s="123">
        <v>1.0664191E-2</v>
      </c>
      <c r="J43" s="123">
        <v>1.0675E-2</v>
      </c>
      <c r="K43" s="123"/>
      <c r="L43" s="123"/>
      <c r="M43" s="123">
        <v>0</v>
      </c>
      <c r="N43" s="123">
        <v>0</v>
      </c>
      <c r="O43" s="123">
        <v>0</v>
      </c>
      <c r="P43" s="123">
        <f>'Supplemental LCA Data'!$AC$52</f>
        <v>0</v>
      </c>
      <c r="Q43" s="123">
        <f>'Supplemental LCA Data'!$AD$52</f>
        <v>0</v>
      </c>
      <c r="R43" s="123">
        <f>'Supplemental LCA Data'!$AE$52</f>
        <v>0</v>
      </c>
      <c r="S43" s="123">
        <f>'Supplemental LCA Data'!$AF$52</f>
        <v>0</v>
      </c>
      <c r="T43" s="123">
        <f>'Supplemental LCA Data'!$AG$52</f>
        <v>0</v>
      </c>
      <c r="U43" s="123">
        <f>'Supplemental LCA Data'!$AH$52</f>
        <v>0</v>
      </c>
      <c r="V43" s="123"/>
      <c r="W43" s="123"/>
      <c r="X43" s="123"/>
      <c r="Y43" s="123"/>
      <c r="Z43" s="123"/>
      <c r="AA43" s="123"/>
      <c r="AB43" s="123"/>
      <c r="AC43" s="123"/>
      <c r="AD43" s="123"/>
      <c r="AE43" s="123"/>
      <c r="AF43" s="123"/>
      <c r="AG43" s="123"/>
      <c r="AH43" s="123"/>
      <c r="AI43" s="123"/>
      <c r="AJ43" s="123"/>
      <c r="AK43" s="123"/>
      <c r="AL43" s="123"/>
      <c r="AM43" s="123">
        <v>0</v>
      </c>
      <c r="AN43" s="123">
        <v>0</v>
      </c>
      <c r="AO43" s="123">
        <v>0</v>
      </c>
      <c r="AP43" s="316">
        <v>0</v>
      </c>
      <c r="AQ43" s="316">
        <v>0</v>
      </c>
      <c r="AR43" s="316">
        <v>0</v>
      </c>
      <c r="AS43" s="316">
        <v>0</v>
      </c>
      <c r="AT43" s="316">
        <v>0</v>
      </c>
      <c r="AU43" s="316">
        <v>0</v>
      </c>
      <c r="AV43" s="129">
        <v>3.5547304390000001</v>
      </c>
      <c r="AW43" s="129"/>
      <c r="AX43" s="129"/>
      <c r="AY43" s="129"/>
      <c r="AZ43" s="129"/>
      <c r="BA43" s="129">
        <v>0</v>
      </c>
      <c r="BB43" s="129">
        <v>6.1093000000000001E-2</v>
      </c>
      <c r="BC43" s="129">
        <v>1.9647000000000001E-2</v>
      </c>
      <c r="BD43" s="129">
        <v>6.8331000000000003E-2</v>
      </c>
      <c r="BE43" s="129">
        <v>7.4106000000000005E-2</v>
      </c>
      <c r="BF43" s="129">
        <v>4.2762000000000001E-2</v>
      </c>
      <c r="BG43" s="130">
        <v>1.853E-3</v>
      </c>
      <c r="BH43" s="130">
        <v>1.6559999999999999E-3</v>
      </c>
      <c r="BI43" s="130">
        <v>4.4099999999999999E-4</v>
      </c>
      <c r="BJ43" s="130">
        <v>3.6499999999999998E-4</v>
      </c>
      <c r="BK43" s="130">
        <v>6.5300000000000004E-4</v>
      </c>
    </row>
    <row r="44" spans="1:84">
      <c r="A44">
        <f t="shared" si="1"/>
        <v>41</v>
      </c>
      <c r="B44" t="s">
        <v>110</v>
      </c>
      <c r="C44" t="str">
        <f>INDEX(EPD_Measures,9)</f>
        <v>Material resources consumption</v>
      </c>
      <c r="D44" t="str">
        <f>INDEX(EPD_Calc_Units,9)</f>
        <v>kg</v>
      </c>
      <c r="E44" s="123">
        <v>1.6540299999999999</v>
      </c>
      <c r="F44" s="123">
        <f>E44*'Supplemental LCA Data'!$E$58</f>
        <v>1.6540299999999999</v>
      </c>
      <c r="G44" s="123">
        <v>1.0000015600000001</v>
      </c>
      <c r="H44" s="123">
        <v>1.0000021111778816</v>
      </c>
      <c r="I44" s="123">
        <v>1.0000015600000001</v>
      </c>
      <c r="J44" s="123">
        <v>1.0000021111778816</v>
      </c>
      <c r="K44" s="123"/>
      <c r="L44" s="123"/>
      <c r="M44" s="123">
        <v>0</v>
      </c>
      <c r="N44" s="123">
        <v>0</v>
      </c>
      <c r="O44" s="123">
        <v>0</v>
      </c>
      <c r="P44" s="123">
        <f>'Supplemental LCA Data'!$AC$53</f>
        <v>0</v>
      </c>
      <c r="Q44" s="123">
        <f>'Supplemental LCA Data'!$AD$53</f>
        <v>0</v>
      </c>
      <c r="R44" s="123">
        <f>'Supplemental LCA Data'!$AE$53</f>
        <v>0</v>
      </c>
      <c r="S44" s="123">
        <f>'Supplemental LCA Data'!$AF$53</f>
        <v>0</v>
      </c>
      <c r="T44" s="123">
        <f>'Supplemental LCA Data'!$AG$53</f>
        <v>0</v>
      </c>
      <c r="U44" s="123">
        <f>'Supplemental LCA Data'!$AH$53</f>
        <v>0</v>
      </c>
      <c r="V44" s="123"/>
      <c r="W44" s="123"/>
      <c r="X44" s="123"/>
      <c r="Y44" s="123"/>
      <c r="Z44" s="123"/>
      <c r="AA44" s="123"/>
      <c r="AB44" s="123"/>
      <c r="AC44" s="123"/>
      <c r="AD44" s="123"/>
      <c r="AE44" s="123"/>
      <c r="AF44" s="123"/>
      <c r="AG44" s="123"/>
      <c r="AH44" s="123"/>
      <c r="AI44" s="123"/>
      <c r="AJ44" s="123"/>
      <c r="AK44" s="123"/>
      <c r="AL44" s="123"/>
      <c r="AM44" s="123">
        <v>0</v>
      </c>
      <c r="AN44" s="123">
        <v>0</v>
      </c>
      <c r="AO44" s="123">
        <v>0</v>
      </c>
      <c r="AP44" s="316">
        <v>0</v>
      </c>
      <c r="AQ44" s="316">
        <v>0</v>
      </c>
      <c r="AR44" s="316">
        <v>0</v>
      </c>
      <c r="AS44" s="316">
        <v>0</v>
      </c>
      <c r="AT44" s="316">
        <v>0</v>
      </c>
      <c r="AU44" s="316">
        <v>0</v>
      </c>
      <c r="AV44" s="129">
        <v>0</v>
      </c>
      <c r="AW44" s="129"/>
      <c r="AX44" s="129"/>
      <c r="AY44" s="129"/>
      <c r="AZ44" s="129"/>
      <c r="BA44" s="129">
        <v>0.84323164500000003</v>
      </c>
      <c r="BB44" s="129">
        <v>0</v>
      </c>
      <c r="BC44" s="129">
        <v>0</v>
      </c>
      <c r="BD44" s="129">
        <v>0</v>
      </c>
      <c r="BE44" s="129">
        <v>0</v>
      </c>
      <c r="BF44" s="129">
        <v>0</v>
      </c>
      <c r="BG44" s="130">
        <v>0</v>
      </c>
      <c r="BH44" s="130">
        <v>0</v>
      </c>
      <c r="BI44" s="130">
        <v>0</v>
      </c>
      <c r="BJ44" s="130">
        <v>0</v>
      </c>
      <c r="BK44" s="130">
        <v>0</v>
      </c>
    </row>
    <row r="45" spans="1:84">
      <c r="A45">
        <f t="shared" si="1"/>
        <v>42</v>
      </c>
      <c r="B45" t="s">
        <v>110</v>
      </c>
      <c r="C45" t="str">
        <f>INDEX(EPD_Measures,10)</f>
        <v>Nonrenewable material resources</v>
      </c>
      <c r="D45" t="str">
        <f>INDEX(EPD_Calc_Units,10)</f>
        <v>kg</v>
      </c>
      <c r="E45" s="123">
        <v>1.6540299999999999</v>
      </c>
      <c r="F45" s="123">
        <f>E45*'Supplemental LCA Data'!$E$59</f>
        <v>1.6540299999999999</v>
      </c>
      <c r="G45" s="123">
        <v>1</v>
      </c>
      <c r="H45" s="123">
        <v>1.0000001919173316</v>
      </c>
      <c r="I45" s="123">
        <v>1</v>
      </c>
      <c r="J45" s="123">
        <v>1.0000001919173316</v>
      </c>
      <c r="K45" s="123"/>
      <c r="L45" s="123"/>
      <c r="M45" s="123">
        <v>0</v>
      </c>
      <c r="N45" s="123">
        <v>0</v>
      </c>
      <c r="O45" s="123">
        <v>0</v>
      </c>
      <c r="P45" s="123">
        <f>'Supplemental LCA Data'!$AC$54</f>
        <v>0</v>
      </c>
      <c r="Q45" s="123">
        <f>'Supplemental LCA Data'!$AD$54</f>
        <v>0</v>
      </c>
      <c r="R45" s="123">
        <f>'Supplemental LCA Data'!$AE$54</f>
        <v>0</v>
      </c>
      <c r="S45" s="123">
        <f>'Supplemental LCA Data'!$AF$54</f>
        <v>0</v>
      </c>
      <c r="T45" s="123">
        <f>'Supplemental LCA Data'!$AG$54</f>
        <v>0</v>
      </c>
      <c r="U45" s="123">
        <f>'Supplemental LCA Data'!$AH$54</f>
        <v>0</v>
      </c>
      <c r="V45" s="123"/>
      <c r="W45" s="123"/>
      <c r="X45" s="123"/>
      <c r="Y45" s="123"/>
      <c r="Z45" s="123"/>
      <c r="AA45" s="123"/>
      <c r="AB45" s="123"/>
      <c r="AC45" s="123"/>
      <c r="AD45" s="123"/>
      <c r="AE45" s="123"/>
      <c r="AF45" s="123"/>
      <c r="AG45" s="123"/>
      <c r="AH45" s="123"/>
      <c r="AI45" s="123"/>
      <c r="AJ45" s="123"/>
      <c r="AK45" s="123"/>
      <c r="AL45" s="123"/>
      <c r="AM45" s="123">
        <v>0</v>
      </c>
      <c r="AN45" s="123">
        <v>0</v>
      </c>
      <c r="AO45" s="123">
        <v>0</v>
      </c>
      <c r="AP45" s="316">
        <v>0</v>
      </c>
      <c r="AQ45" s="316">
        <v>0</v>
      </c>
      <c r="AR45" s="316">
        <v>0</v>
      </c>
      <c r="AS45" s="316">
        <v>0</v>
      </c>
      <c r="AT45" s="316">
        <v>0</v>
      </c>
      <c r="AU45" s="316">
        <v>0</v>
      </c>
      <c r="AV45" s="129">
        <v>0</v>
      </c>
      <c r="AW45" s="129"/>
      <c r="AX45" s="129"/>
      <c r="AY45" s="129"/>
      <c r="AZ45" s="129"/>
      <c r="BA45" s="129">
        <v>0</v>
      </c>
      <c r="BB45" s="129">
        <v>0</v>
      </c>
      <c r="BC45" s="129">
        <v>0</v>
      </c>
      <c r="BD45" s="129">
        <v>0</v>
      </c>
      <c r="BE45" s="129">
        <v>0</v>
      </c>
      <c r="BF45" s="129">
        <v>0</v>
      </c>
      <c r="BG45" s="130">
        <v>0</v>
      </c>
      <c r="BH45" s="130">
        <v>0</v>
      </c>
      <c r="BI45" s="130">
        <v>0</v>
      </c>
      <c r="BJ45" s="130">
        <v>0</v>
      </c>
      <c r="BK45" s="130">
        <v>0</v>
      </c>
    </row>
    <row r="46" spans="1:84">
      <c r="A46">
        <f t="shared" si="1"/>
        <v>43</v>
      </c>
      <c r="B46" t="s">
        <v>110</v>
      </c>
      <c r="C46" t="str">
        <f>INDEX(EPD_Measures,11)</f>
        <v>Renewable material resources</v>
      </c>
      <c r="D46" t="str">
        <f>INDEX(EPD_Calc_Units,11)</f>
        <v>kg</v>
      </c>
      <c r="E46" s="123">
        <v>0</v>
      </c>
      <c r="F46" s="123">
        <f>E46*'Supplemental LCA Data'!$E$60</f>
        <v>0</v>
      </c>
      <c r="G46" s="123">
        <v>1.5600000000000001E-6</v>
      </c>
      <c r="H46" s="123">
        <v>1.9192605499999998E-6</v>
      </c>
      <c r="I46" s="123">
        <v>1.5600000000000001E-6</v>
      </c>
      <c r="J46" s="123">
        <v>1.9192605499999998E-6</v>
      </c>
      <c r="K46" s="123"/>
      <c r="L46" s="123"/>
      <c r="M46" s="123">
        <v>0</v>
      </c>
      <c r="N46" s="123">
        <v>0</v>
      </c>
      <c r="O46" s="123">
        <v>0</v>
      </c>
      <c r="P46" s="123">
        <f>'Supplemental LCA Data'!$AC$55</f>
        <v>0</v>
      </c>
      <c r="Q46" s="123">
        <f>'Supplemental LCA Data'!$AD$55</f>
        <v>0</v>
      </c>
      <c r="R46" s="123">
        <f>'Supplemental LCA Data'!$AE$55</f>
        <v>0</v>
      </c>
      <c r="S46" s="123">
        <f>'Supplemental LCA Data'!$AF$55</f>
        <v>0</v>
      </c>
      <c r="T46" s="123">
        <f>'Supplemental LCA Data'!$AG$55</f>
        <v>0</v>
      </c>
      <c r="U46" s="123">
        <f>'Supplemental LCA Data'!$AH$55</f>
        <v>0</v>
      </c>
      <c r="V46" s="123"/>
      <c r="W46" s="123"/>
      <c r="X46" s="123"/>
      <c r="Y46" s="123"/>
      <c r="Z46" s="123"/>
      <c r="AA46" s="123"/>
      <c r="AB46" s="123"/>
      <c r="AC46" s="123"/>
      <c r="AD46" s="123"/>
      <c r="AE46" s="123"/>
      <c r="AF46" s="123"/>
      <c r="AG46" s="123"/>
      <c r="AH46" s="123"/>
      <c r="AI46" s="123"/>
      <c r="AJ46" s="123"/>
      <c r="AK46" s="123"/>
      <c r="AL46" s="123"/>
      <c r="AM46" s="123">
        <v>0</v>
      </c>
      <c r="AN46" s="123">
        <v>0</v>
      </c>
      <c r="AO46" s="123">
        <v>0</v>
      </c>
      <c r="AP46" s="316">
        <v>0</v>
      </c>
      <c r="AQ46" s="316">
        <v>0</v>
      </c>
      <c r="AR46" s="316">
        <v>0</v>
      </c>
      <c r="AS46" s="316">
        <v>0</v>
      </c>
      <c r="AT46" s="316">
        <v>0</v>
      </c>
      <c r="AU46" s="316">
        <v>0</v>
      </c>
      <c r="AV46" s="129">
        <v>0</v>
      </c>
      <c r="AW46" s="129"/>
      <c r="AX46" s="129"/>
      <c r="AY46" s="129"/>
      <c r="AZ46" s="129"/>
      <c r="BA46" s="129">
        <v>0.84323164500000003</v>
      </c>
      <c r="BB46" s="129">
        <v>0</v>
      </c>
      <c r="BC46" s="129">
        <v>0</v>
      </c>
      <c r="BD46" s="129">
        <v>0</v>
      </c>
      <c r="BE46" s="129">
        <v>0</v>
      </c>
      <c r="BF46" s="129">
        <v>0</v>
      </c>
      <c r="BG46" s="130">
        <v>0</v>
      </c>
      <c r="BH46" s="130">
        <v>0</v>
      </c>
      <c r="BI46" s="130">
        <v>0</v>
      </c>
      <c r="BJ46" s="130">
        <v>0</v>
      </c>
      <c r="BK46" s="130">
        <v>0</v>
      </c>
    </row>
    <row r="47" spans="1:84">
      <c r="A47">
        <f t="shared" si="1"/>
        <v>44</v>
      </c>
      <c r="B47" t="s">
        <v>110</v>
      </c>
      <c r="C47" t="str">
        <f>INDEX(EPD_Measures,12)</f>
        <v>Net Fresh Water</v>
      </c>
      <c r="D47" t="str">
        <f>INDEX(EPD_Calc_Units,12)</f>
        <v>m3</v>
      </c>
      <c r="E47" s="123">
        <v>9.7039999999999995E-4</v>
      </c>
      <c r="F47" s="123">
        <f>E47*'Supplemental LCA Data'!$E$61</f>
        <v>8.7336E-4</v>
      </c>
      <c r="G47" s="123">
        <f>$G$1+0</f>
        <v>6.7500000000000004E-4</v>
      </c>
      <c r="H47" s="123">
        <f>$G$1+0.000000717</f>
        <v>6.7571700000000005E-4</v>
      </c>
      <c r="I47" s="123">
        <f>$G$1+0</f>
        <v>6.7500000000000004E-4</v>
      </c>
      <c r="J47" s="123">
        <f>$G$1+0.000000717</f>
        <v>6.7571700000000005E-4</v>
      </c>
      <c r="K47" s="123">
        <v>0</v>
      </c>
      <c r="L47" s="123">
        <v>0</v>
      </c>
      <c r="M47" s="123">
        <v>0</v>
      </c>
      <c r="N47" s="123">
        <v>0</v>
      </c>
      <c r="O47" s="123">
        <v>0</v>
      </c>
      <c r="P47" s="123">
        <f>'Supplemental LCA Data'!$AC$56</f>
        <v>0</v>
      </c>
      <c r="Q47" s="123">
        <f>'Supplemental LCA Data'!$AD$56</f>
        <v>0</v>
      </c>
      <c r="R47" s="123">
        <f>'Supplemental LCA Data'!$AE$56</f>
        <v>0</v>
      </c>
      <c r="S47" s="123">
        <f>'Supplemental LCA Data'!$AF$56</f>
        <v>0</v>
      </c>
      <c r="T47" s="123">
        <f>'Supplemental LCA Data'!$AG$56</f>
        <v>0</v>
      </c>
      <c r="U47" s="123">
        <f>'Supplemental LCA Data'!$AH$56</f>
        <v>0</v>
      </c>
      <c r="V47" s="123">
        <v>0.11500386618134965</v>
      </c>
      <c r="W47" s="123">
        <f>'Supplemental LCA Data'!$B$73/1000/1000</f>
        <v>1.3732079207907059E-2</v>
      </c>
      <c r="X47" s="123">
        <f>'Supplemental LCA Data'!$C$73/1000/1000</f>
        <v>1.389655434006113E-2</v>
      </c>
      <c r="Y47" s="123">
        <f>'Supplemental LCA Data'!$D$73/1000/1000</f>
        <v>1.4675578391799121E-2</v>
      </c>
      <c r="Z47" s="123">
        <f t="shared" si="3"/>
        <v>1.5105287128697766E-2</v>
      </c>
      <c r="AA47" s="123">
        <v>0</v>
      </c>
      <c r="AB47" s="123">
        <v>0</v>
      </c>
      <c r="AC47" s="123">
        <f t="shared" si="2"/>
        <v>1.3732079207907059E-2</v>
      </c>
      <c r="AD47" s="123">
        <v>0</v>
      </c>
      <c r="AE47" s="123">
        <v>0</v>
      </c>
      <c r="AF47" s="123">
        <v>0</v>
      </c>
      <c r="AG47" s="123">
        <v>6.6615854003756548E-4</v>
      </c>
      <c r="AH47" s="123">
        <v>8.5599624991234465E-3</v>
      </c>
      <c r="AI47" s="123">
        <v>3.5226266152208971E-4</v>
      </c>
      <c r="AJ47" s="123">
        <v>3.9507938615937904E-3</v>
      </c>
      <c r="AK47" s="123">
        <v>7.4033158500000001E-2</v>
      </c>
      <c r="AL47" s="123">
        <v>0</v>
      </c>
      <c r="AM47" s="123">
        <v>0</v>
      </c>
      <c r="AN47" s="123">
        <v>0</v>
      </c>
      <c r="AO47" s="123">
        <v>0</v>
      </c>
      <c r="AP47" s="316">
        <v>0</v>
      </c>
      <c r="AQ47" s="316">
        <v>0</v>
      </c>
      <c r="AR47" s="316">
        <v>0</v>
      </c>
      <c r="AS47" s="316">
        <v>0</v>
      </c>
      <c r="AT47" s="316">
        <v>0</v>
      </c>
      <c r="AU47" s="316">
        <v>0</v>
      </c>
      <c r="AV47" s="129">
        <v>0</v>
      </c>
      <c r="AW47" s="129">
        <v>0</v>
      </c>
      <c r="AX47" s="129">
        <v>0</v>
      </c>
      <c r="AY47" s="129">
        <v>0</v>
      </c>
      <c r="AZ47" s="129">
        <v>0</v>
      </c>
      <c r="BA47" s="129">
        <v>0</v>
      </c>
      <c r="BB47" s="129">
        <v>0</v>
      </c>
      <c r="BC47" s="129">
        <v>0</v>
      </c>
      <c r="BD47" s="129">
        <v>0</v>
      </c>
      <c r="BE47" s="129">
        <v>0</v>
      </c>
      <c r="BF47" s="129">
        <v>0</v>
      </c>
      <c r="BG47" s="130">
        <v>0</v>
      </c>
      <c r="BH47" s="130">
        <v>0</v>
      </c>
      <c r="BI47" s="130">
        <v>0</v>
      </c>
      <c r="BJ47" s="130">
        <v>0</v>
      </c>
      <c r="BK47" s="130">
        <v>0</v>
      </c>
    </row>
    <row r="48" spans="1:84">
      <c r="A48">
        <f t="shared" si="1"/>
        <v>45</v>
      </c>
      <c r="B48" t="s">
        <v>110</v>
      </c>
      <c r="C48" t="str">
        <f>INDEX(EPD_Measures,13)</f>
        <v>Non-hazardous waste generated</v>
      </c>
      <c r="D48" t="str">
        <f>INDEX(EPD_Calc_Units,13)</f>
        <v>kg</v>
      </c>
      <c r="E48" s="123">
        <v>5.1000000000000004E-3</v>
      </c>
      <c r="F48" s="123">
        <f>E48*'Supplemental LCA Data'!$E$62</f>
        <v>5.1000000000000004E-3</v>
      </c>
      <c r="G48" s="123">
        <v>0</v>
      </c>
      <c r="H48" s="123">
        <v>0</v>
      </c>
      <c r="I48" s="123">
        <v>0</v>
      </c>
      <c r="J48" s="123">
        <v>0</v>
      </c>
      <c r="K48" s="123"/>
      <c r="L48" s="123"/>
      <c r="M48" s="123">
        <v>0</v>
      </c>
      <c r="N48" s="123">
        <v>0</v>
      </c>
      <c r="O48" s="123">
        <v>0</v>
      </c>
      <c r="P48" s="123">
        <f>'Supplemental LCA Data'!$AC$57</f>
        <v>0</v>
      </c>
      <c r="Q48" s="123">
        <f>'Supplemental LCA Data'!$AD$57</f>
        <v>0</v>
      </c>
      <c r="R48" s="123">
        <f>'Supplemental LCA Data'!$AE$57</f>
        <v>0</v>
      </c>
      <c r="S48" s="123">
        <f>'Supplemental LCA Data'!$AF$57</f>
        <v>0</v>
      </c>
      <c r="T48" s="123">
        <f>'Supplemental LCA Data'!$AG$57</f>
        <v>0</v>
      </c>
      <c r="U48" s="123">
        <f>'Supplemental LCA Data'!$AH$57</f>
        <v>0</v>
      </c>
      <c r="V48" s="123"/>
      <c r="W48" s="123"/>
      <c r="X48" s="123"/>
      <c r="Y48" s="123"/>
      <c r="Z48" s="123"/>
      <c r="AA48" s="123"/>
      <c r="AB48" s="123"/>
      <c r="AC48" s="123"/>
      <c r="AD48" s="123"/>
      <c r="AE48" s="123"/>
      <c r="AF48" s="123"/>
      <c r="AG48" s="123"/>
      <c r="AH48" s="123"/>
      <c r="AI48" s="123"/>
      <c r="AJ48" s="123"/>
      <c r="AK48" s="123"/>
      <c r="AL48" s="123"/>
      <c r="AM48" s="123">
        <v>0</v>
      </c>
      <c r="AN48" s="123">
        <v>0</v>
      </c>
      <c r="AO48" s="123">
        <v>0</v>
      </c>
      <c r="AP48" s="316">
        <v>0</v>
      </c>
      <c r="AQ48" s="316">
        <v>0</v>
      </c>
      <c r="AR48" s="316">
        <v>0</v>
      </c>
      <c r="AS48" s="316">
        <v>0</v>
      </c>
      <c r="AT48" s="316">
        <v>0</v>
      </c>
      <c r="AU48" s="316">
        <v>0</v>
      </c>
      <c r="AV48" s="129">
        <v>0</v>
      </c>
      <c r="AW48" s="129"/>
      <c r="AX48" s="129"/>
      <c r="AY48" s="129"/>
      <c r="AZ48" s="129"/>
      <c r="BA48" s="129">
        <v>0</v>
      </c>
      <c r="BB48" s="129">
        <v>0</v>
      </c>
      <c r="BC48" s="129">
        <v>0</v>
      </c>
      <c r="BD48" s="129">
        <v>0</v>
      </c>
      <c r="BE48" s="129">
        <v>0</v>
      </c>
      <c r="BF48" s="129">
        <v>0</v>
      </c>
      <c r="BG48" s="130">
        <v>0</v>
      </c>
      <c r="BH48" s="130">
        <v>0</v>
      </c>
      <c r="BI48" s="130">
        <v>0</v>
      </c>
      <c r="BJ48" s="130">
        <v>0</v>
      </c>
      <c r="BK48" s="130">
        <v>0</v>
      </c>
    </row>
    <row r="49" spans="1:63">
      <c r="A49">
        <f t="shared" si="1"/>
        <v>46</v>
      </c>
      <c r="B49" t="s">
        <v>110</v>
      </c>
      <c r="C49" t="str">
        <f>INDEX(EPD_Measures,14)</f>
        <v>Hazardous waste generated</v>
      </c>
      <c r="D49" t="str">
        <f>INDEX(EPD_Calc_Units,14)</f>
        <v>kg</v>
      </c>
      <c r="E49" s="123">
        <v>0</v>
      </c>
      <c r="F49" s="123">
        <f>E49*'Supplemental LCA Data'!$E$63</f>
        <v>0</v>
      </c>
      <c r="G49" s="123">
        <v>0</v>
      </c>
      <c r="H49" s="123">
        <v>0</v>
      </c>
      <c r="I49" s="123">
        <v>0</v>
      </c>
      <c r="J49" s="123">
        <v>0</v>
      </c>
      <c r="K49" s="123"/>
      <c r="L49" s="123"/>
      <c r="M49" s="123">
        <v>0</v>
      </c>
      <c r="N49" s="123">
        <v>0</v>
      </c>
      <c r="O49" s="123">
        <v>0</v>
      </c>
      <c r="P49" s="123">
        <f>'Supplemental LCA Data'!$AC$58</f>
        <v>0</v>
      </c>
      <c r="Q49" s="123">
        <f>'Supplemental LCA Data'!$AD$58</f>
        <v>0</v>
      </c>
      <c r="R49" s="123">
        <f>'Supplemental LCA Data'!$AE$58</f>
        <v>0</v>
      </c>
      <c r="S49" s="123">
        <f>'Supplemental LCA Data'!$AF$58</f>
        <v>0</v>
      </c>
      <c r="T49" s="123">
        <f>'Supplemental LCA Data'!$AG$58</f>
        <v>0</v>
      </c>
      <c r="U49" s="123">
        <f>'Supplemental LCA Data'!$AH$58</f>
        <v>0</v>
      </c>
      <c r="V49" s="123"/>
      <c r="W49" s="123"/>
      <c r="X49" s="123"/>
      <c r="Y49" s="123"/>
      <c r="Z49" s="123"/>
      <c r="AA49" s="123"/>
      <c r="AB49" s="123"/>
      <c r="AC49" s="123"/>
      <c r="AD49" s="123"/>
      <c r="AE49" s="123"/>
      <c r="AF49" s="123"/>
      <c r="AG49" s="123"/>
      <c r="AH49" s="123"/>
      <c r="AI49" s="123"/>
      <c r="AJ49" s="123"/>
      <c r="AK49" s="123"/>
      <c r="AL49" s="123"/>
      <c r="AM49" s="123">
        <v>0</v>
      </c>
      <c r="AN49" s="123">
        <v>0</v>
      </c>
      <c r="AO49" s="123">
        <v>0</v>
      </c>
      <c r="AP49" s="316">
        <v>0</v>
      </c>
      <c r="AQ49" s="316">
        <v>0</v>
      </c>
      <c r="AR49" s="316">
        <v>0</v>
      </c>
      <c r="AS49" s="316">
        <v>0</v>
      </c>
      <c r="AT49" s="316">
        <v>0</v>
      </c>
      <c r="AU49" s="316">
        <v>0</v>
      </c>
      <c r="AV49" s="129">
        <v>0</v>
      </c>
      <c r="AW49" s="129"/>
      <c r="AX49" s="129"/>
      <c r="AY49" s="129"/>
      <c r="AZ49" s="129"/>
      <c r="BA49" s="129">
        <v>0</v>
      </c>
      <c r="BB49" s="129">
        <v>0</v>
      </c>
      <c r="BC49" s="129">
        <v>0</v>
      </c>
      <c r="BD49" s="129">
        <v>0</v>
      </c>
      <c r="BE49" s="129">
        <v>0</v>
      </c>
      <c r="BF49" s="129">
        <v>0</v>
      </c>
      <c r="BG49" s="130">
        <v>0</v>
      </c>
      <c r="BH49" s="130">
        <v>0</v>
      </c>
      <c r="BI49" s="130">
        <v>0</v>
      </c>
      <c r="BJ49" s="130">
        <v>0</v>
      </c>
      <c r="BK49" s="130">
        <v>0</v>
      </c>
    </row>
    <row r="50" spans="1:63">
      <c r="A50" s="112">
        <f t="shared" si="1"/>
        <v>47</v>
      </c>
      <c r="B50" s="112" t="s">
        <v>109</v>
      </c>
      <c r="C50" s="112" t="str">
        <f>INDEX(EPD_Measures,1)</f>
        <v>Global warming potential (GWP)</v>
      </c>
      <c r="D50" s="112" t="str">
        <f>INDEX(EPD_Calc_Units,1)</f>
        <v>kg</v>
      </c>
      <c r="E50" s="123" t="e">
        <f>NA()</f>
        <v>#N/A</v>
      </c>
      <c r="F50" s="123" t="e">
        <f>NA()</f>
        <v>#N/A</v>
      </c>
      <c r="G50" s="123">
        <v>2.235E-3</v>
      </c>
      <c r="H50" s="123">
        <v>2.7799999999999999E-3</v>
      </c>
      <c r="I50" s="123">
        <v>2.2129530000000001E-3</v>
      </c>
      <c r="J50" s="123">
        <v>2.7799999999999999E-3</v>
      </c>
      <c r="K50" s="123">
        <v>0</v>
      </c>
      <c r="L50" s="123">
        <v>0</v>
      </c>
      <c r="M50" s="123">
        <v>0</v>
      </c>
      <c r="N50" s="123">
        <v>0</v>
      </c>
      <c r="O50" s="123">
        <v>0</v>
      </c>
      <c r="P50" s="123">
        <f>'Supplemental LCA Data'!$AC$45</f>
        <v>0.10406360712476165</v>
      </c>
      <c r="Q50" s="123">
        <f>'Supplemental LCA Data'!$AD$45</f>
        <v>0.22949974224587316</v>
      </c>
      <c r="R50" s="123">
        <f>'Supplemental LCA Data'!$AE$45</f>
        <v>1.2625032020663256</v>
      </c>
      <c r="S50" s="123">
        <f>'Supplemental LCA Data'!$AF$45</f>
        <v>0.76998593521882752</v>
      </c>
      <c r="T50" s="123">
        <f>'Supplemental LCA Data'!$AG$45</f>
        <v>0.22949974224587316</v>
      </c>
      <c r="U50" s="123">
        <f>'Supplemental LCA Data'!$AH$45</f>
        <v>0.51911044578033227</v>
      </c>
      <c r="V50" s="123">
        <v>2.9429471121354829</v>
      </c>
      <c r="W50" s="123">
        <f>'Supplemental LCA Data'!$B$71/1000</f>
        <v>0.89195544554366246</v>
      </c>
      <c r="X50" s="123">
        <f>'Supplemental LCA Data'!$C$71/1000</f>
        <v>1.0380563118652284</v>
      </c>
      <c r="Y50" s="123">
        <f>'Supplemental LCA Data'!$D$71/1000</f>
        <v>1.5012328955993122</v>
      </c>
      <c r="Z50" s="123">
        <f t="shared" si="3"/>
        <v>0.98115099009802875</v>
      </c>
      <c r="AA50" s="123">
        <v>0</v>
      </c>
      <c r="AB50" s="123">
        <v>0</v>
      </c>
      <c r="AC50" s="123">
        <f t="shared" si="2"/>
        <v>0.89195544554366246</v>
      </c>
      <c r="AD50" s="123">
        <v>0</v>
      </c>
      <c r="AE50" s="123">
        <v>0</v>
      </c>
      <c r="AF50" s="123">
        <v>0</v>
      </c>
      <c r="AG50" s="123">
        <v>3.3162413704963716</v>
      </c>
      <c r="AH50" s="123">
        <v>9.0789952164299699</v>
      </c>
      <c r="AI50" s="123">
        <v>0.2453477255455345</v>
      </c>
      <c r="AJ50" s="123">
        <v>0.3279493299762562</v>
      </c>
      <c r="AK50" s="123">
        <v>4.6408478655656005</v>
      </c>
      <c r="AL50" s="123">
        <v>0.92461248966214149</v>
      </c>
      <c r="AM50" s="123">
        <v>0</v>
      </c>
      <c r="AN50" s="123">
        <v>0</v>
      </c>
      <c r="AO50" s="123">
        <v>0</v>
      </c>
      <c r="AP50" s="316">
        <v>0</v>
      </c>
      <c r="AQ50" s="316">
        <v>0</v>
      </c>
      <c r="AR50" s="316">
        <v>0</v>
      </c>
      <c r="AS50" s="316">
        <v>0</v>
      </c>
      <c r="AT50" s="316">
        <v>0</v>
      </c>
      <c r="AU50" s="316">
        <v>0</v>
      </c>
      <c r="AV50" s="129">
        <v>3.6740359999999999E-3</v>
      </c>
      <c r="AW50" s="129">
        <v>0</v>
      </c>
      <c r="AX50" s="129">
        <v>0</v>
      </c>
      <c r="AY50" s="129">
        <v>0</v>
      </c>
      <c r="AZ50" s="129">
        <v>0</v>
      </c>
      <c r="BA50" s="129">
        <v>4.5765858E-2</v>
      </c>
      <c r="BB50" s="129">
        <v>2.529973</v>
      </c>
      <c r="BC50" s="129">
        <v>2.4438970000000002</v>
      </c>
      <c r="BD50" s="129">
        <v>3.1787649999999998</v>
      </c>
      <c r="BE50" s="129">
        <v>3.7603420000000001</v>
      </c>
      <c r="BF50" s="129">
        <v>2.0422280000000002</v>
      </c>
      <c r="BG50" s="130">
        <v>9.2743999999999993E-2</v>
      </c>
      <c r="BH50" s="130">
        <v>7.3523000000000005E-2</v>
      </c>
      <c r="BI50" s="130">
        <v>2.2027999999999999E-2</v>
      </c>
      <c r="BJ50" s="130">
        <v>1.8526999999999998E-2</v>
      </c>
      <c r="BK50" s="130">
        <v>3.3079999999999998E-2</v>
      </c>
    </row>
    <row r="51" spans="1:63">
      <c r="A51">
        <f t="shared" si="1"/>
        <v>48</v>
      </c>
      <c r="B51" t="s">
        <v>109</v>
      </c>
      <c r="C51" t="str">
        <f>INDEX(EPD_Measures,2)</f>
        <v>Acidification potential</v>
      </c>
      <c r="D51" t="str">
        <f>INDEX(EPD_Calc_Units,2)</f>
        <v>kg</v>
      </c>
      <c r="E51" s="123" t="e">
        <f>NA()</f>
        <v>#N/A</v>
      </c>
      <c r="F51" s="123" t="e">
        <f>NA()</f>
        <v>#N/A</v>
      </c>
      <c r="G51" s="123">
        <v>3.0700000000000001E-5</v>
      </c>
      <c r="H51" s="123">
        <v>3.6300000000000001E-5</v>
      </c>
      <c r="I51" s="123">
        <v>3.0527800000000003E-5</v>
      </c>
      <c r="J51" s="123">
        <v>3.6300000000000001E-5</v>
      </c>
      <c r="K51" s="123"/>
      <c r="L51" s="123"/>
      <c r="M51" s="123">
        <v>0</v>
      </c>
      <c r="N51" s="123">
        <v>0</v>
      </c>
      <c r="O51" s="123">
        <v>0</v>
      </c>
      <c r="P51" s="123">
        <f>'Supplemental LCA Data'!$AC$46</f>
        <v>5.7703135192831948E-4</v>
      </c>
      <c r="Q51" s="123">
        <f>'Supplemental LCA Data'!$AD$46</f>
        <v>1.2139986365417917E-3</v>
      </c>
      <c r="R51" s="123">
        <f>'Supplemental LCA Data'!$AE$46</f>
        <v>4.7483946670140312E-3</v>
      </c>
      <c r="S51" s="123">
        <f>'Supplemental LCA Data'!$AF$46</f>
        <v>3.9528555604969102</v>
      </c>
      <c r="T51" s="123">
        <f>'Supplemental LCA Data'!$AG$46</f>
        <v>1.2139986365417917E-3</v>
      </c>
      <c r="U51" s="123">
        <f>'Supplemental LCA Data'!$AH$46</f>
        <v>0.79212179675778727</v>
      </c>
      <c r="V51" s="123"/>
      <c r="W51" s="123"/>
      <c r="X51" s="123"/>
      <c r="Y51" s="123"/>
      <c r="Z51" s="123"/>
      <c r="AA51" s="123"/>
      <c r="AB51" s="123"/>
      <c r="AC51" s="123"/>
      <c r="AD51" s="123"/>
      <c r="AE51" s="123"/>
      <c r="AF51" s="123"/>
      <c r="AG51" s="123"/>
      <c r="AH51" s="123"/>
      <c r="AI51" s="123"/>
      <c r="AJ51" s="123"/>
      <c r="AK51" s="123"/>
      <c r="AL51" s="123"/>
      <c r="AM51" s="123">
        <v>0</v>
      </c>
      <c r="AN51" s="123">
        <v>0</v>
      </c>
      <c r="AO51" s="123">
        <v>0</v>
      </c>
      <c r="AP51" s="316">
        <v>0</v>
      </c>
      <c r="AQ51" s="316">
        <v>0</v>
      </c>
      <c r="AR51" s="316">
        <v>0</v>
      </c>
      <c r="AS51" s="316">
        <v>0</v>
      </c>
      <c r="AT51" s="316">
        <v>0</v>
      </c>
      <c r="AU51" s="316">
        <v>0</v>
      </c>
      <c r="AV51" s="129">
        <v>2.3732700000000001E-5</v>
      </c>
      <c r="AW51" s="129"/>
      <c r="AX51" s="129"/>
      <c r="AY51" s="129"/>
      <c r="AZ51" s="129"/>
      <c r="BA51" s="129">
        <v>8.3965400000000001E-4</v>
      </c>
      <c r="BB51" s="129">
        <v>2.6606000000000001E-2</v>
      </c>
      <c r="BC51" s="129">
        <v>2.0861000000000001E-2</v>
      </c>
      <c r="BD51" s="129">
        <v>5.646E-3</v>
      </c>
      <c r="BE51" s="129">
        <v>8.8570000000000003E-3</v>
      </c>
      <c r="BF51" s="129">
        <v>4.045E-3</v>
      </c>
      <c r="BG51" s="130">
        <v>4.6900000000000002E-4</v>
      </c>
      <c r="BH51" s="130">
        <v>3.2299999999999999E-4</v>
      </c>
      <c r="BI51" s="130">
        <v>3.7199999999999999E-4</v>
      </c>
      <c r="BJ51" s="130">
        <v>3.2299999999999999E-4</v>
      </c>
      <c r="BK51" s="130">
        <v>2.8299999999999999E-4</v>
      </c>
    </row>
    <row r="52" spans="1:63">
      <c r="A52">
        <f t="shared" si="1"/>
        <v>49</v>
      </c>
      <c r="B52" t="s">
        <v>109</v>
      </c>
      <c r="C52" t="str">
        <f>INDEX(EPD_Measures,3)</f>
        <v>Eutrophication potential</v>
      </c>
      <c r="D52" t="str">
        <f>INDEX(EPD_Calc_Units,3)</f>
        <v>kg</v>
      </c>
      <c r="E52" s="123" t="e">
        <f>NA()</f>
        <v>#N/A</v>
      </c>
      <c r="F52" s="123" t="e">
        <f>NA()</f>
        <v>#N/A</v>
      </c>
      <c r="G52" s="123">
        <v>1.8300000000000001E-6</v>
      </c>
      <c r="H52" s="123">
        <v>2.4499999999999998E-6</v>
      </c>
      <c r="I52" s="123">
        <v>1.8233200000000001E-6</v>
      </c>
      <c r="J52" s="123">
        <v>2.4499999999999998E-6</v>
      </c>
      <c r="K52" s="123"/>
      <c r="L52" s="123"/>
      <c r="M52" s="123">
        <v>0</v>
      </c>
      <c r="N52" s="123">
        <v>0</v>
      </c>
      <c r="O52" s="123">
        <v>0</v>
      </c>
      <c r="P52" s="123">
        <f>'Supplemental LCA Data'!$AC$47</f>
        <v>1.9624831959085375E-4</v>
      </c>
      <c r="Q52" s="123">
        <f>'Supplemental LCA Data'!$AD$47</f>
        <v>4.226795252829316E-5</v>
      </c>
      <c r="R52" s="123">
        <f>'Supplemental LCA Data'!$AE$47</f>
        <v>8.7898401280121123E-4</v>
      </c>
      <c r="S52" s="123">
        <f>'Supplemental LCA Data'!$AF$47</f>
        <v>0.24926944204227258</v>
      </c>
      <c r="T52" s="123">
        <f>'Supplemental LCA Data'!$AG$47</f>
        <v>4.226795252829316E-5</v>
      </c>
      <c r="U52" s="123">
        <f>'Supplemental LCA Data'!$AH$47</f>
        <v>5.0085842055944255E-2</v>
      </c>
      <c r="V52" s="123"/>
      <c r="W52" s="123"/>
      <c r="X52" s="123"/>
      <c r="Y52" s="123"/>
      <c r="Z52" s="123"/>
      <c r="AA52" s="123"/>
      <c r="AB52" s="123"/>
      <c r="AC52" s="123"/>
      <c r="AD52" s="123"/>
      <c r="AE52" s="123"/>
      <c r="AF52" s="123"/>
      <c r="AG52" s="123"/>
      <c r="AH52" s="123"/>
      <c r="AI52" s="123"/>
      <c r="AJ52" s="123"/>
      <c r="AK52" s="123"/>
      <c r="AL52" s="123"/>
      <c r="AM52" s="123">
        <v>0</v>
      </c>
      <c r="AN52" s="123">
        <v>0</v>
      </c>
      <c r="AO52" s="123">
        <v>0</v>
      </c>
      <c r="AP52" s="316">
        <v>0</v>
      </c>
      <c r="AQ52" s="316">
        <v>0</v>
      </c>
      <c r="AR52" s="316">
        <v>0</v>
      </c>
      <c r="AS52" s="316">
        <v>0</v>
      </c>
      <c r="AT52" s="316">
        <v>0</v>
      </c>
      <c r="AU52" s="316">
        <v>0</v>
      </c>
      <c r="AV52" s="129">
        <v>4.4085300000000001E-7</v>
      </c>
      <c r="AW52" s="129"/>
      <c r="AX52" s="129"/>
      <c r="AY52" s="129"/>
      <c r="AZ52" s="129"/>
      <c r="BA52" s="129">
        <v>4.0302700000000003E-5</v>
      </c>
      <c r="BB52" s="129">
        <v>1.722E-3</v>
      </c>
      <c r="BC52" s="129">
        <v>2.05E-4</v>
      </c>
      <c r="BD52" s="129">
        <v>3.9599999999999998E-4</v>
      </c>
      <c r="BE52" s="129">
        <v>6.0300000000000002E-4</v>
      </c>
      <c r="BF52" s="129">
        <v>2.8299999999999999E-4</v>
      </c>
      <c r="BG52" s="130">
        <v>3.0800000000000003E-5</v>
      </c>
      <c r="BH52" s="130">
        <v>2.1500000000000001E-5</v>
      </c>
      <c r="BI52" s="130">
        <v>2.3799999999999999E-5</v>
      </c>
      <c r="BJ52" s="130">
        <v>2.0699999999999998E-5</v>
      </c>
      <c r="BK52" s="130">
        <v>1.8300000000000001E-5</v>
      </c>
    </row>
    <row r="53" spans="1:63">
      <c r="A53">
        <f t="shared" si="1"/>
        <v>50</v>
      </c>
      <c r="B53" t="s">
        <v>109</v>
      </c>
      <c r="C53" t="str">
        <f>INDEX(EPD_Measures,4)</f>
        <v>Smog creation potential</v>
      </c>
      <c r="D53" t="str">
        <f>INDEX(EPD_Calc_Units,4)</f>
        <v>kg</v>
      </c>
      <c r="E53" s="123" t="e">
        <f>NA()</f>
        <v>#N/A</v>
      </c>
      <c r="F53" s="123" t="e">
        <f>NA()</f>
        <v>#N/A</v>
      </c>
      <c r="G53" s="123">
        <v>9.6900000000000003E-4</v>
      </c>
      <c r="H53" s="123">
        <v>1.142E-3</v>
      </c>
      <c r="I53" s="123">
        <v>9.6778000000000001E-4</v>
      </c>
      <c r="J53" s="123">
        <v>1.142E-3</v>
      </c>
      <c r="K53" s="123"/>
      <c r="L53" s="123"/>
      <c r="M53" s="123">
        <v>0</v>
      </c>
      <c r="N53" s="123">
        <v>0</v>
      </c>
      <c r="O53" s="123">
        <v>0</v>
      </c>
      <c r="P53" s="123">
        <f>'Supplemental LCA Data'!$AC$48</f>
        <v>8.7017595456788718E-3</v>
      </c>
      <c r="Q53" s="123">
        <f>'Supplemental LCA Data'!$AD$48</f>
        <v>1.3524104726696053E-2</v>
      </c>
      <c r="R53" s="123">
        <f>'Supplemental LCA Data'!$AE$48</f>
        <v>5.7241581200289861E-2</v>
      </c>
      <c r="S53" s="123">
        <f>'Supplemental LCA Data'!$AF$48</f>
        <v>43.192743848068233</v>
      </c>
      <c r="T53" s="123">
        <f>'Supplemental LCA Data'!$AG$48</f>
        <v>1.3524104726696053E-2</v>
      </c>
      <c r="U53" s="123">
        <f>'Supplemental LCA Data'!$AH$48</f>
        <v>8.6571470796535195</v>
      </c>
      <c r="V53" s="123"/>
      <c r="W53" s="123"/>
      <c r="X53" s="123"/>
      <c r="Y53" s="123"/>
      <c r="Z53" s="123"/>
      <c r="AA53" s="123"/>
      <c r="AB53" s="123"/>
      <c r="AC53" s="123"/>
      <c r="AD53" s="123"/>
      <c r="AE53" s="123"/>
      <c r="AF53" s="123"/>
      <c r="AG53" s="123"/>
      <c r="AH53" s="123"/>
      <c r="AI53" s="123"/>
      <c r="AJ53" s="123"/>
      <c r="AK53" s="123"/>
      <c r="AL53" s="123"/>
      <c r="AM53" s="123">
        <v>0</v>
      </c>
      <c r="AN53" s="123">
        <v>0</v>
      </c>
      <c r="AO53" s="123">
        <v>0</v>
      </c>
      <c r="AP53" s="316">
        <v>0</v>
      </c>
      <c r="AQ53" s="316">
        <v>0</v>
      </c>
      <c r="AR53" s="316">
        <v>0</v>
      </c>
      <c r="AS53" s="316">
        <v>0</v>
      </c>
      <c r="AT53" s="316">
        <v>0</v>
      </c>
      <c r="AU53" s="316">
        <v>0</v>
      </c>
      <c r="AV53" s="129">
        <v>1.99874E-4</v>
      </c>
      <c r="AW53" s="129"/>
      <c r="AX53" s="129"/>
      <c r="AY53" s="129"/>
      <c r="AZ53" s="129"/>
      <c r="BA53" s="129">
        <v>0.241503051</v>
      </c>
      <c r="BB53" s="129">
        <v>0.90166400000000002</v>
      </c>
      <c r="BC53" s="129">
        <v>5.2539000000000002E-2</v>
      </c>
      <c r="BD53" s="129">
        <v>0.13974</v>
      </c>
      <c r="BE53" s="129">
        <v>0.24854699999999999</v>
      </c>
      <c r="BF53" s="129">
        <v>0.10738499999999999</v>
      </c>
      <c r="BG53" s="130">
        <v>1.5133000000000001E-2</v>
      </c>
      <c r="BH53" s="130">
        <v>1.0231000000000001E-2</v>
      </c>
      <c r="BI53" s="130">
        <v>1.2799E-2</v>
      </c>
      <c r="BJ53" s="130">
        <v>1.1180000000000001E-2</v>
      </c>
      <c r="BK53" s="130">
        <v>9.5029999999999993E-3</v>
      </c>
    </row>
    <row r="54" spans="1:63">
      <c r="A54">
        <f t="shared" si="1"/>
        <v>51</v>
      </c>
      <c r="B54" t="s">
        <v>109</v>
      </c>
      <c r="C54" t="str">
        <f>INDEX(EPD_Measures,5)</f>
        <v>Ozone depletion potential</v>
      </c>
      <c r="D54" t="str">
        <f>INDEX(EPD_Calc_Units,5)</f>
        <v>kg</v>
      </c>
      <c r="E54" s="123" t="e">
        <f>NA()</f>
        <v>#N/A</v>
      </c>
      <c r="F54" s="123" t="e">
        <f>NA()</f>
        <v>#N/A</v>
      </c>
      <c r="G54" s="123">
        <v>9.1399999999999994E-14</v>
      </c>
      <c r="H54" s="123">
        <v>9.67E-11</v>
      </c>
      <c r="I54" s="123">
        <v>9.0952400000000003E-14</v>
      </c>
      <c r="J54" s="123">
        <v>9.67E-11</v>
      </c>
      <c r="K54" s="123"/>
      <c r="L54" s="123"/>
      <c r="M54" s="123">
        <v>0</v>
      </c>
      <c r="N54" s="123">
        <v>0</v>
      </c>
      <c r="O54" s="123">
        <v>0</v>
      </c>
      <c r="P54" s="123">
        <f>'Supplemental LCA Data'!$AC$49</f>
        <v>4.817994588850506E-10</v>
      </c>
      <c r="Q54" s="123">
        <f>'Supplemental LCA Data'!$AD$49</f>
        <v>0</v>
      </c>
      <c r="R54" s="123">
        <f>'Supplemental LCA Data'!$AE$49</f>
        <v>2.4089972944252421E-9</v>
      </c>
      <c r="S54" s="123">
        <f>'Supplemental LCA Data'!$AF$49</f>
        <v>3.2599963386576577E-9</v>
      </c>
      <c r="T54" s="123">
        <f>'Supplemental LCA Data'!$AG$49</f>
        <v>0</v>
      </c>
      <c r="U54" s="123">
        <f>'Supplemental LCA Data'!$AH$49</f>
        <v>1.2301586183935901E-9</v>
      </c>
      <c r="V54" s="123"/>
      <c r="W54" s="123"/>
      <c r="X54" s="123"/>
      <c r="Y54" s="123"/>
      <c r="Z54" s="123"/>
      <c r="AA54" s="123"/>
      <c r="AB54" s="123"/>
      <c r="AC54" s="123"/>
      <c r="AD54" s="123"/>
      <c r="AE54" s="123"/>
      <c r="AF54" s="123"/>
      <c r="AG54" s="123"/>
      <c r="AH54" s="123"/>
      <c r="AI54" s="123"/>
      <c r="AJ54" s="123"/>
      <c r="AK54" s="123"/>
      <c r="AL54" s="123"/>
      <c r="AM54" s="123">
        <v>0</v>
      </c>
      <c r="AN54" s="123">
        <v>0</v>
      </c>
      <c r="AO54" s="123">
        <v>0</v>
      </c>
      <c r="AP54" s="316">
        <v>0</v>
      </c>
      <c r="AQ54" s="316">
        <v>0</v>
      </c>
      <c r="AR54" s="316">
        <v>0</v>
      </c>
      <c r="AS54" s="316">
        <v>0</v>
      </c>
      <c r="AT54" s="316">
        <v>0</v>
      </c>
      <c r="AU54" s="316">
        <v>0</v>
      </c>
      <c r="AV54" s="129">
        <v>8.0019600000000005E-14</v>
      </c>
      <c r="AW54" s="129"/>
      <c r="AX54" s="129"/>
      <c r="AY54" s="129"/>
      <c r="AZ54" s="129"/>
      <c r="BA54" s="129">
        <v>9.58911E-14</v>
      </c>
      <c r="BB54" s="129">
        <v>1.16E-10</v>
      </c>
      <c r="BC54" s="129">
        <v>1.6799999999999999E-12</v>
      </c>
      <c r="BD54" s="129">
        <v>1.2999999999999999E-10</v>
      </c>
      <c r="BE54" s="129">
        <v>1.41E-10</v>
      </c>
      <c r="BF54" s="129">
        <v>8.1099999999999997E-11</v>
      </c>
      <c r="BG54" s="130">
        <v>3.5300000000000001E-12</v>
      </c>
      <c r="BH54" s="130">
        <v>3.1599999999999999E-12</v>
      </c>
      <c r="BI54" s="130">
        <v>8.4099999999999995E-13</v>
      </c>
      <c r="BJ54" s="130">
        <v>6.9599999999999996E-13</v>
      </c>
      <c r="BK54" s="130">
        <v>1.2499999999999999E-12</v>
      </c>
    </row>
    <row r="55" spans="1:63">
      <c r="A55">
        <f t="shared" si="1"/>
        <v>52</v>
      </c>
      <c r="B55" t="s">
        <v>109</v>
      </c>
      <c r="C55" t="str">
        <f>INDEX(EPD_Measures,6)</f>
        <v>Total primary energy consumption</v>
      </c>
      <c r="D55" t="str">
        <f>INDEX(EPD_Calc_Units,6)</f>
        <v>MJ</v>
      </c>
      <c r="E55" s="123" t="e">
        <f>NA()</f>
        <v>#N/A</v>
      </c>
      <c r="F55" s="123" t="e">
        <f>NA()</f>
        <v>#N/A</v>
      </c>
      <c r="G55" s="123">
        <v>6.8849999999999995E-2</v>
      </c>
      <c r="H55" s="123">
        <v>5.3215999999999999E-2</v>
      </c>
      <c r="I55" s="123">
        <v>4.4757621999999997E-2</v>
      </c>
      <c r="J55" s="123">
        <v>5.3215999999999999E-2</v>
      </c>
      <c r="K55" s="123">
        <v>0</v>
      </c>
      <c r="L55" s="123">
        <v>0</v>
      </c>
      <c r="M55" s="123">
        <v>0</v>
      </c>
      <c r="N55" s="123">
        <v>0</v>
      </c>
      <c r="O55" s="123">
        <v>0</v>
      </c>
      <c r="P55" s="123">
        <f>'Supplemental LCA Data'!$AC$50</f>
        <v>2.099997641465547</v>
      </c>
      <c r="Q55" s="123">
        <f>'Supplemental LCA Data'!$AD$50</f>
        <v>4.5999948336864307</v>
      </c>
      <c r="R55" s="123">
        <f>'Supplemental LCA Data'!$AE$50</f>
        <v>22.799974393054555</v>
      </c>
      <c r="S55" s="123">
        <f>'Supplemental LCA Data'!$AF$50</f>
        <v>18.299979447056902</v>
      </c>
      <c r="T55" s="123">
        <f>'Supplemental LCA Data'!$AG$50</f>
        <v>4.5999948336864307</v>
      </c>
      <c r="U55" s="123">
        <f>'Supplemental LCA Data'!$AH$50</f>
        <v>10.479988229789974</v>
      </c>
      <c r="V55" s="123">
        <v>57.506173091793869</v>
      </c>
      <c r="W55" s="123">
        <f>'Supplemental LCA Data'!$B$72/1000</f>
        <v>17.379305548594214</v>
      </c>
      <c r="X55" s="123">
        <f>'Supplemental LCA Data'!$C$72/1000</f>
        <v>21.115558668452628</v>
      </c>
      <c r="Y55" s="123">
        <f>'Supplemental LCA Data'!$D$72/1000</f>
        <v>25.458767950129285</v>
      </c>
      <c r="Z55" s="123">
        <f t="shared" si="3"/>
        <v>19.117236103453639</v>
      </c>
      <c r="AA55" s="123">
        <v>0</v>
      </c>
      <c r="AB55" s="123">
        <v>0</v>
      </c>
      <c r="AC55" s="123">
        <f t="shared" si="2"/>
        <v>17.379305548594214</v>
      </c>
      <c r="AD55" s="123">
        <v>0</v>
      </c>
      <c r="AE55" s="123">
        <v>0</v>
      </c>
      <c r="AF55" s="123">
        <v>0</v>
      </c>
      <c r="AG55" s="123">
        <v>111.41336281293017</v>
      </c>
      <c r="AH55" s="123">
        <v>96.934631722060175</v>
      </c>
      <c r="AI55" s="123">
        <v>3.4310468673118439</v>
      </c>
      <c r="AJ55" s="123">
        <v>7.079849022399789</v>
      </c>
      <c r="AK55" s="123">
        <v>88.609789579499989</v>
      </c>
      <c r="AL55" s="123">
        <v>75.869011043824344</v>
      </c>
      <c r="AM55" s="123">
        <v>0</v>
      </c>
      <c r="AN55" s="123">
        <v>0</v>
      </c>
      <c r="AO55" s="123">
        <v>0</v>
      </c>
      <c r="AP55" s="316">
        <v>0</v>
      </c>
      <c r="AQ55" s="316">
        <v>0</v>
      </c>
      <c r="AR55" s="316">
        <v>0</v>
      </c>
      <c r="AS55" s="316">
        <v>0</v>
      </c>
      <c r="AT55" s="316">
        <v>0</v>
      </c>
      <c r="AU55" s="316">
        <v>0</v>
      </c>
      <c r="AV55" s="129">
        <v>4.0153733699999998</v>
      </c>
      <c r="AW55" s="129">
        <v>3.6</v>
      </c>
      <c r="AX55" s="129">
        <v>3.6</v>
      </c>
      <c r="AY55" s="129">
        <v>3.6</v>
      </c>
      <c r="AZ55" s="129">
        <v>3.6</v>
      </c>
      <c r="BA55" s="129">
        <v>3.4579025999999999E-2</v>
      </c>
      <c r="BB55" s="129">
        <v>41.990099999999998</v>
      </c>
      <c r="BC55" s="129">
        <v>43.209249999999997</v>
      </c>
      <c r="BD55" s="129">
        <v>46.983649999999997</v>
      </c>
      <c r="BE55" s="129">
        <v>51.126690000000004</v>
      </c>
      <c r="BF55" s="129">
        <v>29.343319999999999</v>
      </c>
      <c r="BG55" s="130">
        <v>1.2783040000000001</v>
      </c>
      <c r="BH55" s="130">
        <v>1.14236</v>
      </c>
      <c r="BI55" s="130">
        <v>0.30436299999999999</v>
      </c>
      <c r="BJ55" s="130">
        <v>0.25176399999999999</v>
      </c>
      <c r="BK55" s="130">
        <v>0.45051000000000002</v>
      </c>
    </row>
    <row r="56" spans="1:63">
      <c r="A56">
        <f t="shared" si="1"/>
        <v>53</v>
      </c>
      <c r="B56" t="s">
        <v>109</v>
      </c>
      <c r="C56" t="str">
        <f>INDEX(EPD_Measures,7)</f>
        <v>Nonrenewable energy resources</v>
      </c>
      <c r="D56" t="str">
        <f>INDEX(EPD_Calc_Units,7)</f>
        <v>MJ</v>
      </c>
      <c r="E56" s="123" t="e">
        <f>NA()</f>
        <v>#N/A</v>
      </c>
      <c r="F56" s="123" t="e">
        <f>NA()</f>
        <v>#N/A</v>
      </c>
      <c r="G56" s="123">
        <v>3.3184999999999999E-2</v>
      </c>
      <c r="H56" s="123">
        <v>4.1317E-2</v>
      </c>
      <c r="I56" s="123">
        <v>3.2869351999999998E-2</v>
      </c>
      <c r="J56" s="123">
        <v>4.1317E-2</v>
      </c>
      <c r="K56" s="123"/>
      <c r="L56" s="123"/>
      <c r="M56" s="123">
        <v>0</v>
      </c>
      <c r="N56" s="123">
        <v>0</v>
      </c>
      <c r="O56" s="123">
        <v>0</v>
      </c>
      <c r="P56" s="123">
        <f>'Supplemental LCA Data'!$AC$51</f>
        <v>2.099997641465547</v>
      </c>
      <c r="Q56" s="123">
        <f>'Supplemental LCA Data'!$AD$51</f>
        <v>4.5999948336864307</v>
      </c>
      <c r="R56" s="123">
        <f>'Supplemental LCA Data'!$AE$51</f>
        <v>22.799974393054555</v>
      </c>
      <c r="S56" s="123">
        <f>'Supplemental LCA Data'!$AF$51</f>
        <v>18.299979447056902</v>
      </c>
      <c r="T56" s="123">
        <f>'Supplemental LCA Data'!$AG$51</f>
        <v>4.5999948336864307</v>
      </c>
      <c r="U56" s="123">
        <f>'Supplemental LCA Data'!$AH$51</f>
        <v>10.479988229789974</v>
      </c>
      <c r="V56" s="123"/>
      <c r="W56" s="123"/>
      <c r="X56" s="123"/>
      <c r="Y56" s="123"/>
      <c r="Z56" s="123"/>
      <c r="AA56" s="123"/>
      <c r="AB56" s="123"/>
      <c r="AC56" s="123"/>
      <c r="AD56" s="123"/>
      <c r="AE56" s="123"/>
      <c r="AF56" s="123"/>
      <c r="AG56" s="123"/>
      <c r="AH56" s="123"/>
      <c r="AI56" s="123"/>
      <c r="AJ56" s="123"/>
      <c r="AK56" s="123"/>
      <c r="AL56" s="123"/>
      <c r="AM56" s="123">
        <v>0</v>
      </c>
      <c r="AN56" s="123">
        <v>0</v>
      </c>
      <c r="AO56" s="123">
        <v>0</v>
      </c>
      <c r="AP56" s="316">
        <v>0</v>
      </c>
      <c r="AQ56" s="316">
        <v>0</v>
      </c>
      <c r="AR56" s="316">
        <v>0</v>
      </c>
      <c r="AS56" s="316">
        <v>0</v>
      </c>
      <c r="AT56" s="316">
        <v>0</v>
      </c>
      <c r="AU56" s="316">
        <v>0</v>
      </c>
      <c r="AV56" s="129">
        <v>5.2616546E-2</v>
      </c>
      <c r="AW56" s="129"/>
      <c r="AX56" s="129"/>
      <c r="AY56" s="129"/>
      <c r="AZ56" s="129"/>
      <c r="BA56" s="129">
        <v>3.4579025999999999E-2</v>
      </c>
      <c r="BB56" s="129">
        <v>41.929009999999998</v>
      </c>
      <c r="BC56" s="129">
        <v>43.189610000000002</v>
      </c>
      <c r="BD56" s="129">
        <v>46.915320000000001</v>
      </c>
      <c r="BE56" s="129">
        <v>51.052590000000002</v>
      </c>
      <c r="BF56" s="129">
        <v>29.300560000000001</v>
      </c>
      <c r="BG56" s="130">
        <v>1.276451</v>
      </c>
      <c r="BH56" s="130">
        <v>1.1407039999999999</v>
      </c>
      <c r="BI56" s="130">
        <v>0.303921</v>
      </c>
      <c r="BJ56" s="130">
        <v>0.25139899999999998</v>
      </c>
      <c r="BK56" s="130">
        <v>0.44985700000000001</v>
      </c>
    </row>
    <row r="57" spans="1:63">
      <c r="A57">
        <f t="shared" si="1"/>
        <v>54</v>
      </c>
      <c r="B57" t="s">
        <v>109</v>
      </c>
      <c r="C57" t="str">
        <f>INDEX(EPD_Measures,8)</f>
        <v>Renewable energy resources</v>
      </c>
      <c r="D57" t="str">
        <f>INDEX(EPD_Calc_Units,8)</f>
        <v>MJ</v>
      </c>
      <c r="E57" s="123" t="e">
        <f>NA()</f>
        <v>#N/A</v>
      </c>
      <c r="F57" s="123" t="e">
        <f>NA()</f>
        <v>#N/A</v>
      </c>
      <c r="G57" s="123">
        <v>3.5665000000000002E-2</v>
      </c>
      <c r="H57" s="123">
        <v>1.1899E-2</v>
      </c>
      <c r="I57" s="123">
        <v>1.1888269999999999E-2</v>
      </c>
      <c r="J57" s="123">
        <v>1.1899E-2</v>
      </c>
      <c r="K57" s="123"/>
      <c r="L57" s="123"/>
      <c r="M57" s="123">
        <v>0</v>
      </c>
      <c r="N57" s="123">
        <v>0</v>
      </c>
      <c r="O57" s="123">
        <v>0</v>
      </c>
      <c r="P57" s="123">
        <f>'Supplemental LCA Data'!$AC$52</f>
        <v>0</v>
      </c>
      <c r="Q57" s="123">
        <f>'Supplemental LCA Data'!$AD$52</f>
        <v>0</v>
      </c>
      <c r="R57" s="123">
        <f>'Supplemental LCA Data'!$AE$52</f>
        <v>0</v>
      </c>
      <c r="S57" s="123">
        <f>'Supplemental LCA Data'!$AF$52</f>
        <v>0</v>
      </c>
      <c r="T57" s="123">
        <f>'Supplemental LCA Data'!$AG$52</f>
        <v>0</v>
      </c>
      <c r="U57" s="123">
        <f>'Supplemental LCA Data'!$AH$52</f>
        <v>0</v>
      </c>
      <c r="V57" s="123"/>
      <c r="W57" s="123"/>
      <c r="X57" s="123"/>
      <c r="Y57" s="123"/>
      <c r="Z57" s="123"/>
      <c r="AA57" s="123"/>
      <c r="AB57" s="123"/>
      <c r="AC57" s="123"/>
      <c r="AD57" s="123"/>
      <c r="AE57" s="123"/>
      <c r="AF57" s="123"/>
      <c r="AG57" s="123"/>
      <c r="AH57" s="123"/>
      <c r="AI57" s="123"/>
      <c r="AJ57" s="123"/>
      <c r="AK57" s="123"/>
      <c r="AL57" s="123"/>
      <c r="AM57" s="123">
        <v>0</v>
      </c>
      <c r="AN57" s="123">
        <v>0</v>
      </c>
      <c r="AO57" s="123">
        <v>0</v>
      </c>
      <c r="AP57" s="316">
        <v>0</v>
      </c>
      <c r="AQ57" s="316">
        <v>0</v>
      </c>
      <c r="AR57" s="316">
        <v>0</v>
      </c>
      <c r="AS57" s="316">
        <v>0</v>
      </c>
      <c r="AT57" s="316">
        <v>0</v>
      </c>
      <c r="AU57" s="316">
        <v>0</v>
      </c>
      <c r="AV57" s="129">
        <v>3.9627568229999999</v>
      </c>
      <c r="AW57" s="129"/>
      <c r="AX57" s="129"/>
      <c r="AY57" s="129"/>
      <c r="AZ57" s="129"/>
      <c r="BA57" s="129">
        <v>0</v>
      </c>
      <c r="BB57" s="129">
        <v>6.1093000000000001E-2</v>
      </c>
      <c r="BC57" s="129">
        <v>1.9647000000000001E-2</v>
      </c>
      <c r="BD57" s="129">
        <v>6.8331000000000003E-2</v>
      </c>
      <c r="BE57" s="129">
        <v>7.4106000000000005E-2</v>
      </c>
      <c r="BF57" s="129">
        <v>4.2762000000000001E-2</v>
      </c>
      <c r="BG57" s="130">
        <v>1.853E-3</v>
      </c>
      <c r="BH57" s="130">
        <v>1.6559999999999999E-3</v>
      </c>
      <c r="BI57" s="130">
        <v>4.4099999999999999E-4</v>
      </c>
      <c r="BJ57" s="130">
        <v>3.6499999999999998E-4</v>
      </c>
      <c r="BK57" s="130">
        <v>6.5300000000000004E-4</v>
      </c>
    </row>
    <row r="58" spans="1:63">
      <c r="A58">
        <f t="shared" si="1"/>
        <v>55</v>
      </c>
      <c r="B58" t="s">
        <v>109</v>
      </c>
      <c r="C58" t="str">
        <f>INDEX(EPD_Measures,9)</f>
        <v>Material resources consumption</v>
      </c>
      <c r="D58" t="str">
        <f>INDEX(EPD_Calc_Units,9)</f>
        <v>kg</v>
      </c>
      <c r="E58" s="123" t="e">
        <f>NA()</f>
        <v>#N/A</v>
      </c>
      <c r="F58" s="123" t="e">
        <f>NA()</f>
        <v>#N/A</v>
      </c>
      <c r="G58" s="123">
        <v>1.0000015600000001</v>
      </c>
      <c r="H58" s="123">
        <v>1.0000021111778816</v>
      </c>
      <c r="I58" s="123">
        <v>1.0000015600000001</v>
      </c>
      <c r="J58" s="123">
        <v>1.0000021111778816</v>
      </c>
      <c r="K58" s="123"/>
      <c r="L58" s="123"/>
      <c r="M58" s="123">
        <v>0</v>
      </c>
      <c r="N58" s="123">
        <v>0</v>
      </c>
      <c r="O58" s="123">
        <v>0</v>
      </c>
      <c r="P58" s="123">
        <f>'Supplemental LCA Data'!$AC$53</f>
        <v>0</v>
      </c>
      <c r="Q58" s="123">
        <f>'Supplemental LCA Data'!$AD$53</f>
        <v>0</v>
      </c>
      <c r="R58" s="123">
        <f>'Supplemental LCA Data'!$AE$53</f>
        <v>0</v>
      </c>
      <c r="S58" s="123">
        <f>'Supplemental LCA Data'!$AF$53</f>
        <v>0</v>
      </c>
      <c r="T58" s="123">
        <f>'Supplemental LCA Data'!$AG$53</f>
        <v>0</v>
      </c>
      <c r="U58" s="123">
        <f>'Supplemental LCA Data'!$AH$53</f>
        <v>0</v>
      </c>
      <c r="V58" s="123"/>
      <c r="W58" s="123"/>
      <c r="X58" s="123"/>
      <c r="Y58" s="123"/>
      <c r="Z58" s="123"/>
      <c r="AA58" s="123"/>
      <c r="AB58" s="123"/>
      <c r="AC58" s="123"/>
      <c r="AD58" s="123"/>
      <c r="AE58" s="123"/>
      <c r="AF58" s="123"/>
      <c r="AG58" s="123"/>
      <c r="AH58" s="123"/>
      <c r="AI58" s="123"/>
      <c r="AJ58" s="123"/>
      <c r="AK58" s="123"/>
      <c r="AL58" s="123"/>
      <c r="AM58" s="123">
        <v>0</v>
      </c>
      <c r="AN58" s="123">
        <v>0</v>
      </c>
      <c r="AO58" s="123">
        <v>0</v>
      </c>
      <c r="AP58" s="316">
        <v>0</v>
      </c>
      <c r="AQ58" s="316">
        <v>0</v>
      </c>
      <c r="AR58" s="316">
        <v>0</v>
      </c>
      <c r="AS58" s="316">
        <v>0</v>
      </c>
      <c r="AT58" s="316">
        <v>0</v>
      </c>
      <c r="AU58" s="316">
        <v>0</v>
      </c>
      <c r="AV58" s="129">
        <v>0</v>
      </c>
      <c r="AW58" s="129"/>
      <c r="AX58" s="129"/>
      <c r="AY58" s="129"/>
      <c r="AZ58" s="129"/>
      <c r="BA58" s="129">
        <v>0.84323164500000003</v>
      </c>
      <c r="BB58" s="129">
        <v>0</v>
      </c>
      <c r="BC58" s="129">
        <v>0</v>
      </c>
      <c r="BD58" s="129">
        <v>0</v>
      </c>
      <c r="BE58" s="129">
        <v>0</v>
      </c>
      <c r="BF58" s="129">
        <v>0</v>
      </c>
      <c r="BG58" s="130">
        <v>0</v>
      </c>
      <c r="BH58" s="130">
        <v>0</v>
      </c>
      <c r="BI58" s="130">
        <v>0</v>
      </c>
      <c r="BJ58" s="130">
        <v>0</v>
      </c>
      <c r="BK58" s="130">
        <v>0</v>
      </c>
    </row>
    <row r="59" spans="1:63">
      <c r="A59">
        <f t="shared" si="1"/>
        <v>56</v>
      </c>
      <c r="B59" t="s">
        <v>109</v>
      </c>
      <c r="C59" t="str">
        <f>INDEX(EPD_Measures,10)</f>
        <v>Nonrenewable material resources</v>
      </c>
      <c r="D59" t="str">
        <f>INDEX(EPD_Calc_Units,10)</f>
        <v>kg</v>
      </c>
      <c r="E59" s="123" t="e">
        <f>NA()</f>
        <v>#N/A</v>
      </c>
      <c r="F59" s="123" t="e">
        <f>NA()</f>
        <v>#N/A</v>
      </c>
      <c r="G59" s="123">
        <v>1</v>
      </c>
      <c r="H59" s="123">
        <v>1.0000001919173316</v>
      </c>
      <c r="I59" s="123">
        <v>1</v>
      </c>
      <c r="J59" s="123">
        <v>1.0000001919173316</v>
      </c>
      <c r="K59" s="123"/>
      <c r="L59" s="123"/>
      <c r="M59" s="123">
        <v>0</v>
      </c>
      <c r="N59" s="123">
        <v>0</v>
      </c>
      <c r="O59" s="123">
        <v>0</v>
      </c>
      <c r="P59" s="123">
        <f>'Supplemental LCA Data'!$AC$54</f>
        <v>0</v>
      </c>
      <c r="Q59" s="123">
        <f>'Supplemental LCA Data'!$AD$54</f>
        <v>0</v>
      </c>
      <c r="R59" s="123">
        <f>'Supplemental LCA Data'!$AE$54</f>
        <v>0</v>
      </c>
      <c r="S59" s="123">
        <f>'Supplemental LCA Data'!$AF$54</f>
        <v>0</v>
      </c>
      <c r="T59" s="123">
        <f>'Supplemental LCA Data'!$AG$54</f>
        <v>0</v>
      </c>
      <c r="U59" s="123">
        <f>'Supplemental LCA Data'!$AH$54</f>
        <v>0</v>
      </c>
      <c r="V59" s="123"/>
      <c r="W59" s="123"/>
      <c r="X59" s="123"/>
      <c r="Y59" s="123"/>
      <c r="Z59" s="123"/>
      <c r="AA59" s="123"/>
      <c r="AB59" s="123"/>
      <c r="AC59" s="123"/>
      <c r="AD59" s="123"/>
      <c r="AE59" s="123"/>
      <c r="AF59" s="123"/>
      <c r="AG59" s="123"/>
      <c r="AH59" s="123"/>
      <c r="AI59" s="123"/>
      <c r="AJ59" s="123"/>
      <c r="AK59" s="123"/>
      <c r="AL59" s="123"/>
      <c r="AM59" s="123">
        <v>0</v>
      </c>
      <c r="AN59" s="123">
        <v>0</v>
      </c>
      <c r="AO59" s="123">
        <v>0</v>
      </c>
      <c r="AP59" s="316">
        <v>0</v>
      </c>
      <c r="AQ59" s="316">
        <v>0</v>
      </c>
      <c r="AR59" s="316">
        <v>0</v>
      </c>
      <c r="AS59" s="316">
        <v>0</v>
      </c>
      <c r="AT59" s="316">
        <v>0</v>
      </c>
      <c r="AU59" s="316">
        <v>0</v>
      </c>
      <c r="AV59" s="129">
        <v>0</v>
      </c>
      <c r="AW59" s="129"/>
      <c r="AX59" s="129"/>
      <c r="AY59" s="129"/>
      <c r="AZ59" s="129"/>
      <c r="BA59" s="129">
        <v>0</v>
      </c>
      <c r="BB59" s="129">
        <v>0</v>
      </c>
      <c r="BC59" s="129">
        <v>0</v>
      </c>
      <c r="BD59" s="129">
        <v>0</v>
      </c>
      <c r="BE59" s="129">
        <v>0</v>
      </c>
      <c r="BF59" s="129">
        <v>0</v>
      </c>
      <c r="BG59" s="130">
        <v>0</v>
      </c>
      <c r="BH59" s="130">
        <v>0</v>
      </c>
      <c r="BI59" s="130">
        <v>0</v>
      </c>
      <c r="BJ59" s="130">
        <v>0</v>
      </c>
      <c r="BK59" s="130">
        <v>0</v>
      </c>
    </row>
    <row r="60" spans="1:63">
      <c r="A60">
        <f t="shared" si="1"/>
        <v>57</v>
      </c>
      <c r="B60" t="s">
        <v>109</v>
      </c>
      <c r="C60" t="str">
        <f>INDEX(EPD_Measures,11)</f>
        <v>Renewable material resources</v>
      </c>
      <c r="D60" t="str">
        <f>INDEX(EPD_Calc_Units,11)</f>
        <v>kg</v>
      </c>
      <c r="E60" s="123" t="e">
        <f>NA()</f>
        <v>#N/A</v>
      </c>
      <c r="F60" s="123" t="e">
        <f>NA()</f>
        <v>#N/A</v>
      </c>
      <c r="G60" s="123">
        <v>1.5600000000000001E-6</v>
      </c>
      <c r="H60" s="123">
        <v>1.9192605499999998E-6</v>
      </c>
      <c r="I60" s="123">
        <v>1.5600000000000001E-6</v>
      </c>
      <c r="J60" s="123">
        <v>1.9192605499999998E-6</v>
      </c>
      <c r="K60" s="123"/>
      <c r="L60" s="123"/>
      <c r="M60" s="123">
        <v>0</v>
      </c>
      <c r="N60" s="123">
        <v>0</v>
      </c>
      <c r="O60" s="123">
        <v>0</v>
      </c>
      <c r="P60" s="123">
        <f>'Supplemental LCA Data'!$AC$55</f>
        <v>0</v>
      </c>
      <c r="Q60" s="123">
        <f>'Supplemental LCA Data'!$AD$55</f>
        <v>0</v>
      </c>
      <c r="R60" s="123">
        <f>'Supplemental LCA Data'!$AE$55</f>
        <v>0</v>
      </c>
      <c r="S60" s="123">
        <f>'Supplemental LCA Data'!$AF$55</f>
        <v>0</v>
      </c>
      <c r="T60" s="123">
        <f>'Supplemental LCA Data'!$AG$55</f>
        <v>0</v>
      </c>
      <c r="U60" s="123">
        <f>'Supplemental LCA Data'!$AH$55</f>
        <v>0</v>
      </c>
      <c r="V60" s="123"/>
      <c r="W60" s="123"/>
      <c r="X60" s="123"/>
      <c r="Y60" s="123"/>
      <c r="Z60" s="123"/>
      <c r="AA60" s="123"/>
      <c r="AB60" s="123"/>
      <c r="AC60" s="123"/>
      <c r="AD60" s="123"/>
      <c r="AE60" s="123"/>
      <c r="AF60" s="123"/>
      <c r="AG60" s="123"/>
      <c r="AH60" s="123"/>
      <c r="AI60" s="123"/>
      <c r="AJ60" s="123"/>
      <c r="AK60" s="123"/>
      <c r="AL60" s="123"/>
      <c r="AM60" s="123">
        <v>0</v>
      </c>
      <c r="AN60" s="123">
        <v>0</v>
      </c>
      <c r="AO60" s="123">
        <v>0</v>
      </c>
      <c r="AP60" s="316">
        <v>0</v>
      </c>
      <c r="AQ60" s="316">
        <v>0</v>
      </c>
      <c r="AR60" s="316">
        <v>0</v>
      </c>
      <c r="AS60" s="316">
        <v>0</v>
      </c>
      <c r="AT60" s="316">
        <v>0</v>
      </c>
      <c r="AU60" s="316">
        <v>0</v>
      </c>
      <c r="AV60" s="129">
        <v>0</v>
      </c>
      <c r="AW60" s="129"/>
      <c r="AX60" s="129"/>
      <c r="AY60" s="129"/>
      <c r="AZ60" s="129"/>
      <c r="BA60" s="129">
        <v>0.84323164500000003</v>
      </c>
      <c r="BB60" s="129">
        <v>0</v>
      </c>
      <c r="BC60" s="129">
        <v>0</v>
      </c>
      <c r="BD60" s="129">
        <v>0</v>
      </c>
      <c r="BE60" s="129">
        <v>0</v>
      </c>
      <c r="BF60" s="129">
        <v>0</v>
      </c>
      <c r="BG60" s="130">
        <v>0</v>
      </c>
      <c r="BH60" s="130">
        <v>0</v>
      </c>
      <c r="BI60" s="130">
        <v>0</v>
      </c>
      <c r="BJ60" s="130">
        <v>0</v>
      </c>
      <c r="BK60" s="130">
        <v>0</v>
      </c>
    </row>
    <row r="61" spans="1:63">
      <c r="A61">
        <f t="shared" si="1"/>
        <v>58</v>
      </c>
      <c r="B61" t="s">
        <v>109</v>
      </c>
      <c r="C61" t="str">
        <f>INDEX(EPD_Measures,12)</f>
        <v>Net Fresh Water</v>
      </c>
      <c r="D61" t="str">
        <f>INDEX(EPD_Calc_Units,12)</f>
        <v>m3</v>
      </c>
      <c r="E61" s="123" t="e">
        <f>NA()</f>
        <v>#N/A</v>
      </c>
      <c r="F61" s="123" t="e">
        <f>NA()</f>
        <v>#N/A</v>
      </c>
      <c r="G61" s="123">
        <f>$G$1+0</f>
        <v>6.7500000000000004E-4</v>
      </c>
      <c r="H61" s="123">
        <f>$G$1+0.000000717</f>
        <v>6.7571700000000005E-4</v>
      </c>
      <c r="I61" s="123">
        <f>$G$1+0</f>
        <v>6.7500000000000004E-4</v>
      </c>
      <c r="J61" s="123">
        <f>$G$1+0.000000717</f>
        <v>6.7571700000000005E-4</v>
      </c>
      <c r="K61" s="123">
        <v>0</v>
      </c>
      <c r="L61" s="123">
        <v>0</v>
      </c>
      <c r="M61" s="123">
        <v>0</v>
      </c>
      <c r="N61" s="123">
        <v>0</v>
      </c>
      <c r="O61" s="123">
        <v>0</v>
      </c>
      <c r="P61" s="123">
        <f>'Supplemental LCA Data'!$AC$56</f>
        <v>0</v>
      </c>
      <c r="Q61" s="123">
        <f>'Supplemental LCA Data'!$AD$56</f>
        <v>0</v>
      </c>
      <c r="R61" s="123">
        <f>'Supplemental LCA Data'!$AE$56</f>
        <v>0</v>
      </c>
      <c r="S61" s="123">
        <f>'Supplemental LCA Data'!$AF$56</f>
        <v>0</v>
      </c>
      <c r="T61" s="123">
        <f>'Supplemental LCA Data'!$AG$56</f>
        <v>0</v>
      </c>
      <c r="U61" s="123">
        <f>'Supplemental LCA Data'!$AH$56</f>
        <v>0</v>
      </c>
      <c r="V61" s="123">
        <v>0.11500386618134965</v>
      </c>
      <c r="W61" s="123">
        <f>'Supplemental LCA Data'!$B$73/1000/1000</f>
        <v>1.3732079207907059E-2</v>
      </c>
      <c r="X61" s="123">
        <f>'Supplemental LCA Data'!$C$73/1000/1000</f>
        <v>1.389655434006113E-2</v>
      </c>
      <c r="Y61" s="123">
        <f>'Supplemental LCA Data'!$D$73/1000/1000</f>
        <v>1.4675578391799121E-2</v>
      </c>
      <c r="Z61" s="123">
        <f t="shared" si="3"/>
        <v>1.5105287128697766E-2</v>
      </c>
      <c r="AA61" s="123">
        <v>0</v>
      </c>
      <c r="AB61" s="123">
        <v>0</v>
      </c>
      <c r="AC61" s="123">
        <f t="shared" si="2"/>
        <v>1.3732079207907059E-2</v>
      </c>
      <c r="AD61" s="123">
        <v>0</v>
      </c>
      <c r="AE61" s="123">
        <v>0</v>
      </c>
      <c r="AF61" s="123">
        <v>0</v>
      </c>
      <c r="AG61" s="123">
        <v>6.6615854003756548E-4</v>
      </c>
      <c r="AH61" s="123">
        <v>8.5599624991234465E-3</v>
      </c>
      <c r="AI61" s="123">
        <v>3.5226266152208971E-4</v>
      </c>
      <c r="AJ61" s="123">
        <v>3.9507938615937904E-3</v>
      </c>
      <c r="AK61" s="123">
        <v>7.4033158500000001E-2</v>
      </c>
      <c r="AL61" s="123">
        <v>0</v>
      </c>
      <c r="AM61" s="123">
        <v>0</v>
      </c>
      <c r="AN61" s="123">
        <v>0</v>
      </c>
      <c r="AO61" s="123">
        <v>0</v>
      </c>
      <c r="AP61" s="316">
        <v>0</v>
      </c>
      <c r="AQ61" s="316">
        <v>0</v>
      </c>
      <c r="AR61" s="316">
        <v>0</v>
      </c>
      <c r="AS61" s="316">
        <v>0</v>
      </c>
      <c r="AT61" s="316">
        <v>0</v>
      </c>
      <c r="AU61" s="316">
        <v>0</v>
      </c>
      <c r="AV61" s="129">
        <v>0</v>
      </c>
      <c r="AW61" s="129">
        <v>0</v>
      </c>
      <c r="AX61" s="129">
        <v>0</v>
      </c>
      <c r="AY61" s="129">
        <v>0</v>
      </c>
      <c r="AZ61" s="129">
        <v>0</v>
      </c>
      <c r="BA61" s="129">
        <v>0</v>
      </c>
      <c r="BB61" s="129">
        <v>0</v>
      </c>
      <c r="BC61" s="129">
        <v>0</v>
      </c>
      <c r="BD61" s="129">
        <v>0</v>
      </c>
      <c r="BE61" s="129">
        <v>0</v>
      </c>
      <c r="BF61" s="129">
        <v>0</v>
      </c>
      <c r="BG61" s="130">
        <v>0</v>
      </c>
      <c r="BH61" s="130">
        <v>0</v>
      </c>
      <c r="BI61" s="130">
        <v>0</v>
      </c>
      <c r="BJ61" s="130">
        <v>0</v>
      </c>
      <c r="BK61" s="130">
        <v>0</v>
      </c>
    </row>
    <row r="62" spans="1:63">
      <c r="A62">
        <f t="shared" si="1"/>
        <v>59</v>
      </c>
      <c r="B62" t="s">
        <v>109</v>
      </c>
      <c r="C62" t="str">
        <f>INDEX(EPD_Measures,13)</f>
        <v>Non-hazardous waste generated</v>
      </c>
      <c r="D62" t="str">
        <f>INDEX(EPD_Calc_Units,13)</f>
        <v>kg</v>
      </c>
      <c r="E62" s="123" t="e">
        <f>NA()</f>
        <v>#N/A</v>
      </c>
      <c r="F62" s="123" t="e">
        <f>NA()</f>
        <v>#N/A</v>
      </c>
      <c r="G62" s="123">
        <v>0</v>
      </c>
      <c r="H62" s="123">
        <v>0</v>
      </c>
      <c r="I62" s="123">
        <v>0</v>
      </c>
      <c r="J62" s="123">
        <v>0</v>
      </c>
      <c r="K62" s="123"/>
      <c r="L62" s="123"/>
      <c r="M62" s="123">
        <v>0</v>
      </c>
      <c r="N62" s="123">
        <v>0</v>
      </c>
      <c r="O62" s="123">
        <v>0</v>
      </c>
      <c r="P62" s="123">
        <f>'Supplemental LCA Data'!$AC$57</f>
        <v>0</v>
      </c>
      <c r="Q62" s="123">
        <f>'Supplemental LCA Data'!$AD$57</f>
        <v>0</v>
      </c>
      <c r="R62" s="123">
        <f>'Supplemental LCA Data'!$AE$57</f>
        <v>0</v>
      </c>
      <c r="S62" s="123">
        <f>'Supplemental LCA Data'!$AF$57</f>
        <v>0</v>
      </c>
      <c r="T62" s="123">
        <f>'Supplemental LCA Data'!$AG$57</f>
        <v>0</v>
      </c>
      <c r="U62" s="123">
        <f>'Supplemental LCA Data'!$AH$57</f>
        <v>0</v>
      </c>
      <c r="V62" s="123"/>
      <c r="W62" s="123"/>
      <c r="X62" s="123"/>
      <c r="Y62" s="123"/>
      <c r="Z62" s="123"/>
      <c r="AA62" s="123"/>
      <c r="AB62" s="123"/>
      <c r="AC62" s="123"/>
      <c r="AD62" s="123"/>
      <c r="AE62" s="123"/>
      <c r="AF62" s="123"/>
      <c r="AG62" s="123"/>
      <c r="AH62" s="123"/>
      <c r="AI62" s="123"/>
      <c r="AJ62" s="123"/>
      <c r="AK62" s="123"/>
      <c r="AL62" s="123"/>
      <c r="AM62" s="123">
        <v>0</v>
      </c>
      <c r="AN62" s="123">
        <v>0</v>
      </c>
      <c r="AO62" s="123">
        <v>0</v>
      </c>
      <c r="AP62" s="316">
        <v>0</v>
      </c>
      <c r="AQ62" s="316">
        <v>0</v>
      </c>
      <c r="AR62" s="316">
        <v>0</v>
      </c>
      <c r="AS62" s="316">
        <v>0</v>
      </c>
      <c r="AT62" s="316">
        <v>0</v>
      </c>
      <c r="AU62" s="316">
        <v>0</v>
      </c>
      <c r="AV62" s="129">
        <v>0</v>
      </c>
      <c r="AW62" s="129"/>
      <c r="AX62" s="129"/>
      <c r="AY62" s="129"/>
      <c r="AZ62" s="129"/>
      <c r="BA62" s="129">
        <v>0</v>
      </c>
      <c r="BB62" s="129">
        <v>0</v>
      </c>
      <c r="BC62" s="129">
        <v>0</v>
      </c>
      <c r="BD62" s="129">
        <v>0</v>
      </c>
      <c r="BE62" s="129">
        <v>0</v>
      </c>
      <c r="BF62" s="129">
        <v>0</v>
      </c>
      <c r="BG62" s="130">
        <v>0</v>
      </c>
      <c r="BH62" s="130">
        <v>0</v>
      </c>
      <c r="BI62" s="130">
        <v>0</v>
      </c>
      <c r="BJ62" s="130">
        <v>0</v>
      </c>
      <c r="BK62" s="130">
        <v>0</v>
      </c>
    </row>
    <row r="63" spans="1:63">
      <c r="A63">
        <f t="shared" si="1"/>
        <v>60</v>
      </c>
      <c r="B63" t="s">
        <v>109</v>
      </c>
      <c r="C63" t="str">
        <f>INDEX(EPD_Measures,14)</f>
        <v>Hazardous waste generated</v>
      </c>
      <c r="D63" t="str">
        <f>INDEX(EPD_Calc_Units,14)</f>
        <v>kg</v>
      </c>
      <c r="E63" s="123" t="e">
        <f>NA()</f>
        <v>#N/A</v>
      </c>
      <c r="F63" s="123" t="e">
        <f>NA()</f>
        <v>#N/A</v>
      </c>
      <c r="G63" s="123">
        <v>0</v>
      </c>
      <c r="H63" s="123">
        <v>0</v>
      </c>
      <c r="I63" s="123">
        <v>0</v>
      </c>
      <c r="J63" s="123">
        <v>0</v>
      </c>
      <c r="K63" s="123"/>
      <c r="L63" s="123"/>
      <c r="M63" s="123">
        <v>0</v>
      </c>
      <c r="N63" s="123">
        <v>0</v>
      </c>
      <c r="O63" s="123">
        <v>0</v>
      </c>
      <c r="P63" s="123">
        <f>'Supplemental LCA Data'!$AC$58</f>
        <v>0</v>
      </c>
      <c r="Q63" s="123">
        <f>'Supplemental LCA Data'!$AD$58</f>
        <v>0</v>
      </c>
      <c r="R63" s="123">
        <f>'Supplemental LCA Data'!$AE$58</f>
        <v>0</v>
      </c>
      <c r="S63" s="123">
        <f>'Supplemental LCA Data'!$AF$58</f>
        <v>0</v>
      </c>
      <c r="T63" s="123">
        <f>'Supplemental LCA Data'!$AG$58</f>
        <v>0</v>
      </c>
      <c r="U63" s="123">
        <f>'Supplemental LCA Data'!$AH$58</f>
        <v>0</v>
      </c>
      <c r="V63" s="123"/>
      <c r="W63" s="123"/>
      <c r="X63" s="123"/>
      <c r="Y63" s="123"/>
      <c r="Z63" s="123"/>
      <c r="AA63" s="123"/>
      <c r="AB63" s="123"/>
      <c r="AC63" s="123"/>
      <c r="AD63" s="123"/>
      <c r="AE63" s="123"/>
      <c r="AF63" s="123"/>
      <c r="AG63" s="123"/>
      <c r="AH63" s="123"/>
      <c r="AI63" s="123"/>
      <c r="AJ63" s="123"/>
      <c r="AK63" s="123"/>
      <c r="AL63" s="123"/>
      <c r="AM63" s="123">
        <v>0</v>
      </c>
      <c r="AN63" s="123">
        <v>0</v>
      </c>
      <c r="AO63" s="123">
        <v>0</v>
      </c>
      <c r="AP63" s="316">
        <v>0</v>
      </c>
      <c r="AQ63" s="316">
        <v>0</v>
      </c>
      <c r="AR63" s="316">
        <v>0</v>
      </c>
      <c r="AS63" s="316">
        <v>0</v>
      </c>
      <c r="AT63" s="316">
        <v>0</v>
      </c>
      <c r="AU63" s="316">
        <v>0</v>
      </c>
      <c r="AV63" s="129">
        <v>0</v>
      </c>
      <c r="AW63" s="129"/>
      <c r="AX63" s="129"/>
      <c r="AY63" s="129"/>
      <c r="AZ63" s="129"/>
      <c r="BA63" s="129">
        <v>0</v>
      </c>
      <c r="BB63" s="129">
        <v>0</v>
      </c>
      <c r="BC63" s="129">
        <v>0</v>
      </c>
      <c r="BD63" s="129">
        <v>0</v>
      </c>
      <c r="BE63" s="129">
        <v>0</v>
      </c>
      <c r="BF63" s="129">
        <v>0</v>
      </c>
      <c r="BG63" s="130">
        <v>0</v>
      </c>
      <c r="BH63" s="130">
        <v>0</v>
      </c>
      <c r="BI63" s="130">
        <v>0</v>
      </c>
      <c r="BJ63" s="130">
        <v>0</v>
      </c>
      <c r="BK63" s="130">
        <v>0</v>
      </c>
    </row>
    <row r="64" spans="1:63">
      <c r="A64" s="112">
        <f t="shared" si="1"/>
        <v>61</v>
      </c>
      <c r="B64" s="112" t="s">
        <v>111</v>
      </c>
      <c r="C64" s="112" t="str">
        <f>INDEX(EPD_Measures,1)</f>
        <v>Global warming potential (GWP)</v>
      </c>
      <c r="D64" s="112" t="str">
        <f>INDEX(EPD_Calc_Units,1)</f>
        <v>kg</v>
      </c>
      <c r="E64" s="123" t="e">
        <f>NA()</f>
        <v>#N/A</v>
      </c>
      <c r="F64" s="123" t="e">
        <f>NA()</f>
        <v>#N/A</v>
      </c>
      <c r="G64" s="123">
        <v>8.1089999999999999E-3</v>
      </c>
      <c r="H64" s="123">
        <v>4.738E-3</v>
      </c>
      <c r="I64" s="123">
        <v>4.1709529999999998E-3</v>
      </c>
      <c r="J64" s="123">
        <v>4.738E-3</v>
      </c>
      <c r="K64" s="123">
        <v>0</v>
      </c>
      <c r="L64" s="123">
        <v>0</v>
      </c>
      <c r="M64" s="123">
        <v>0</v>
      </c>
      <c r="N64" s="123">
        <v>0</v>
      </c>
      <c r="O64" s="123">
        <v>0</v>
      </c>
      <c r="P64" s="123">
        <f>'Supplemental LCA Data'!$AC$45</f>
        <v>0.10406360712476165</v>
      </c>
      <c r="Q64" s="123">
        <f>'Supplemental LCA Data'!$AD$45</f>
        <v>0.22949974224587316</v>
      </c>
      <c r="R64" s="123">
        <f>'Supplemental LCA Data'!$AE$45</f>
        <v>1.2625032020663256</v>
      </c>
      <c r="S64" s="123">
        <f>'Supplemental LCA Data'!$AF$45</f>
        <v>0.76998593521882752</v>
      </c>
      <c r="T64" s="123">
        <f>'Supplemental LCA Data'!$AG$45</f>
        <v>0.22949974224587316</v>
      </c>
      <c r="U64" s="123">
        <f>'Supplemental LCA Data'!$AH$45</f>
        <v>0.51911044578033227</v>
      </c>
      <c r="V64" s="123">
        <v>2.9429471121354829</v>
      </c>
      <c r="W64" s="123">
        <f>'Supplemental LCA Data'!$B$71/1000</f>
        <v>0.89195544554366246</v>
      </c>
      <c r="X64" s="123">
        <f>'Supplemental LCA Data'!$C$71/1000</f>
        <v>1.0380563118652284</v>
      </c>
      <c r="Y64" s="123">
        <f>'Supplemental LCA Data'!$D$71/1000</f>
        <v>1.5012328955993122</v>
      </c>
      <c r="Z64" s="123">
        <f t="shared" si="3"/>
        <v>0.98115099009802875</v>
      </c>
      <c r="AA64" s="123">
        <v>0</v>
      </c>
      <c r="AB64" s="123">
        <v>0</v>
      </c>
      <c r="AC64" s="123">
        <f t="shared" si="2"/>
        <v>0.89195544554366246</v>
      </c>
      <c r="AD64" s="123">
        <v>0</v>
      </c>
      <c r="AE64" s="123">
        <v>0</v>
      </c>
      <c r="AF64" s="123">
        <v>0</v>
      </c>
      <c r="AG64" s="123">
        <v>3.3162413704963716</v>
      </c>
      <c r="AH64" s="123">
        <v>9.0789952164299699</v>
      </c>
      <c r="AI64" s="123">
        <v>0.2453477255455345</v>
      </c>
      <c r="AJ64" s="123">
        <v>0.3279493299762562</v>
      </c>
      <c r="AK64" s="123">
        <v>4.6408478655656005</v>
      </c>
      <c r="AL64" s="123">
        <v>0.92461248966214149</v>
      </c>
      <c r="AM64" s="123">
        <v>0</v>
      </c>
      <c r="AN64" s="123">
        <v>0</v>
      </c>
      <c r="AO64" s="123">
        <v>0</v>
      </c>
      <c r="AP64" s="316">
        <v>0</v>
      </c>
      <c r="AQ64" s="316">
        <v>0</v>
      </c>
      <c r="AR64" s="316">
        <v>0</v>
      </c>
      <c r="AS64" s="316">
        <v>0</v>
      </c>
      <c r="AT64" s="316">
        <v>0</v>
      </c>
      <c r="AU64" s="316">
        <v>0</v>
      </c>
      <c r="AV64" s="129">
        <v>0.65634066700000004</v>
      </c>
      <c r="AW64" s="129">
        <v>0</v>
      </c>
      <c r="AX64" s="129">
        <v>0</v>
      </c>
      <c r="AY64" s="129">
        <v>0</v>
      </c>
      <c r="AZ64" s="129">
        <v>0</v>
      </c>
      <c r="BA64" s="129">
        <v>4.5765858E-2</v>
      </c>
      <c r="BB64" s="129">
        <v>2.529973</v>
      </c>
      <c r="BC64" s="129">
        <v>2.4438970000000002</v>
      </c>
      <c r="BD64" s="129">
        <v>3.1787649999999998</v>
      </c>
      <c r="BE64" s="129">
        <v>3.7603420000000001</v>
      </c>
      <c r="BF64" s="129">
        <v>2.0422280000000002</v>
      </c>
      <c r="BG64" s="130">
        <v>9.2743999999999993E-2</v>
      </c>
      <c r="BH64" s="130">
        <v>7.3523000000000005E-2</v>
      </c>
      <c r="BI64" s="130">
        <v>2.2027999999999999E-2</v>
      </c>
      <c r="BJ64" s="130">
        <v>1.8526999999999998E-2</v>
      </c>
      <c r="BK64" s="130">
        <v>3.3079999999999998E-2</v>
      </c>
    </row>
    <row r="65" spans="1:63">
      <c r="A65">
        <f t="shared" si="1"/>
        <v>62</v>
      </c>
      <c r="B65" t="s">
        <v>111</v>
      </c>
      <c r="C65" t="str">
        <f>INDEX(EPD_Measures,2)</f>
        <v>Acidification potential</v>
      </c>
      <c r="D65" t="str">
        <f>INDEX(EPD_Calc_Units,2)</f>
        <v>kg</v>
      </c>
      <c r="E65" s="123" t="e">
        <f>NA()</f>
        <v>#N/A</v>
      </c>
      <c r="F65" s="123" t="e">
        <f>NA()</f>
        <v>#N/A</v>
      </c>
      <c r="G65" s="123">
        <v>6.6799999999999997E-5</v>
      </c>
      <c r="H65" s="123">
        <v>4.8300000000000002E-5</v>
      </c>
      <c r="I65" s="123">
        <v>4.25633E-5</v>
      </c>
      <c r="J65" s="123">
        <v>4.8300000000000002E-5</v>
      </c>
      <c r="K65" s="123"/>
      <c r="L65" s="123"/>
      <c r="M65" s="123">
        <v>0</v>
      </c>
      <c r="N65" s="123">
        <v>0</v>
      </c>
      <c r="O65" s="123">
        <v>0</v>
      </c>
      <c r="P65" s="123">
        <f>'Supplemental LCA Data'!$AC$46</f>
        <v>5.7703135192831948E-4</v>
      </c>
      <c r="Q65" s="123">
        <f>'Supplemental LCA Data'!$AD$46</f>
        <v>1.2139986365417917E-3</v>
      </c>
      <c r="R65" s="123">
        <f>'Supplemental LCA Data'!$AE$46</f>
        <v>4.7483946670140312E-3</v>
      </c>
      <c r="S65" s="123">
        <f>'Supplemental LCA Data'!$AF$46</f>
        <v>3.9528555604969102</v>
      </c>
      <c r="T65" s="123">
        <f>'Supplemental LCA Data'!$AG$46</f>
        <v>1.2139986365417917E-3</v>
      </c>
      <c r="U65" s="123">
        <f>'Supplemental LCA Data'!$AH$46</f>
        <v>0.79212179675778727</v>
      </c>
      <c r="V65" s="123"/>
      <c r="W65" s="123"/>
      <c r="X65" s="123"/>
      <c r="Y65" s="123"/>
      <c r="Z65" s="123"/>
      <c r="AA65" s="123"/>
      <c r="AB65" s="123"/>
      <c r="AC65" s="123"/>
      <c r="AD65" s="123"/>
      <c r="AE65" s="123"/>
      <c r="AF65" s="123"/>
      <c r="AG65" s="123"/>
      <c r="AH65" s="123"/>
      <c r="AI65" s="123"/>
      <c r="AJ65" s="123"/>
      <c r="AK65" s="123"/>
      <c r="AL65" s="123"/>
      <c r="AM65" s="123">
        <v>0</v>
      </c>
      <c r="AN65" s="123">
        <v>0</v>
      </c>
      <c r="AO65" s="123">
        <v>0</v>
      </c>
      <c r="AP65" s="316">
        <v>0</v>
      </c>
      <c r="AQ65" s="316">
        <v>0</v>
      </c>
      <c r="AR65" s="316">
        <v>0</v>
      </c>
      <c r="AS65" s="316">
        <v>0</v>
      </c>
      <c r="AT65" s="316">
        <v>0</v>
      </c>
      <c r="AU65" s="316">
        <v>0</v>
      </c>
      <c r="AV65" s="129">
        <v>4.0355920000000002E-3</v>
      </c>
      <c r="AW65" s="129"/>
      <c r="AX65" s="129"/>
      <c r="AY65" s="129"/>
      <c r="AZ65" s="129"/>
      <c r="BA65" s="129">
        <v>8.3965400000000001E-4</v>
      </c>
      <c r="BB65" s="129">
        <v>2.6606000000000001E-2</v>
      </c>
      <c r="BC65" s="129">
        <v>2.0861000000000001E-2</v>
      </c>
      <c r="BD65" s="129">
        <v>5.646E-3</v>
      </c>
      <c r="BE65" s="129">
        <v>8.8570000000000003E-3</v>
      </c>
      <c r="BF65" s="129">
        <v>4.045E-3</v>
      </c>
      <c r="BG65" s="130">
        <v>4.6900000000000002E-4</v>
      </c>
      <c r="BH65" s="130">
        <v>3.2299999999999999E-4</v>
      </c>
      <c r="BI65" s="130">
        <v>3.7199999999999999E-4</v>
      </c>
      <c r="BJ65" s="130">
        <v>3.2299999999999999E-4</v>
      </c>
      <c r="BK65" s="130">
        <v>2.8299999999999999E-4</v>
      </c>
    </row>
    <row r="66" spans="1:63">
      <c r="A66">
        <f t="shared" si="1"/>
        <v>63</v>
      </c>
      <c r="B66" t="s">
        <v>111</v>
      </c>
      <c r="C66" t="str">
        <f>INDEX(EPD_Measures,3)</f>
        <v>Eutrophication potential</v>
      </c>
      <c r="D66" t="str">
        <f>INDEX(EPD_Calc_Units,3)</f>
        <v>kg</v>
      </c>
      <c r="E66" s="123" t="e">
        <f>NA()</f>
        <v>#N/A</v>
      </c>
      <c r="F66" s="123" t="e">
        <f>NA()</f>
        <v>#N/A</v>
      </c>
      <c r="G66" s="123">
        <v>2.5299999999999999E-6</v>
      </c>
      <c r="H66" s="123">
        <v>2.6800000000000002E-6</v>
      </c>
      <c r="I66" s="123">
        <v>2.0564700000000001E-6</v>
      </c>
      <c r="J66" s="123">
        <v>2.6800000000000002E-6</v>
      </c>
      <c r="K66" s="123"/>
      <c r="L66" s="123"/>
      <c r="M66" s="123">
        <v>0</v>
      </c>
      <c r="N66" s="123">
        <v>0</v>
      </c>
      <c r="O66" s="123">
        <v>0</v>
      </c>
      <c r="P66" s="123">
        <f>'Supplemental LCA Data'!$AC$47</f>
        <v>1.9624831959085375E-4</v>
      </c>
      <c r="Q66" s="123">
        <f>'Supplemental LCA Data'!$AD$47</f>
        <v>4.226795252829316E-5</v>
      </c>
      <c r="R66" s="123">
        <f>'Supplemental LCA Data'!$AE$47</f>
        <v>8.7898401280121123E-4</v>
      </c>
      <c r="S66" s="123">
        <f>'Supplemental LCA Data'!$AF$47</f>
        <v>0.24926944204227258</v>
      </c>
      <c r="T66" s="123">
        <f>'Supplemental LCA Data'!$AG$47</f>
        <v>4.226795252829316E-5</v>
      </c>
      <c r="U66" s="123">
        <f>'Supplemental LCA Data'!$AH$47</f>
        <v>5.0085842055944255E-2</v>
      </c>
      <c r="V66" s="123"/>
      <c r="W66" s="123"/>
      <c r="X66" s="123"/>
      <c r="Y66" s="123"/>
      <c r="Z66" s="123"/>
      <c r="AA66" s="123"/>
      <c r="AB66" s="123"/>
      <c r="AC66" s="123"/>
      <c r="AD66" s="123"/>
      <c r="AE66" s="123"/>
      <c r="AF66" s="123"/>
      <c r="AG66" s="123"/>
      <c r="AH66" s="123"/>
      <c r="AI66" s="123"/>
      <c r="AJ66" s="123"/>
      <c r="AK66" s="123"/>
      <c r="AL66" s="123"/>
      <c r="AM66" s="123">
        <v>0</v>
      </c>
      <c r="AN66" s="123">
        <v>0</v>
      </c>
      <c r="AO66" s="123">
        <v>0</v>
      </c>
      <c r="AP66" s="316">
        <v>0</v>
      </c>
      <c r="AQ66" s="316">
        <v>0</v>
      </c>
      <c r="AR66" s="316">
        <v>0</v>
      </c>
      <c r="AS66" s="316">
        <v>0</v>
      </c>
      <c r="AT66" s="316">
        <v>0</v>
      </c>
      <c r="AU66" s="316">
        <v>0</v>
      </c>
      <c r="AV66" s="129">
        <v>7.8156600000000003E-5</v>
      </c>
      <c r="AW66" s="129"/>
      <c r="AX66" s="129"/>
      <c r="AY66" s="129"/>
      <c r="AZ66" s="129"/>
      <c r="BA66" s="129">
        <v>4.0302700000000003E-5</v>
      </c>
      <c r="BB66" s="129">
        <v>1.722E-3</v>
      </c>
      <c r="BC66" s="129">
        <v>2.05E-4</v>
      </c>
      <c r="BD66" s="129">
        <v>3.9599999999999998E-4</v>
      </c>
      <c r="BE66" s="129">
        <v>6.0300000000000002E-4</v>
      </c>
      <c r="BF66" s="129">
        <v>2.8299999999999999E-4</v>
      </c>
      <c r="BG66" s="130">
        <v>3.0800000000000003E-5</v>
      </c>
      <c r="BH66" s="130">
        <v>2.1500000000000001E-5</v>
      </c>
      <c r="BI66" s="130">
        <v>2.3799999999999999E-5</v>
      </c>
      <c r="BJ66" s="130">
        <v>2.0699999999999998E-5</v>
      </c>
      <c r="BK66" s="130">
        <v>1.8300000000000001E-5</v>
      </c>
    </row>
    <row r="67" spans="1:63">
      <c r="A67">
        <f t="shared" si="1"/>
        <v>64</v>
      </c>
      <c r="B67" t="s">
        <v>111</v>
      </c>
      <c r="C67" t="str">
        <f>INDEX(EPD_Measures,4)</f>
        <v>Smog creation potential</v>
      </c>
      <c r="D67" t="str">
        <f>INDEX(EPD_Calc_Units,4)</f>
        <v>kg</v>
      </c>
      <c r="E67" s="123" t="e">
        <f>NA()</f>
        <v>#N/A</v>
      </c>
      <c r="F67" s="123" t="e">
        <f>NA()</f>
        <v>#N/A</v>
      </c>
      <c r="G67" s="123">
        <v>1.273E-3</v>
      </c>
      <c r="H67" s="123">
        <v>1.243E-3</v>
      </c>
      <c r="I67" s="123">
        <v>1.06927E-3</v>
      </c>
      <c r="J67" s="123">
        <v>1.243E-3</v>
      </c>
      <c r="K67" s="123"/>
      <c r="L67" s="123"/>
      <c r="M67" s="123">
        <v>0</v>
      </c>
      <c r="N67" s="123">
        <v>0</v>
      </c>
      <c r="O67" s="123">
        <v>0</v>
      </c>
      <c r="P67" s="123">
        <f>'Supplemental LCA Data'!$AC$48</f>
        <v>8.7017595456788718E-3</v>
      </c>
      <c r="Q67" s="123">
        <f>'Supplemental LCA Data'!$AD$48</f>
        <v>1.3524104726696053E-2</v>
      </c>
      <c r="R67" s="123">
        <f>'Supplemental LCA Data'!$AE$48</f>
        <v>5.7241581200289861E-2</v>
      </c>
      <c r="S67" s="123">
        <f>'Supplemental LCA Data'!$AF$48</f>
        <v>43.192743848068233</v>
      </c>
      <c r="T67" s="123">
        <f>'Supplemental LCA Data'!$AG$48</f>
        <v>1.3524104726696053E-2</v>
      </c>
      <c r="U67" s="123">
        <f>'Supplemental LCA Data'!$AH$48</f>
        <v>8.6571470796535195</v>
      </c>
      <c r="V67" s="123"/>
      <c r="W67" s="123"/>
      <c r="X67" s="123"/>
      <c r="Y67" s="123"/>
      <c r="Z67" s="123"/>
      <c r="AA67" s="123"/>
      <c r="AB67" s="123"/>
      <c r="AC67" s="123"/>
      <c r="AD67" s="123"/>
      <c r="AE67" s="123"/>
      <c r="AF67" s="123"/>
      <c r="AG67" s="123"/>
      <c r="AH67" s="123"/>
      <c r="AI67" s="123"/>
      <c r="AJ67" s="123"/>
      <c r="AK67" s="123"/>
      <c r="AL67" s="123"/>
      <c r="AM67" s="123">
        <v>0</v>
      </c>
      <c r="AN67" s="123">
        <v>0</v>
      </c>
      <c r="AO67" s="123">
        <v>0</v>
      </c>
      <c r="AP67" s="316">
        <v>0</v>
      </c>
      <c r="AQ67" s="316">
        <v>0</v>
      </c>
      <c r="AR67" s="316">
        <v>0</v>
      </c>
      <c r="AS67" s="316">
        <v>0</v>
      </c>
      <c r="AT67" s="316">
        <v>0</v>
      </c>
      <c r="AU67" s="316">
        <v>0</v>
      </c>
      <c r="AV67" s="129">
        <v>3.4029939000000002E-2</v>
      </c>
      <c r="AW67" s="129"/>
      <c r="AX67" s="129"/>
      <c r="AY67" s="129"/>
      <c r="AZ67" s="129"/>
      <c r="BA67" s="129">
        <v>0.241503051</v>
      </c>
      <c r="BB67" s="129">
        <v>0.90166400000000002</v>
      </c>
      <c r="BC67" s="129">
        <v>5.2539000000000002E-2</v>
      </c>
      <c r="BD67" s="129">
        <v>0.13974</v>
      </c>
      <c r="BE67" s="129">
        <v>0.24854699999999999</v>
      </c>
      <c r="BF67" s="129">
        <v>0.10738499999999999</v>
      </c>
      <c r="BG67" s="130">
        <v>1.5133000000000001E-2</v>
      </c>
      <c r="BH67" s="130">
        <v>1.0231000000000001E-2</v>
      </c>
      <c r="BI67" s="130">
        <v>1.2799E-2</v>
      </c>
      <c r="BJ67" s="130">
        <v>1.1180000000000001E-2</v>
      </c>
      <c r="BK67" s="130">
        <v>9.5029999999999993E-3</v>
      </c>
    </row>
    <row r="68" spans="1:63">
      <c r="A68">
        <f t="shared" si="1"/>
        <v>65</v>
      </c>
      <c r="B68" t="s">
        <v>111</v>
      </c>
      <c r="C68" t="str">
        <f>INDEX(EPD_Measures,5)</f>
        <v>Ozone depletion potential</v>
      </c>
      <c r="D68" t="str">
        <f>INDEX(EPD_Calc_Units,5)</f>
        <v>kg</v>
      </c>
      <c r="E68" s="123" t="e">
        <f>NA()</f>
        <v>#N/A</v>
      </c>
      <c r="F68" s="123" t="e">
        <f>NA()</f>
        <v>#N/A</v>
      </c>
      <c r="G68" s="123">
        <v>2.2799999999999999E-13</v>
      </c>
      <c r="H68" s="123">
        <v>9.6800000000000004E-11</v>
      </c>
      <c r="I68" s="123">
        <v>1.3641E-13</v>
      </c>
      <c r="J68" s="123">
        <v>9.6800000000000004E-11</v>
      </c>
      <c r="K68" s="123"/>
      <c r="L68" s="123"/>
      <c r="M68" s="123">
        <v>0</v>
      </c>
      <c r="N68" s="123">
        <v>0</v>
      </c>
      <c r="O68" s="123">
        <v>0</v>
      </c>
      <c r="P68" s="123">
        <f>'Supplemental LCA Data'!$AC$49</f>
        <v>4.817994588850506E-10</v>
      </c>
      <c r="Q68" s="123">
        <f>'Supplemental LCA Data'!$AD$49</f>
        <v>0</v>
      </c>
      <c r="R68" s="123">
        <f>'Supplemental LCA Data'!$AE$49</f>
        <v>2.4089972944252421E-9</v>
      </c>
      <c r="S68" s="123">
        <f>'Supplemental LCA Data'!$AF$49</f>
        <v>3.2599963386576577E-9</v>
      </c>
      <c r="T68" s="123">
        <f>'Supplemental LCA Data'!$AG$49</f>
        <v>0</v>
      </c>
      <c r="U68" s="123">
        <f>'Supplemental LCA Data'!$AH$49</f>
        <v>1.2301586183935901E-9</v>
      </c>
      <c r="V68" s="123"/>
      <c r="W68" s="123"/>
      <c r="X68" s="123"/>
      <c r="Y68" s="123"/>
      <c r="Z68" s="123"/>
      <c r="AA68" s="123"/>
      <c r="AB68" s="123"/>
      <c r="AC68" s="123"/>
      <c r="AD68" s="123"/>
      <c r="AE68" s="123"/>
      <c r="AF68" s="123"/>
      <c r="AG68" s="123"/>
      <c r="AH68" s="123"/>
      <c r="AI68" s="123"/>
      <c r="AJ68" s="123"/>
      <c r="AK68" s="123"/>
      <c r="AL68" s="123"/>
      <c r="AM68" s="123">
        <v>0</v>
      </c>
      <c r="AN68" s="123">
        <v>0</v>
      </c>
      <c r="AO68" s="123">
        <v>0</v>
      </c>
      <c r="AP68" s="316">
        <v>0</v>
      </c>
      <c r="AQ68" s="316">
        <v>0</v>
      </c>
      <c r="AR68" s="316">
        <v>0</v>
      </c>
      <c r="AS68" s="316">
        <v>0</v>
      </c>
      <c r="AT68" s="316">
        <v>0</v>
      </c>
      <c r="AU68" s="316">
        <v>0</v>
      </c>
      <c r="AV68" s="129">
        <v>1.5232500000000001E-11</v>
      </c>
      <c r="AW68" s="129"/>
      <c r="AX68" s="129"/>
      <c r="AY68" s="129"/>
      <c r="AZ68" s="129"/>
      <c r="BA68" s="129">
        <v>9.58911E-14</v>
      </c>
      <c r="BB68" s="129">
        <v>1.16E-10</v>
      </c>
      <c r="BC68" s="129">
        <v>1.6799999999999999E-12</v>
      </c>
      <c r="BD68" s="129">
        <v>1.2999999999999999E-10</v>
      </c>
      <c r="BE68" s="129">
        <v>1.41E-10</v>
      </c>
      <c r="BF68" s="129">
        <v>8.1099999999999997E-11</v>
      </c>
      <c r="BG68" s="130">
        <v>3.5300000000000001E-12</v>
      </c>
      <c r="BH68" s="130">
        <v>3.1599999999999999E-12</v>
      </c>
      <c r="BI68" s="130">
        <v>8.4099999999999995E-13</v>
      </c>
      <c r="BJ68" s="130">
        <v>6.9599999999999996E-13</v>
      </c>
      <c r="BK68" s="130">
        <v>1.2499999999999999E-12</v>
      </c>
    </row>
    <row r="69" spans="1:63">
      <c r="A69">
        <f t="shared" si="1"/>
        <v>66</v>
      </c>
      <c r="B69" t="s">
        <v>111</v>
      </c>
      <c r="C69" t="str">
        <f>INDEX(EPD_Measures,6)</f>
        <v>Total primary energy consumption</v>
      </c>
      <c r="D69" t="str">
        <f>INDEX(EPD_Calc_Units,6)</f>
        <v>MJ</v>
      </c>
      <c r="E69" s="123" t="e">
        <f>NA()</f>
        <v>#N/A</v>
      </c>
      <c r="F69" s="123" t="e">
        <f>NA()</f>
        <v>#N/A</v>
      </c>
      <c r="G69" s="123">
        <v>0.137377</v>
      </c>
      <c r="H69" s="123">
        <v>7.6058000000000001E-2</v>
      </c>
      <c r="I69" s="123">
        <v>6.759998099999999E-2</v>
      </c>
      <c r="J69" s="123">
        <v>7.6058000000000001E-2</v>
      </c>
      <c r="K69" s="123">
        <v>0</v>
      </c>
      <c r="L69" s="123">
        <v>0</v>
      </c>
      <c r="M69" s="123">
        <v>0</v>
      </c>
      <c r="N69" s="123">
        <v>0</v>
      </c>
      <c r="O69" s="123">
        <v>0</v>
      </c>
      <c r="P69" s="123">
        <f>'Supplemental LCA Data'!$AC$50</f>
        <v>2.099997641465547</v>
      </c>
      <c r="Q69" s="123">
        <f>'Supplemental LCA Data'!$AD$50</f>
        <v>4.5999948336864307</v>
      </c>
      <c r="R69" s="123">
        <f>'Supplemental LCA Data'!$AE$50</f>
        <v>22.799974393054555</v>
      </c>
      <c r="S69" s="123">
        <f>'Supplemental LCA Data'!$AF$50</f>
        <v>18.299979447056902</v>
      </c>
      <c r="T69" s="123">
        <f>'Supplemental LCA Data'!$AG$50</f>
        <v>4.5999948336864307</v>
      </c>
      <c r="U69" s="123">
        <f>'Supplemental LCA Data'!$AH$50</f>
        <v>10.479988229789974</v>
      </c>
      <c r="V69" s="123">
        <v>57.506173091793869</v>
      </c>
      <c r="W69" s="123">
        <f>'Supplemental LCA Data'!$B$72/1000</f>
        <v>17.379305548594214</v>
      </c>
      <c r="X69" s="123">
        <f>'Supplemental LCA Data'!$C$72/1000</f>
        <v>21.115558668452628</v>
      </c>
      <c r="Y69" s="123">
        <f>'Supplemental LCA Data'!$D$72/1000</f>
        <v>25.458767950129285</v>
      </c>
      <c r="Z69" s="123">
        <f t="shared" si="3"/>
        <v>19.117236103453639</v>
      </c>
      <c r="AA69" s="123">
        <v>0</v>
      </c>
      <c r="AB69" s="123">
        <v>0</v>
      </c>
      <c r="AC69" s="123">
        <f t="shared" si="2"/>
        <v>17.379305548594214</v>
      </c>
      <c r="AD69" s="123">
        <v>0</v>
      </c>
      <c r="AE69" s="123">
        <v>0</v>
      </c>
      <c r="AF69" s="123">
        <v>0</v>
      </c>
      <c r="AG69" s="123">
        <v>111.41336281293017</v>
      </c>
      <c r="AH69" s="123">
        <v>96.934631722060175</v>
      </c>
      <c r="AI69" s="123">
        <v>3.4310468673118439</v>
      </c>
      <c r="AJ69" s="123">
        <v>7.079849022399789</v>
      </c>
      <c r="AK69" s="123">
        <v>88.609789579499989</v>
      </c>
      <c r="AL69" s="123">
        <v>75.869011043824344</v>
      </c>
      <c r="AM69" s="123">
        <v>0</v>
      </c>
      <c r="AN69" s="123">
        <v>0</v>
      </c>
      <c r="AO69" s="123">
        <v>0</v>
      </c>
      <c r="AP69" s="316">
        <v>0</v>
      </c>
      <c r="AQ69" s="316">
        <v>0</v>
      </c>
      <c r="AR69" s="316">
        <v>0</v>
      </c>
      <c r="AS69" s="316">
        <v>0</v>
      </c>
      <c r="AT69" s="316">
        <v>0</v>
      </c>
      <c r="AU69" s="316">
        <v>0</v>
      </c>
      <c r="AV69" s="129">
        <v>11.62949302</v>
      </c>
      <c r="AW69" s="129">
        <v>3.6</v>
      </c>
      <c r="AX69" s="129">
        <v>3.6</v>
      </c>
      <c r="AY69" s="129">
        <v>3.6</v>
      </c>
      <c r="AZ69" s="129">
        <v>3.6</v>
      </c>
      <c r="BA69" s="129">
        <v>3.4579025999999999E-2</v>
      </c>
      <c r="BB69" s="129">
        <v>41.990099999999998</v>
      </c>
      <c r="BC69" s="129">
        <v>43.209249999999997</v>
      </c>
      <c r="BD69" s="129">
        <v>46.983649999999997</v>
      </c>
      <c r="BE69" s="129">
        <v>51.126690000000004</v>
      </c>
      <c r="BF69" s="129">
        <v>29.343319999999999</v>
      </c>
      <c r="BG69" s="130">
        <v>1.2783040000000001</v>
      </c>
      <c r="BH69" s="130">
        <v>1.14236</v>
      </c>
      <c r="BI69" s="130">
        <v>0.30436299999999999</v>
      </c>
      <c r="BJ69" s="130">
        <v>0.25176399999999999</v>
      </c>
      <c r="BK69" s="130">
        <v>0.45051000000000002</v>
      </c>
    </row>
    <row r="70" spans="1:63">
      <c r="A70">
        <f t="shared" si="1"/>
        <v>67</v>
      </c>
      <c r="B70" t="s">
        <v>111</v>
      </c>
      <c r="C70" t="str">
        <f>INDEX(EPD_Measures,7)</f>
        <v>Nonrenewable energy resources</v>
      </c>
      <c r="D70" t="str">
        <f>INDEX(EPD_Calc_Units,7)</f>
        <v>MJ</v>
      </c>
      <c r="E70" s="123" t="e">
        <f>NA()</f>
        <v>#N/A</v>
      </c>
      <c r="F70" s="123" t="e">
        <f>NA()</f>
        <v>#N/A</v>
      </c>
      <c r="G70" s="123">
        <v>0.127749</v>
      </c>
      <c r="H70" s="123">
        <v>7.2838E-2</v>
      </c>
      <c r="I70" s="123">
        <v>6.4390752999999995E-2</v>
      </c>
      <c r="J70" s="123">
        <v>7.2838E-2</v>
      </c>
      <c r="K70" s="123"/>
      <c r="L70" s="123"/>
      <c r="M70" s="123">
        <v>0</v>
      </c>
      <c r="N70" s="123">
        <v>0</v>
      </c>
      <c r="O70" s="123">
        <v>0</v>
      </c>
      <c r="P70" s="123">
        <f>'Supplemental LCA Data'!$AC$51</f>
        <v>2.099997641465547</v>
      </c>
      <c r="Q70" s="123">
        <f>'Supplemental LCA Data'!$AD$51</f>
        <v>4.5999948336864307</v>
      </c>
      <c r="R70" s="123">
        <f>'Supplemental LCA Data'!$AE$51</f>
        <v>22.799974393054555</v>
      </c>
      <c r="S70" s="123">
        <f>'Supplemental LCA Data'!$AF$51</f>
        <v>18.299979447056902</v>
      </c>
      <c r="T70" s="123">
        <f>'Supplemental LCA Data'!$AG$51</f>
        <v>4.5999948336864307</v>
      </c>
      <c r="U70" s="123">
        <f>'Supplemental LCA Data'!$AH$51</f>
        <v>10.479988229789974</v>
      </c>
      <c r="V70" s="123"/>
      <c r="W70" s="123"/>
      <c r="X70" s="123"/>
      <c r="Y70" s="123"/>
      <c r="Z70" s="123"/>
      <c r="AA70" s="123"/>
      <c r="AB70" s="123"/>
      <c r="AC70" s="123"/>
      <c r="AD70" s="123"/>
      <c r="AE70" s="123"/>
      <c r="AF70" s="123"/>
      <c r="AG70" s="123"/>
      <c r="AH70" s="123"/>
      <c r="AI70" s="123"/>
      <c r="AJ70" s="123"/>
      <c r="AK70" s="123"/>
      <c r="AL70" s="123"/>
      <c r="AM70" s="123">
        <v>0</v>
      </c>
      <c r="AN70" s="123">
        <v>0</v>
      </c>
      <c r="AO70" s="123">
        <v>0</v>
      </c>
      <c r="AP70" s="316">
        <v>0</v>
      </c>
      <c r="AQ70" s="316">
        <v>0</v>
      </c>
      <c r="AR70" s="316">
        <v>0</v>
      </c>
      <c r="AS70" s="316">
        <v>0</v>
      </c>
      <c r="AT70" s="316">
        <v>0</v>
      </c>
      <c r="AU70" s="316">
        <v>0</v>
      </c>
      <c r="AV70" s="129">
        <v>10.55975029</v>
      </c>
      <c r="AW70" s="129"/>
      <c r="AX70" s="129"/>
      <c r="AY70" s="129"/>
      <c r="AZ70" s="129"/>
      <c r="BA70" s="129">
        <v>3.4579025999999999E-2</v>
      </c>
      <c r="BB70" s="129">
        <v>41.929009999999998</v>
      </c>
      <c r="BC70" s="129">
        <v>43.189610000000002</v>
      </c>
      <c r="BD70" s="129">
        <v>46.915320000000001</v>
      </c>
      <c r="BE70" s="129">
        <v>51.052590000000002</v>
      </c>
      <c r="BF70" s="129">
        <v>29.300560000000001</v>
      </c>
      <c r="BG70" s="130">
        <v>1.276451</v>
      </c>
      <c r="BH70" s="130">
        <v>1.1407039999999999</v>
      </c>
      <c r="BI70" s="130">
        <v>0.303921</v>
      </c>
      <c r="BJ70" s="130">
        <v>0.25139899999999998</v>
      </c>
      <c r="BK70" s="130">
        <v>0.44985700000000001</v>
      </c>
    </row>
    <row r="71" spans="1:63">
      <c r="A71">
        <f t="shared" si="1"/>
        <v>68</v>
      </c>
      <c r="B71" t="s">
        <v>111</v>
      </c>
      <c r="C71" t="str">
        <f>INDEX(EPD_Measures,8)</f>
        <v>Renewable energy resources</v>
      </c>
      <c r="D71" t="str">
        <f>INDEX(EPD_Calc_Units,8)</f>
        <v>MJ</v>
      </c>
      <c r="E71" s="123" t="e">
        <f>NA()</f>
        <v>#N/A</v>
      </c>
      <c r="F71" s="123" t="e">
        <f>NA()</f>
        <v>#N/A</v>
      </c>
      <c r="G71" s="123">
        <v>9.6279999999999994E-3</v>
      </c>
      <c r="H71" s="123">
        <v>3.2200000000000002E-3</v>
      </c>
      <c r="I71" s="123">
        <v>3.2092280000000002E-3</v>
      </c>
      <c r="J71" s="123">
        <v>3.2200000000000002E-3</v>
      </c>
      <c r="K71" s="123"/>
      <c r="L71" s="123"/>
      <c r="M71" s="123">
        <v>0</v>
      </c>
      <c r="N71" s="123">
        <v>0</v>
      </c>
      <c r="O71" s="123">
        <v>0</v>
      </c>
      <c r="P71" s="123">
        <f>'Supplemental LCA Data'!$AC$52</f>
        <v>0</v>
      </c>
      <c r="Q71" s="123">
        <f>'Supplemental LCA Data'!$AD$52</f>
        <v>0</v>
      </c>
      <c r="R71" s="123">
        <f>'Supplemental LCA Data'!$AE$52</f>
        <v>0</v>
      </c>
      <c r="S71" s="123">
        <f>'Supplemental LCA Data'!$AF$52</f>
        <v>0</v>
      </c>
      <c r="T71" s="123">
        <f>'Supplemental LCA Data'!$AG$52</f>
        <v>0</v>
      </c>
      <c r="U71" s="123">
        <f>'Supplemental LCA Data'!$AH$52</f>
        <v>0</v>
      </c>
      <c r="V71" s="123"/>
      <c r="W71" s="123"/>
      <c r="X71" s="123"/>
      <c r="Y71" s="123"/>
      <c r="Z71" s="123"/>
      <c r="AA71" s="123"/>
      <c r="AB71" s="123"/>
      <c r="AC71" s="123"/>
      <c r="AD71" s="123"/>
      <c r="AE71" s="123"/>
      <c r="AF71" s="123"/>
      <c r="AG71" s="123"/>
      <c r="AH71" s="123"/>
      <c r="AI71" s="123"/>
      <c r="AJ71" s="123"/>
      <c r="AK71" s="123"/>
      <c r="AL71" s="123"/>
      <c r="AM71" s="123">
        <v>0</v>
      </c>
      <c r="AN71" s="123">
        <v>0</v>
      </c>
      <c r="AO71" s="123">
        <v>0</v>
      </c>
      <c r="AP71" s="316">
        <v>0</v>
      </c>
      <c r="AQ71" s="316">
        <v>0</v>
      </c>
      <c r="AR71" s="316">
        <v>0</v>
      </c>
      <c r="AS71" s="316">
        <v>0</v>
      </c>
      <c r="AT71" s="316">
        <v>0</v>
      </c>
      <c r="AU71" s="316">
        <v>0</v>
      </c>
      <c r="AV71" s="129">
        <v>1.0697427319999999</v>
      </c>
      <c r="AW71" s="129"/>
      <c r="AX71" s="129"/>
      <c r="AY71" s="129"/>
      <c r="AZ71" s="129"/>
      <c r="BA71" s="129">
        <v>0</v>
      </c>
      <c r="BB71" s="129">
        <v>6.1093000000000001E-2</v>
      </c>
      <c r="BC71" s="129">
        <v>1.9647000000000001E-2</v>
      </c>
      <c r="BD71" s="129">
        <v>6.8331000000000003E-2</v>
      </c>
      <c r="BE71" s="129">
        <v>7.4106000000000005E-2</v>
      </c>
      <c r="BF71" s="129">
        <v>4.2762000000000001E-2</v>
      </c>
      <c r="BG71" s="130">
        <v>1.853E-3</v>
      </c>
      <c r="BH71" s="130">
        <v>1.6559999999999999E-3</v>
      </c>
      <c r="BI71" s="130">
        <v>4.4099999999999999E-4</v>
      </c>
      <c r="BJ71" s="130">
        <v>3.6499999999999998E-4</v>
      </c>
      <c r="BK71" s="130">
        <v>6.5300000000000004E-4</v>
      </c>
    </row>
    <row r="72" spans="1:63">
      <c r="A72">
        <f t="shared" si="1"/>
        <v>69</v>
      </c>
      <c r="B72" t="s">
        <v>111</v>
      </c>
      <c r="C72" t="str">
        <f>INDEX(EPD_Measures,9)</f>
        <v>Material resources consumption</v>
      </c>
      <c r="D72" t="str">
        <f>INDEX(EPD_Calc_Units,9)</f>
        <v>kg</v>
      </c>
      <c r="E72" s="123" t="e">
        <f>NA()</f>
        <v>#N/A</v>
      </c>
      <c r="F72" s="123" t="e">
        <f>NA()</f>
        <v>#N/A</v>
      </c>
      <c r="G72" s="123">
        <v>1.0000015600000001</v>
      </c>
      <c r="H72" s="123">
        <v>1.0000021111778816</v>
      </c>
      <c r="I72" s="123">
        <v>1.0000015600000001</v>
      </c>
      <c r="J72" s="123">
        <v>1.0000021111778816</v>
      </c>
      <c r="K72" s="123"/>
      <c r="L72" s="123"/>
      <c r="M72" s="123">
        <v>0</v>
      </c>
      <c r="N72" s="123">
        <v>0</v>
      </c>
      <c r="O72" s="123">
        <v>0</v>
      </c>
      <c r="P72" s="123">
        <f>'Supplemental LCA Data'!$AC$53</f>
        <v>0</v>
      </c>
      <c r="Q72" s="123">
        <f>'Supplemental LCA Data'!$AD$53</f>
        <v>0</v>
      </c>
      <c r="R72" s="123">
        <f>'Supplemental LCA Data'!$AE$53</f>
        <v>0</v>
      </c>
      <c r="S72" s="123">
        <f>'Supplemental LCA Data'!$AF$53</f>
        <v>0</v>
      </c>
      <c r="T72" s="123">
        <f>'Supplemental LCA Data'!$AG$53</f>
        <v>0</v>
      </c>
      <c r="U72" s="123">
        <f>'Supplemental LCA Data'!$AH$53</f>
        <v>0</v>
      </c>
      <c r="V72" s="123"/>
      <c r="W72" s="123"/>
      <c r="X72" s="123"/>
      <c r="Y72" s="123"/>
      <c r="Z72" s="123"/>
      <c r="AA72" s="123"/>
      <c r="AB72" s="123"/>
      <c r="AC72" s="123"/>
      <c r="AD72" s="123"/>
      <c r="AE72" s="123"/>
      <c r="AF72" s="123"/>
      <c r="AG72" s="123"/>
      <c r="AH72" s="123"/>
      <c r="AI72" s="123"/>
      <c r="AJ72" s="123"/>
      <c r="AK72" s="123"/>
      <c r="AL72" s="123"/>
      <c r="AM72" s="123">
        <v>0</v>
      </c>
      <c r="AN72" s="123">
        <v>0</v>
      </c>
      <c r="AO72" s="123">
        <v>0</v>
      </c>
      <c r="AP72" s="316">
        <v>0</v>
      </c>
      <c r="AQ72" s="316">
        <v>0</v>
      </c>
      <c r="AR72" s="316">
        <v>0</v>
      </c>
      <c r="AS72" s="316">
        <v>0</v>
      </c>
      <c r="AT72" s="316">
        <v>0</v>
      </c>
      <c r="AU72" s="316">
        <v>0</v>
      </c>
      <c r="AV72" s="129">
        <v>0</v>
      </c>
      <c r="AW72" s="129"/>
      <c r="AX72" s="129"/>
      <c r="AY72" s="129"/>
      <c r="AZ72" s="129"/>
      <c r="BA72" s="129">
        <v>0.84323164500000003</v>
      </c>
      <c r="BB72" s="129">
        <v>0</v>
      </c>
      <c r="BC72" s="129">
        <v>0</v>
      </c>
      <c r="BD72" s="129">
        <v>0</v>
      </c>
      <c r="BE72" s="129">
        <v>0</v>
      </c>
      <c r="BF72" s="129">
        <v>0</v>
      </c>
      <c r="BG72" s="130">
        <v>0</v>
      </c>
      <c r="BH72" s="130">
        <v>0</v>
      </c>
      <c r="BI72" s="130">
        <v>0</v>
      </c>
      <c r="BJ72" s="130">
        <v>0</v>
      </c>
      <c r="BK72" s="130">
        <v>0</v>
      </c>
    </row>
    <row r="73" spans="1:63">
      <c r="A73">
        <f t="shared" si="1"/>
        <v>70</v>
      </c>
      <c r="B73" t="s">
        <v>111</v>
      </c>
      <c r="C73" t="str">
        <f>INDEX(EPD_Measures,10)</f>
        <v>Nonrenewable material resources</v>
      </c>
      <c r="D73" t="str">
        <f>INDEX(EPD_Calc_Units,10)</f>
        <v>kg</v>
      </c>
      <c r="E73" s="123" t="e">
        <f>NA()</f>
        <v>#N/A</v>
      </c>
      <c r="F73" s="123" t="e">
        <f>NA()</f>
        <v>#N/A</v>
      </c>
      <c r="G73" s="123">
        <v>1</v>
      </c>
      <c r="H73" s="123">
        <v>1.0000001919173316</v>
      </c>
      <c r="I73" s="123">
        <v>1</v>
      </c>
      <c r="J73" s="123">
        <v>1.0000001919173316</v>
      </c>
      <c r="K73" s="123"/>
      <c r="L73" s="123"/>
      <c r="M73" s="123">
        <v>0</v>
      </c>
      <c r="N73" s="123">
        <v>0</v>
      </c>
      <c r="O73" s="123">
        <v>0</v>
      </c>
      <c r="P73" s="123">
        <f>'Supplemental LCA Data'!$AC$54</f>
        <v>0</v>
      </c>
      <c r="Q73" s="123">
        <f>'Supplemental LCA Data'!$AD$54</f>
        <v>0</v>
      </c>
      <c r="R73" s="123">
        <f>'Supplemental LCA Data'!$AE$54</f>
        <v>0</v>
      </c>
      <c r="S73" s="123">
        <f>'Supplemental LCA Data'!$AF$54</f>
        <v>0</v>
      </c>
      <c r="T73" s="123">
        <f>'Supplemental LCA Data'!$AG$54</f>
        <v>0</v>
      </c>
      <c r="U73" s="123">
        <f>'Supplemental LCA Data'!$AH$54</f>
        <v>0</v>
      </c>
      <c r="V73" s="123"/>
      <c r="W73" s="123"/>
      <c r="X73" s="123"/>
      <c r="Y73" s="123"/>
      <c r="Z73" s="123"/>
      <c r="AA73" s="123"/>
      <c r="AB73" s="123"/>
      <c r="AC73" s="123"/>
      <c r="AD73" s="123"/>
      <c r="AE73" s="123"/>
      <c r="AF73" s="123"/>
      <c r="AG73" s="123"/>
      <c r="AH73" s="123"/>
      <c r="AI73" s="123"/>
      <c r="AJ73" s="123"/>
      <c r="AK73" s="123"/>
      <c r="AL73" s="123"/>
      <c r="AM73" s="123">
        <v>0</v>
      </c>
      <c r="AN73" s="123">
        <v>0</v>
      </c>
      <c r="AO73" s="123">
        <v>0</v>
      </c>
      <c r="AP73" s="316">
        <v>0</v>
      </c>
      <c r="AQ73" s="316">
        <v>0</v>
      </c>
      <c r="AR73" s="316">
        <v>0</v>
      </c>
      <c r="AS73" s="316">
        <v>0</v>
      </c>
      <c r="AT73" s="316">
        <v>0</v>
      </c>
      <c r="AU73" s="316">
        <v>0</v>
      </c>
      <c r="AV73" s="129">
        <v>0</v>
      </c>
      <c r="AW73" s="129"/>
      <c r="AX73" s="129"/>
      <c r="AY73" s="129"/>
      <c r="AZ73" s="129"/>
      <c r="BA73" s="129">
        <v>0</v>
      </c>
      <c r="BB73" s="129">
        <v>0</v>
      </c>
      <c r="BC73" s="129">
        <v>0</v>
      </c>
      <c r="BD73" s="129">
        <v>0</v>
      </c>
      <c r="BE73" s="129">
        <v>0</v>
      </c>
      <c r="BF73" s="129">
        <v>0</v>
      </c>
      <c r="BG73" s="130">
        <v>0</v>
      </c>
      <c r="BH73" s="130">
        <v>0</v>
      </c>
      <c r="BI73" s="130">
        <v>0</v>
      </c>
      <c r="BJ73" s="130">
        <v>0</v>
      </c>
      <c r="BK73" s="130">
        <v>0</v>
      </c>
    </row>
    <row r="74" spans="1:63">
      <c r="A74">
        <f t="shared" si="1"/>
        <v>71</v>
      </c>
      <c r="B74" t="s">
        <v>111</v>
      </c>
      <c r="C74" t="str">
        <f>INDEX(EPD_Measures,11)</f>
        <v>Renewable material resources</v>
      </c>
      <c r="D74" t="str">
        <f>INDEX(EPD_Calc_Units,11)</f>
        <v>kg</v>
      </c>
      <c r="E74" s="123" t="e">
        <f>NA()</f>
        <v>#N/A</v>
      </c>
      <c r="F74" s="123" t="e">
        <f>NA()</f>
        <v>#N/A</v>
      </c>
      <c r="G74" s="123">
        <v>1.5600000000000001E-6</v>
      </c>
      <c r="H74" s="123">
        <v>1.9192605499999998E-6</v>
      </c>
      <c r="I74" s="123">
        <v>1.5600000000000001E-6</v>
      </c>
      <c r="J74" s="123">
        <v>1.9192605499999998E-6</v>
      </c>
      <c r="K74" s="123"/>
      <c r="L74" s="123"/>
      <c r="M74" s="123">
        <v>0</v>
      </c>
      <c r="N74" s="123">
        <v>0</v>
      </c>
      <c r="O74" s="123">
        <v>0</v>
      </c>
      <c r="P74" s="123">
        <f>'Supplemental LCA Data'!$AC$55</f>
        <v>0</v>
      </c>
      <c r="Q74" s="123">
        <f>'Supplemental LCA Data'!$AD$55</f>
        <v>0</v>
      </c>
      <c r="R74" s="123">
        <f>'Supplemental LCA Data'!$AE$55</f>
        <v>0</v>
      </c>
      <c r="S74" s="123">
        <f>'Supplemental LCA Data'!$AF$55</f>
        <v>0</v>
      </c>
      <c r="T74" s="123">
        <f>'Supplemental LCA Data'!$AG$55</f>
        <v>0</v>
      </c>
      <c r="U74" s="123">
        <f>'Supplemental LCA Data'!$AH$55</f>
        <v>0</v>
      </c>
      <c r="V74" s="123"/>
      <c r="W74" s="123"/>
      <c r="X74" s="123"/>
      <c r="Y74" s="123"/>
      <c r="Z74" s="123"/>
      <c r="AA74" s="123"/>
      <c r="AB74" s="123"/>
      <c r="AC74" s="123"/>
      <c r="AD74" s="123"/>
      <c r="AE74" s="123"/>
      <c r="AF74" s="123"/>
      <c r="AG74" s="123"/>
      <c r="AH74" s="123"/>
      <c r="AI74" s="123"/>
      <c r="AJ74" s="123"/>
      <c r="AK74" s="123"/>
      <c r="AL74" s="123"/>
      <c r="AM74" s="123">
        <v>0</v>
      </c>
      <c r="AN74" s="123">
        <v>0</v>
      </c>
      <c r="AO74" s="123">
        <v>0</v>
      </c>
      <c r="AP74" s="316">
        <v>0</v>
      </c>
      <c r="AQ74" s="316">
        <v>0</v>
      </c>
      <c r="AR74" s="316">
        <v>0</v>
      </c>
      <c r="AS74" s="316">
        <v>0</v>
      </c>
      <c r="AT74" s="316">
        <v>0</v>
      </c>
      <c r="AU74" s="316">
        <v>0</v>
      </c>
      <c r="AV74" s="129">
        <v>0</v>
      </c>
      <c r="AW74" s="129"/>
      <c r="AX74" s="129"/>
      <c r="AY74" s="129"/>
      <c r="AZ74" s="129"/>
      <c r="BA74" s="129">
        <v>0.84323164500000003</v>
      </c>
      <c r="BB74" s="129">
        <v>0</v>
      </c>
      <c r="BC74" s="129">
        <v>0</v>
      </c>
      <c r="BD74" s="129">
        <v>0</v>
      </c>
      <c r="BE74" s="129">
        <v>0</v>
      </c>
      <c r="BF74" s="129">
        <v>0</v>
      </c>
      <c r="BG74" s="130">
        <v>0</v>
      </c>
      <c r="BH74" s="130">
        <v>0</v>
      </c>
      <c r="BI74" s="130">
        <v>0</v>
      </c>
      <c r="BJ74" s="130">
        <v>0</v>
      </c>
      <c r="BK74" s="130">
        <v>0</v>
      </c>
    </row>
    <row r="75" spans="1:63">
      <c r="A75">
        <f t="shared" si="1"/>
        <v>72</v>
      </c>
      <c r="B75" t="s">
        <v>111</v>
      </c>
      <c r="C75" t="str">
        <f>INDEX(EPD_Measures,12)</f>
        <v>Net Fresh Water</v>
      </c>
      <c r="D75" t="str">
        <f>INDEX(EPD_Calc_Units,12)</f>
        <v>m3</v>
      </c>
      <c r="E75" s="123" t="e">
        <f>NA()</f>
        <v>#N/A</v>
      </c>
      <c r="F75" s="123" t="e">
        <f>NA()</f>
        <v>#N/A</v>
      </c>
      <c r="G75" s="123">
        <f>$G$1+0</f>
        <v>6.7500000000000004E-4</v>
      </c>
      <c r="H75" s="123">
        <f>$G$1+0.000000717</f>
        <v>6.7571700000000005E-4</v>
      </c>
      <c r="I75" s="123">
        <f>$G$1+0</f>
        <v>6.7500000000000004E-4</v>
      </c>
      <c r="J75" s="123">
        <f>$G$1+0.000000717</f>
        <v>6.7571700000000005E-4</v>
      </c>
      <c r="K75" s="123">
        <v>0</v>
      </c>
      <c r="L75" s="123">
        <v>0</v>
      </c>
      <c r="M75" s="123">
        <v>0</v>
      </c>
      <c r="N75" s="123">
        <v>0</v>
      </c>
      <c r="O75" s="123">
        <v>0</v>
      </c>
      <c r="P75" s="123">
        <f>'Supplemental LCA Data'!$AC$56</f>
        <v>0</v>
      </c>
      <c r="Q75" s="123">
        <f>'Supplemental LCA Data'!$AD$56</f>
        <v>0</v>
      </c>
      <c r="R75" s="123">
        <f>'Supplemental LCA Data'!$AE$56</f>
        <v>0</v>
      </c>
      <c r="S75" s="123">
        <f>'Supplemental LCA Data'!$AF$56</f>
        <v>0</v>
      </c>
      <c r="T75" s="123">
        <f>'Supplemental LCA Data'!$AG$56</f>
        <v>0</v>
      </c>
      <c r="U75" s="123">
        <f>'Supplemental LCA Data'!$AH$56</f>
        <v>0</v>
      </c>
      <c r="V75" s="123">
        <v>0.11500386618134965</v>
      </c>
      <c r="W75" s="123">
        <f>'Supplemental LCA Data'!$B$73/1000/1000</f>
        <v>1.3732079207907059E-2</v>
      </c>
      <c r="X75" s="123">
        <f>'Supplemental LCA Data'!$C$73/1000/1000</f>
        <v>1.389655434006113E-2</v>
      </c>
      <c r="Y75" s="123">
        <f>'Supplemental LCA Data'!$D$73/1000/1000</f>
        <v>1.4675578391799121E-2</v>
      </c>
      <c r="Z75" s="123">
        <f t="shared" si="3"/>
        <v>1.5105287128697766E-2</v>
      </c>
      <c r="AA75" s="123">
        <v>0</v>
      </c>
      <c r="AB75" s="123">
        <v>0</v>
      </c>
      <c r="AC75" s="123">
        <f t="shared" si="2"/>
        <v>1.3732079207907059E-2</v>
      </c>
      <c r="AD75" s="123">
        <v>0</v>
      </c>
      <c r="AE75" s="123">
        <v>0</v>
      </c>
      <c r="AF75" s="123">
        <v>0</v>
      </c>
      <c r="AG75" s="123">
        <v>6.6615854003756548E-4</v>
      </c>
      <c r="AH75" s="123">
        <v>8.5599624991234465E-3</v>
      </c>
      <c r="AI75" s="123">
        <v>3.5226266152208971E-4</v>
      </c>
      <c r="AJ75" s="123">
        <v>3.9507938615937904E-3</v>
      </c>
      <c r="AK75" s="123">
        <v>7.4033158500000001E-2</v>
      </c>
      <c r="AL75" s="123">
        <v>0</v>
      </c>
      <c r="AM75" s="123">
        <v>0</v>
      </c>
      <c r="AN75" s="123">
        <v>0</v>
      </c>
      <c r="AO75" s="123">
        <v>0</v>
      </c>
      <c r="AP75" s="316">
        <v>0</v>
      </c>
      <c r="AQ75" s="316">
        <v>0</v>
      </c>
      <c r="AR75" s="316">
        <v>0</v>
      </c>
      <c r="AS75" s="316">
        <v>0</v>
      </c>
      <c r="AT75" s="316">
        <v>0</v>
      </c>
      <c r="AU75" s="316">
        <v>0</v>
      </c>
      <c r="AV75" s="129">
        <v>0</v>
      </c>
      <c r="AW75" s="129">
        <v>0</v>
      </c>
      <c r="AX75" s="129">
        <v>0</v>
      </c>
      <c r="AY75" s="129">
        <v>0</v>
      </c>
      <c r="AZ75" s="129">
        <v>0</v>
      </c>
      <c r="BA75" s="129">
        <v>0</v>
      </c>
      <c r="BB75" s="129">
        <v>0</v>
      </c>
      <c r="BC75" s="129">
        <v>0</v>
      </c>
      <c r="BD75" s="129">
        <v>0</v>
      </c>
      <c r="BE75" s="129">
        <v>0</v>
      </c>
      <c r="BF75" s="129">
        <v>0</v>
      </c>
      <c r="BG75" s="130">
        <v>0</v>
      </c>
      <c r="BH75" s="130">
        <v>0</v>
      </c>
      <c r="BI75" s="130">
        <v>0</v>
      </c>
      <c r="BJ75" s="130">
        <v>0</v>
      </c>
      <c r="BK75" s="130">
        <v>0</v>
      </c>
    </row>
    <row r="76" spans="1:63">
      <c r="A76">
        <f t="shared" si="1"/>
        <v>73</v>
      </c>
      <c r="B76" t="s">
        <v>111</v>
      </c>
      <c r="C76" t="str">
        <f>INDEX(EPD_Measures,13)</f>
        <v>Non-hazardous waste generated</v>
      </c>
      <c r="D76" t="str">
        <f>INDEX(EPD_Calc_Units,13)</f>
        <v>kg</v>
      </c>
      <c r="E76" s="123" t="e">
        <f>NA()</f>
        <v>#N/A</v>
      </c>
      <c r="F76" s="123" t="e">
        <f>NA()</f>
        <v>#N/A</v>
      </c>
      <c r="G76" s="123">
        <v>0</v>
      </c>
      <c r="H76" s="123">
        <v>0</v>
      </c>
      <c r="I76" s="123">
        <v>0</v>
      </c>
      <c r="J76" s="123">
        <v>0</v>
      </c>
      <c r="K76" s="123"/>
      <c r="L76" s="123"/>
      <c r="M76" s="123">
        <v>0</v>
      </c>
      <c r="N76" s="123">
        <v>0</v>
      </c>
      <c r="O76" s="123">
        <v>0</v>
      </c>
      <c r="P76" s="123">
        <f>'Supplemental LCA Data'!$AC$57</f>
        <v>0</v>
      </c>
      <c r="Q76" s="123">
        <f>'Supplemental LCA Data'!$AD$57</f>
        <v>0</v>
      </c>
      <c r="R76" s="123">
        <f>'Supplemental LCA Data'!$AE$57</f>
        <v>0</v>
      </c>
      <c r="S76" s="123">
        <f>'Supplemental LCA Data'!$AF$57</f>
        <v>0</v>
      </c>
      <c r="T76" s="123">
        <f>'Supplemental LCA Data'!$AG$57</f>
        <v>0</v>
      </c>
      <c r="U76" s="123">
        <f>'Supplemental LCA Data'!$AH$57</f>
        <v>0</v>
      </c>
      <c r="V76" s="123"/>
      <c r="W76" s="123"/>
      <c r="X76" s="123"/>
      <c r="Y76" s="123"/>
      <c r="Z76" s="123"/>
      <c r="AA76" s="123"/>
      <c r="AB76" s="123"/>
      <c r="AC76" s="123"/>
      <c r="AD76" s="123"/>
      <c r="AE76" s="123"/>
      <c r="AF76" s="123"/>
      <c r="AG76" s="123"/>
      <c r="AH76" s="123"/>
      <c r="AI76" s="123"/>
      <c r="AJ76" s="123"/>
      <c r="AK76" s="123"/>
      <c r="AL76" s="123"/>
      <c r="AM76" s="123">
        <v>0</v>
      </c>
      <c r="AN76" s="123">
        <v>0</v>
      </c>
      <c r="AO76" s="123">
        <v>0</v>
      </c>
      <c r="AP76" s="316">
        <v>0</v>
      </c>
      <c r="AQ76" s="316">
        <v>0</v>
      </c>
      <c r="AR76" s="316">
        <v>0</v>
      </c>
      <c r="AS76" s="316">
        <v>0</v>
      </c>
      <c r="AT76" s="316">
        <v>0</v>
      </c>
      <c r="AU76" s="316">
        <v>0</v>
      </c>
      <c r="AV76" s="129">
        <v>0</v>
      </c>
      <c r="AW76" s="129"/>
      <c r="AX76" s="129"/>
      <c r="AY76" s="129"/>
      <c r="AZ76" s="129"/>
      <c r="BA76" s="129">
        <v>0</v>
      </c>
      <c r="BB76" s="129">
        <v>0</v>
      </c>
      <c r="BC76" s="129">
        <v>0</v>
      </c>
      <c r="BD76" s="129">
        <v>0</v>
      </c>
      <c r="BE76" s="129">
        <v>0</v>
      </c>
      <c r="BF76" s="129">
        <v>0</v>
      </c>
      <c r="BG76" s="130">
        <v>0</v>
      </c>
      <c r="BH76" s="130">
        <v>0</v>
      </c>
      <c r="BI76" s="130">
        <v>0</v>
      </c>
      <c r="BJ76" s="130">
        <v>0</v>
      </c>
      <c r="BK76" s="130">
        <v>0</v>
      </c>
    </row>
    <row r="77" spans="1:63">
      <c r="A77">
        <f t="shared" si="1"/>
        <v>74</v>
      </c>
      <c r="B77" t="s">
        <v>111</v>
      </c>
      <c r="C77" t="str">
        <f>INDEX(EPD_Measures,14)</f>
        <v>Hazardous waste generated</v>
      </c>
      <c r="D77" t="str">
        <f>INDEX(EPD_Calc_Units,14)</f>
        <v>kg</v>
      </c>
      <c r="E77" s="123" t="e">
        <f>NA()</f>
        <v>#N/A</v>
      </c>
      <c r="F77" s="123" t="e">
        <f>NA()</f>
        <v>#N/A</v>
      </c>
      <c r="G77" s="123">
        <v>0</v>
      </c>
      <c r="H77" s="123">
        <v>0</v>
      </c>
      <c r="I77" s="123">
        <v>0</v>
      </c>
      <c r="J77" s="123">
        <v>0</v>
      </c>
      <c r="K77" s="123"/>
      <c r="L77" s="123"/>
      <c r="M77" s="123">
        <v>0</v>
      </c>
      <c r="N77" s="123">
        <v>0</v>
      </c>
      <c r="O77" s="123">
        <v>0</v>
      </c>
      <c r="P77" s="123">
        <f>'Supplemental LCA Data'!$AC$58</f>
        <v>0</v>
      </c>
      <c r="Q77" s="123">
        <f>'Supplemental LCA Data'!$AD$58</f>
        <v>0</v>
      </c>
      <c r="R77" s="123">
        <f>'Supplemental LCA Data'!$AE$58</f>
        <v>0</v>
      </c>
      <c r="S77" s="123">
        <f>'Supplemental LCA Data'!$AF$58</f>
        <v>0</v>
      </c>
      <c r="T77" s="123">
        <f>'Supplemental LCA Data'!$AG$58</f>
        <v>0</v>
      </c>
      <c r="U77" s="123">
        <f>'Supplemental LCA Data'!$AH$58</f>
        <v>0</v>
      </c>
      <c r="V77" s="123"/>
      <c r="W77" s="123"/>
      <c r="X77" s="123"/>
      <c r="Y77" s="123"/>
      <c r="Z77" s="123"/>
      <c r="AA77" s="123"/>
      <c r="AB77" s="123"/>
      <c r="AC77" s="123"/>
      <c r="AD77" s="123"/>
      <c r="AE77" s="123"/>
      <c r="AF77" s="123"/>
      <c r="AG77" s="123"/>
      <c r="AH77" s="123"/>
      <c r="AI77" s="123"/>
      <c r="AJ77" s="123"/>
      <c r="AK77" s="123"/>
      <c r="AL77" s="123"/>
      <c r="AM77" s="123">
        <v>0</v>
      </c>
      <c r="AN77" s="123">
        <v>0</v>
      </c>
      <c r="AO77" s="123">
        <v>0</v>
      </c>
      <c r="AP77" s="316">
        <v>0</v>
      </c>
      <c r="AQ77" s="316">
        <v>0</v>
      </c>
      <c r="AR77" s="316">
        <v>0</v>
      </c>
      <c r="AS77" s="316">
        <v>0</v>
      </c>
      <c r="AT77" s="316">
        <v>0</v>
      </c>
      <c r="AU77" s="316">
        <v>0</v>
      </c>
      <c r="AV77" s="129">
        <v>0</v>
      </c>
      <c r="AW77" s="129"/>
      <c r="AX77" s="129"/>
      <c r="AY77" s="129"/>
      <c r="AZ77" s="129"/>
      <c r="BA77" s="129">
        <v>0</v>
      </c>
      <c r="BB77" s="129">
        <v>0</v>
      </c>
      <c r="BC77" s="129">
        <v>0</v>
      </c>
      <c r="BD77" s="129">
        <v>0</v>
      </c>
      <c r="BE77" s="129">
        <v>0</v>
      </c>
      <c r="BF77" s="129">
        <v>0</v>
      </c>
      <c r="BG77" s="130">
        <v>0</v>
      </c>
      <c r="BH77" s="130">
        <v>0</v>
      </c>
      <c r="BI77" s="130">
        <v>0</v>
      </c>
      <c r="BJ77" s="130">
        <v>0</v>
      </c>
      <c r="BK77" s="130">
        <v>0</v>
      </c>
    </row>
    <row r="78" spans="1:63">
      <c r="A78" s="112">
        <f t="shared" si="1"/>
        <v>75</v>
      </c>
      <c r="B78" s="112" t="s">
        <v>132</v>
      </c>
      <c r="C78" s="112" t="str">
        <f>INDEX(EPD_Measures,1)</f>
        <v>Global warming potential (GWP)</v>
      </c>
      <c r="D78" s="112" t="str">
        <f>INDEX(EPD_Calc_Units,1)</f>
        <v>kg</v>
      </c>
      <c r="E78" s="123" t="e">
        <f>NA()</f>
        <v>#N/A</v>
      </c>
      <c r="F78" s="123" t="e">
        <f>NA()</f>
        <v>#N/A</v>
      </c>
      <c r="G78" s="123">
        <v>2.5100000000000001E-3</v>
      </c>
      <c r="H78" s="123">
        <v>2.8709999999999999E-3</v>
      </c>
      <c r="I78" s="123">
        <v>2.304628E-3</v>
      </c>
      <c r="J78" s="123">
        <v>2.8709999999999999E-3</v>
      </c>
      <c r="K78" s="123">
        <v>0</v>
      </c>
      <c r="L78" s="123">
        <v>0</v>
      </c>
      <c r="M78" s="123">
        <v>0</v>
      </c>
      <c r="N78" s="123">
        <v>0</v>
      </c>
      <c r="O78" s="123">
        <v>0</v>
      </c>
      <c r="P78" s="123">
        <f>'Supplemental LCA Data'!$AC$45</f>
        <v>0.10406360712476165</v>
      </c>
      <c r="Q78" s="123">
        <f>'Supplemental LCA Data'!$AD$45</f>
        <v>0.22949974224587316</v>
      </c>
      <c r="R78" s="123">
        <f>'Supplemental LCA Data'!$AE$45</f>
        <v>1.2625032020663256</v>
      </c>
      <c r="S78" s="123">
        <f>'Supplemental LCA Data'!$AF$45</f>
        <v>0.76998593521882752</v>
      </c>
      <c r="T78" s="123">
        <f>'Supplemental LCA Data'!$AG$45</f>
        <v>0.22949974224587316</v>
      </c>
      <c r="U78" s="123">
        <f>'Supplemental LCA Data'!$AH$45</f>
        <v>0.51911044578033227</v>
      </c>
      <c r="V78" s="123">
        <v>2.9429471121354829</v>
      </c>
      <c r="W78" s="123">
        <f>'Supplemental LCA Data'!$B$71/1000</f>
        <v>0.89195544554366246</v>
      </c>
      <c r="X78" s="123">
        <f>'Supplemental LCA Data'!$C$71/1000</f>
        <v>1.0380563118652284</v>
      </c>
      <c r="Y78" s="123">
        <f>'Supplemental LCA Data'!$D$71/1000</f>
        <v>1.5012328955993122</v>
      </c>
      <c r="Z78" s="123">
        <f t="shared" si="3"/>
        <v>0.98115099009802875</v>
      </c>
      <c r="AA78" s="123">
        <v>0</v>
      </c>
      <c r="AB78" s="123">
        <v>0</v>
      </c>
      <c r="AC78" s="123">
        <f t="shared" si="2"/>
        <v>0.89195544554366246</v>
      </c>
      <c r="AD78" s="123">
        <v>0</v>
      </c>
      <c r="AE78" s="123">
        <v>0</v>
      </c>
      <c r="AF78" s="123">
        <v>0</v>
      </c>
      <c r="AG78" s="123">
        <v>3.3162413704963716</v>
      </c>
      <c r="AH78" s="123">
        <v>9.0789952164299699</v>
      </c>
      <c r="AI78" s="123">
        <v>0.2453477255455345</v>
      </c>
      <c r="AJ78" s="123">
        <v>0.3279493299762562</v>
      </c>
      <c r="AK78" s="123">
        <v>4.6408478655656005</v>
      </c>
      <c r="AL78" s="123">
        <v>0.92461248966214149</v>
      </c>
      <c r="AM78" s="123">
        <v>0</v>
      </c>
      <c r="AN78" s="123">
        <v>0</v>
      </c>
      <c r="AO78" s="123">
        <v>0</v>
      </c>
      <c r="AP78" s="316">
        <v>0</v>
      </c>
      <c r="AQ78" s="316">
        <v>0</v>
      </c>
      <c r="AR78" s="316">
        <v>0</v>
      </c>
      <c r="AS78" s="316">
        <v>0</v>
      </c>
      <c r="AT78" s="316">
        <v>0</v>
      </c>
      <c r="AU78" s="316">
        <v>0</v>
      </c>
      <c r="AV78" s="129">
        <v>3.4232302999999999E-2</v>
      </c>
      <c r="AW78" s="129">
        <v>0</v>
      </c>
      <c r="AX78" s="129">
        <v>0</v>
      </c>
      <c r="AY78" s="129">
        <v>0</v>
      </c>
      <c r="AZ78" s="129">
        <v>0</v>
      </c>
      <c r="BA78" s="129">
        <v>4.5765858E-2</v>
      </c>
      <c r="BB78" s="129">
        <v>2.529973</v>
      </c>
      <c r="BC78" s="129">
        <v>2.4438970000000002</v>
      </c>
      <c r="BD78" s="129">
        <v>3.1787649999999998</v>
      </c>
      <c r="BE78" s="129">
        <v>3.7603420000000001</v>
      </c>
      <c r="BF78" s="129">
        <v>2.0422280000000002</v>
      </c>
      <c r="BG78" s="130">
        <v>9.2743999999999993E-2</v>
      </c>
      <c r="BH78" s="130">
        <v>7.3523000000000005E-2</v>
      </c>
      <c r="BI78" s="130">
        <v>2.2027999999999999E-2</v>
      </c>
      <c r="BJ78" s="130">
        <v>1.8526999999999998E-2</v>
      </c>
      <c r="BK78" s="130">
        <v>3.3079999999999998E-2</v>
      </c>
    </row>
    <row r="79" spans="1:63">
      <c r="A79">
        <f t="shared" si="1"/>
        <v>76</v>
      </c>
      <c r="B79" t="s">
        <v>132</v>
      </c>
      <c r="C79" t="str">
        <f>INDEX(EPD_Measures,2)</f>
        <v>Acidification potential</v>
      </c>
      <c r="D79" t="str">
        <f>INDEX(EPD_Calc_Units,2)</f>
        <v>kg</v>
      </c>
      <c r="E79" s="123" t="e">
        <f>NA()</f>
        <v>#N/A</v>
      </c>
      <c r="F79" s="123" t="e">
        <f>NA()</f>
        <v>#N/A</v>
      </c>
      <c r="G79" s="123">
        <v>3.1000000000000001E-5</v>
      </c>
      <c r="H79" s="123">
        <v>3.6399999999999997E-5</v>
      </c>
      <c r="I79" s="123">
        <v>3.0647900000000002E-5</v>
      </c>
      <c r="J79" s="123">
        <v>3.6399999999999997E-5</v>
      </c>
      <c r="K79" s="123"/>
      <c r="L79" s="123"/>
      <c r="M79" s="123">
        <v>0</v>
      </c>
      <c r="N79" s="123">
        <v>0</v>
      </c>
      <c r="O79" s="123">
        <v>0</v>
      </c>
      <c r="P79" s="123">
        <f>'Supplemental LCA Data'!$AC$46</f>
        <v>5.7703135192831948E-4</v>
      </c>
      <c r="Q79" s="123">
        <f>'Supplemental LCA Data'!$AD$46</f>
        <v>1.2139986365417917E-3</v>
      </c>
      <c r="R79" s="123">
        <f>'Supplemental LCA Data'!$AE$46</f>
        <v>4.7483946670140312E-3</v>
      </c>
      <c r="S79" s="123">
        <f>'Supplemental LCA Data'!$AF$46</f>
        <v>3.9528555604969102</v>
      </c>
      <c r="T79" s="123">
        <f>'Supplemental LCA Data'!$AG$46</f>
        <v>1.2139986365417917E-3</v>
      </c>
      <c r="U79" s="123">
        <f>'Supplemental LCA Data'!$AH$46</f>
        <v>0.79212179675778727</v>
      </c>
      <c r="V79" s="123"/>
      <c r="W79" s="123"/>
      <c r="X79" s="123"/>
      <c r="Y79" s="123"/>
      <c r="Z79" s="123"/>
      <c r="AA79" s="123"/>
      <c r="AB79" s="123"/>
      <c r="AC79" s="123"/>
      <c r="AD79" s="123"/>
      <c r="AE79" s="123"/>
      <c r="AF79" s="123"/>
      <c r="AG79" s="123"/>
      <c r="AH79" s="123"/>
      <c r="AI79" s="123"/>
      <c r="AJ79" s="123"/>
      <c r="AK79" s="123"/>
      <c r="AL79" s="123"/>
      <c r="AM79" s="123">
        <v>0</v>
      </c>
      <c r="AN79" s="123">
        <v>0</v>
      </c>
      <c r="AO79" s="123">
        <v>0</v>
      </c>
      <c r="AP79" s="316">
        <v>0</v>
      </c>
      <c r="AQ79" s="316">
        <v>0</v>
      </c>
      <c r="AR79" s="316">
        <v>0</v>
      </c>
      <c r="AS79" s="316">
        <v>0</v>
      </c>
      <c r="AT79" s="316">
        <v>0</v>
      </c>
      <c r="AU79" s="316">
        <v>0</v>
      </c>
      <c r="AV79" s="129">
        <v>6.3792600000000003E-5</v>
      </c>
      <c r="AW79" s="129"/>
      <c r="AX79" s="129"/>
      <c r="AY79" s="129"/>
      <c r="AZ79" s="129"/>
      <c r="BA79" s="129">
        <v>8.3965400000000001E-4</v>
      </c>
      <c r="BB79" s="129">
        <v>2.6606000000000001E-2</v>
      </c>
      <c r="BC79" s="129">
        <v>2.0861000000000001E-2</v>
      </c>
      <c r="BD79" s="129">
        <v>5.646E-3</v>
      </c>
      <c r="BE79" s="129">
        <v>8.8570000000000003E-3</v>
      </c>
      <c r="BF79" s="129">
        <v>4.045E-3</v>
      </c>
      <c r="BG79" s="130">
        <v>4.6900000000000002E-4</v>
      </c>
      <c r="BH79" s="130">
        <v>3.2299999999999999E-4</v>
      </c>
      <c r="BI79" s="130">
        <v>3.7199999999999999E-4</v>
      </c>
      <c r="BJ79" s="130">
        <v>3.2299999999999999E-4</v>
      </c>
      <c r="BK79" s="130">
        <v>2.8299999999999999E-4</v>
      </c>
    </row>
    <row r="80" spans="1:63">
      <c r="A80">
        <f t="shared" si="1"/>
        <v>77</v>
      </c>
      <c r="B80" t="s">
        <v>132</v>
      </c>
      <c r="C80" t="str">
        <f>INDEX(EPD_Measures,3)</f>
        <v>Eutrophication potential</v>
      </c>
      <c r="D80" t="str">
        <f>INDEX(EPD_Calc_Units,3)</f>
        <v>kg</v>
      </c>
      <c r="E80" s="123" t="e">
        <f>NA()</f>
        <v>#N/A</v>
      </c>
      <c r="F80" s="123" t="e">
        <f>NA()</f>
        <v>#N/A</v>
      </c>
      <c r="G80" s="123">
        <v>1.86E-6</v>
      </c>
      <c r="H80" s="123">
        <v>2.4600000000000002E-6</v>
      </c>
      <c r="I80" s="123">
        <v>1.8353400000000001E-6</v>
      </c>
      <c r="J80" s="123">
        <v>2.4600000000000002E-6</v>
      </c>
      <c r="K80" s="123"/>
      <c r="L80" s="123"/>
      <c r="M80" s="123">
        <v>0</v>
      </c>
      <c r="N80" s="123">
        <v>0</v>
      </c>
      <c r="O80" s="123">
        <v>0</v>
      </c>
      <c r="P80" s="123">
        <f>'Supplemental LCA Data'!$AC$47</f>
        <v>1.9624831959085375E-4</v>
      </c>
      <c r="Q80" s="123">
        <f>'Supplemental LCA Data'!$AD$47</f>
        <v>4.226795252829316E-5</v>
      </c>
      <c r="R80" s="123">
        <f>'Supplemental LCA Data'!$AE$47</f>
        <v>8.7898401280121123E-4</v>
      </c>
      <c r="S80" s="123">
        <f>'Supplemental LCA Data'!$AF$47</f>
        <v>0.24926944204227258</v>
      </c>
      <c r="T80" s="123">
        <f>'Supplemental LCA Data'!$AG$47</f>
        <v>4.226795252829316E-5</v>
      </c>
      <c r="U80" s="123">
        <f>'Supplemental LCA Data'!$AH$47</f>
        <v>5.0085842055944255E-2</v>
      </c>
      <c r="V80" s="123"/>
      <c r="W80" s="123"/>
      <c r="X80" s="123"/>
      <c r="Y80" s="123"/>
      <c r="Z80" s="123"/>
      <c r="AA80" s="123"/>
      <c r="AB80" s="123"/>
      <c r="AC80" s="123"/>
      <c r="AD80" s="123"/>
      <c r="AE80" s="123"/>
      <c r="AF80" s="123"/>
      <c r="AG80" s="123"/>
      <c r="AH80" s="123"/>
      <c r="AI80" s="123"/>
      <c r="AJ80" s="123"/>
      <c r="AK80" s="123"/>
      <c r="AL80" s="123"/>
      <c r="AM80" s="123">
        <v>0</v>
      </c>
      <c r="AN80" s="123">
        <v>0</v>
      </c>
      <c r="AO80" s="123">
        <v>0</v>
      </c>
      <c r="AP80" s="316">
        <v>0</v>
      </c>
      <c r="AQ80" s="316">
        <v>0</v>
      </c>
      <c r="AR80" s="316">
        <v>0</v>
      </c>
      <c r="AS80" s="316">
        <v>0</v>
      </c>
      <c r="AT80" s="316">
        <v>0</v>
      </c>
      <c r="AU80" s="316">
        <v>0</v>
      </c>
      <c r="AV80" s="129">
        <v>4.4467699999999999E-6</v>
      </c>
      <c r="AW80" s="129"/>
      <c r="AX80" s="129"/>
      <c r="AY80" s="129"/>
      <c r="AZ80" s="129"/>
      <c r="BA80" s="129">
        <v>4.0302700000000003E-5</v>
      </c>
      <c r="BB80" s="129">
        <v>1.722E-3</v>
      </c>
      <c r="BC80" s="129">
        <v>2.05E-4</v>
      </c>
      <c r="BD80" s="129">
        <v>3.9599999999999998E-4</v>
      </c>
      <c r="BE80" s="129">
        <v>6.0300000000000002E-4</v>
      </c>
      <c r="BF80" s="129">
        <v>2.8299999999999999E-4</v>
      </c>
      <c r="BG80" s="130">
        <v>3.0800000000000003E-5</v>
      </c>
      <c r="BH80" s="130">
        <v>2.1500000000000001E-5</v>
      </c>
      <c r="BI80" s="130">
        <v>2.3799999999999999E-5</v>
      </c>
      <c r="BJ80" s="130">
        <v>2.0699999999999998E-5</v>
      </c>
      <c r="BK80" s="130">
        <v>1.8300000000000001E-5</v>
      </c>
    </row>
    <row r="81" spans="1:63">
      <c r="A81">
        <f t="shared" si="1"/>
        <v>78</v>
      </c>
      <c r="B81" t="s">
        <v>132</v>
      </c>
      <c r="C81" t="str">
        <f>INDEX(EPD_Measures,4)</f>
        <v>Smog creation potential</v>
      </c>
      <c r="D81" t="str">
        <f>INDEX(EPD_Calc_Units,4)</f>
        <v>kg</v>
      </c>
      <c r="E81" s="123" t="e">
        <f>NA()</f>
        <v>#N/A</v>
      </c>
      <c r="F81" s="123" t="e">
        <f>NA()</f>
        <v>#N/A</v>
      </c>
      <c r="G81" s="123">
        <v>9.8200000000000002E-4</v>
      </c>
      <c r="H81" s="123">
        <v>1.1460000000000001E-3</v>
      </c>
      <c r="I81" s="123">
        <v>9.7207999999999995E-4</v>
      </c>
      <c r="J81" s="123">
        <v>1.1460000000000001E-3</v>
      </c>
      <c r="K81" s="123"/>
      <c r="L81" s="123"/>
      <c r="M81" s="123">
        <v>0</v>
      </c>
      <c r="N81" s="123">
        <v>0</v>
      </c>
      <c r="O81" s="123">
        <v>0</v>
      </c>
      <c r="P81" s="123">
        <f>'Supplemental LCA Data'!$AC$48</f>
        <v>8.7017595456788718E-3</v>
      </c>
      <c r="Q81" s="123">
        <f>'Supplemental LCA Data'!$AD$48</f>
        <v>1.3524104726696053E-2</v>
      </c>
      <c r="R81" s="123">
        <f>'Supplemental LCA Data'!$AE$48</f>
        <v>5.7241581200289861E-2</v>
      </c>
      <c r="S81" s="123">
        <f>'Supplemental LCA Data'!$AF$48</f>
        <v>43.192743848068233</v>
      </c>
      <c r="T81" s="123">
        <f>'Supplemental LCA Data'!$AG$48</f>
        <v>1.3524104726696053E-2</v>
      </c>
      <c r="U81" s="123">
        <f>'Supplemental LCA Data'!$AH$48</f>
        <v>8.6571470796535195</v>
      </c>
      <c r="V81" s="123"/>
      <c r="W81" s="123"/>
      <c r="X81" s="123"/>
      <c r="Y81" s="123"/>
      <c r="Z81" s="123"/>
      <c r="AA81" s="123"/>
      <c r="AB81" s="123"/>
      <c r="AC81" s="123"/>
      <c r="AD81" s="123"/>
      <c r="AE81" s="123"/>
      <c r="AF81" s="123"/>
      <c r="AG81" s="123"/>
      <c r="AH81" s="123"/>
      <c r="AI81" s="123"/>
      <c r="AJ81" s="123"/>
      <c r="AK81" s="123"/>
      <c r="AL81" s="123"/>
      <c r="AM81" s="123">
        <v>0</v>
      </c>
      <c r="AN81" s="123">
        <v>0</v>
      </c>
      <c r="AO81" s="123">
        <v>0</v>
      </c>
      <c r="AP81" s="316">
        <v>0</v>
      </c>
      <c r="AQ81" s="316">
        <v>0</v>
      </c>
      <c r="AR81" s="316">
        <v>0</v>
      </c>
      <c r="AS81" s="316">
        <v>0</v>
      </c>
      <c r="AT81" s="316">
        <v>0</v>
      </c>
      <c r="AU81" s="316">
        <v>0</v>
      </c>
      <c r="AV81" s="129">
        <v>1.6333820000000001E-3</v>
      </c>
      <c r="AW81" s="129"/>
      <c r="AX81" s="129"/>
      <c r="AY81" s="129"/>
      <c r="AZ81" s="129"/>
      <c r="BA81" s="129">
        <v>0.241503051</v>
      </c>
      <c r="BB81" s="129">
        <v>0.90166400000000002</v>
      </c>
      <c r="BC81" s="129">
        <v>5.2539000000000002E-2</v>
      </c>
      <c r="BD81" s="129">
        <v>0.13974</v>
      </c>
      <c r="BE81" s="129">
        <v>0.24854699999999999</v>
      </c>
      <c r="BF81" s="129">
        <v>0.10738499999999999</v>
      </c>
      <c r="BG81" s="130">
        <v>1.5133000000000001E-2</v>
      </c>
      <c r="BH81" s="130">
        <v>1.0231000000000001E-2</v>
      </c>
      <c r="BI81" s="130">
        <v>1.2799E-2</v>
      </c>
      <c r="BJ81" s="130">
        <v>1.1180000000000001E-2</v>
      </c>
      <c r="BK81" s="130">
        <v>9.5029999999999993E-3</v>
      </c>
    </row>
    <row r="82" spans="1:63">
      <c r="A82">
        <f t="shared" si="1"/>
        <v>79</v>
      </c>
      <c r="B82" t="s">
        <v>132</v>
      </c>
      <c r="C82" t="str">
        <f>INDEX(EPD_Measures,5)</f>
        <v>Ozone depletion potential</v>
      </c>
      <c r="D82" t="str">
        <f>INDEX(EPD_Calc_Units,5)</f>
        <v>kg</v>
      </c>
      <c r="E82" s="123" t="e">
        <f>NA()</f>
        <v>#N/A</v>
      </c>
      <c r="F82" s="123" t="e">
        <f>NA()</f>
        <v>#N/A</v>
      </c>
      <c r="G82" s="123">
        <v>1.03E-13</v>
      </c>
      <c r="H82" s="123">
        <v>9.6800000000000004E-11</v>
      </c>
      <c r="I82" s="123">
        <v>9.4799400000000004E-14</v>
      </c>
      <c r="J82" s="123">
        <v>9.6800000000000004E-11</v>
      </c>
      <c r="K82" s="123"/>
      <c r="L82" s="123"/>
      <c r="M82" s="123">
        <v>0</v>
      </c>
      <c r="N82" s="123">
        <v>0</v>
      </c>
      <c r="O82" s="123">
        <v>0</v>
      </c>
      <c r="P82" s="123">
        <f>'Supplemental LCA Data'!$AC$49</f>
        <v>4.817994588850506E-10</v>
      </c>
      <c r="Q82" s="123">
        <f>'Supplemental LCA Data'!$AD$49</f>
        <v>0</v>
      </c>
      <c r="R82" s="123">
        <f>'Supplemental LCA Data'!$AE$49</f>
        <v>2.4089972944252421E-9</v>
      </c>
      <c r="S82" s="123">
        <f>'Supplemental LCA Data'!$AF$49</f>
        <v>3.2599963386576577E-9</v>
      </c>
      <c r="T82" s="123">
        <f>'Supplemental LCA Data'!$AG$49</f>
        <v>0</v>
      </c>
      <c r="U82" s="123">
        <f>'Supplemental LCA Data'!$AH$49</f>
        <v>1.2301586183935901E-9</v>
      </c>
      <c r="V82" s="123"/>
      <c r="W82" s="123"/>
      <c r="X82" s="123"/>
      <c r="Y82" s="123"/>
      <c r="Z82" s="123"/>
      <c r="AA82" s="123"/>
      <c r="AB82" s="123"/>
      <c r="AC82" s="123"/>
      <c r="AD82" s="123"/>
      <c r="AE82" s="123"/>
      <c r="AF82" s="123"/>
      <c r="AG82" s="123"/>
      <c r="AH82" s="123"/>
      <c r="AI82" s="123"/>
      <c r="AJ82" s="123"/>
      <c r="AK82" s="123"/>
      <c r="AL82" s="123"/>
      <c r="AM82" s="123">
        <v>0</v>
      </c>
      <c r="AN82" s="123">
        <v>0</v>
      </c>
      <c r="AO82" s="123">
        <v>0</v>
      </c>
      <c r="AP82" s="316">
        <v>0</v>
      </c>
      <c r="AQ82" s="316">
        <v>0</v>
      </c>
      <c r="AR82" s="316">
        <v>0</v>
      </c>
      <c r="AS82" s="316">
        <v>0</v>
      </c>
      <c r="AT82" s="316">
        <v>0</v>
      </c>
      <c r="AU82" s="316">
        <v>0</v>
      </c>
      <c r="AV82" s="129">
        <v>1.36237E-12</v>
      </c>
      <c r="AW82" s="129"/>
      <c r="AX82" s="129"/>
      <c r="AY82" s="129"/>
      <c r="AZ82" s="129"/>
      <c r="BA82" s="129">
        <v>9.58911E-14</v>
      </c>
      <c r="BB82" s="129">
        <v>1.16E-10</v>
      </c>
      <c r="BC82" s="129">
        <v>1.6799999999999999E-12</v>
      </c>
      <c r="BD82" s="129">
        <v>1.2999999999999999E-10</v>
      </c>
      <c r="BE82" s="129">
        <v>1.41E-10</v>
      </c>
      <c r="BF82" s="129">
        <v>8.1099999999999997E-11</v>
      </c>
      <c r="BG82" s="130">
        <v>3.5300000000000001E-12</v>
      </c>
      <c r="BH82" s="130">
        <v>3.1599999999999999E-12</v>
      </c>
      <c r="BI82" s="130">
        <v>8.4099999999999995E-13</v>
      </c>
      <c r="BJ82" s="130">
        <v>6.9599999999999996E-13</v>
      </c>
      <c r="BK82" s="130">
        <v>1.2499999999999999E-12</v>
      </c>
    </row>
    <row r="83" spans="1:63">
      <c r="A83">
        <f t="shared" si="1"/>
        <v>80</v>
      </c>
      <c r="B83" t="s">
        <v>132</v>
      </c>
      <c r="C83" t="str">
        <f>INDEX(EPD_Measures,6)</f>
        <v>Total primary energy consumption</v>
      </c>
      <c r="D83" t="str">
        <f>INDEX(EPD_Calc_Units,6)</f>
        <v>MJ</v>
      </c>
      <c r="E83" s="123" t="e">
        <f>NA()</f>
        <v>#N/A</v>
      </c>
      <c r="F83" s="123" t="e">
        <f>NA()</f>
        <v>#N/A</v>
      </c>
      <c r="G83" s="123">
        <v>7.2585999999999998E-2</v>
      </c>
      <c r="H83" s="123">
        <v>5.4460999999999996E-2</v>
      </c>
      <c r="I83" s="123">
        <v>4.6003226999999994E-2</v>
      </c>
      <c r="J83" s="123">
        <v>5.4460999999999996E-2</v>
      </c>
      <c r="K83" s="123">
        <v>0</v>
      </c>
      <c r="L83" s="123">
        <v>0</v>
      </c>
      <c r="M83" s="123">
        <v>0</v>
      </c>
      <c r="N83" s="123">
        <v>0</v>
      </c>
      <c r="O83" s="123">
        <v>0</v>
      </c>
      <c r="P83" s="123">
        <f>'Supplemental LCA Data'!$AC$50</f>
        <v>2.099997641465547</v>
      </c>
      <c r="Q83" s="123">
        <f>'Supplemental LCA Data'!$AD$50</f>
        <v>4.5999948336864307</v>
      </c>
      <c r="R83" s="123">
        <f>'Supplemental LCA Data'!$AE$50</f>
        <v>22.799974393054555</v>
      </c>
      <c r="S83" s="123">
        <f>'Supplemental LCA Data'!$AF$50</f>
        <v>18.299979447056902</v>
      </c>
      <c r="T83" s="123">
        <f>'Supplemental LCA Data'!$AG$50</f>
        <v>4.5999948336864307</v>
      </c>
      <c r="U83" s="123">
        <f>'Supplemental LCA Data'!$AH$50</f>
        <v>10.479988229789974</v>
      </c>
      <c r="V83" s="123">
        <v>57.506173091793869</v>
      </c>
      <c r="W83" s="123">
        <f>'Supplemental LCA Data'!$B$72/1000</f>
        <v>17.379305548594214</v>
      </c>
      <c r="X83" s="123">
        <f>'Supplemental LCA Data'!$C$72/1000</f>
        <v>21.115558668452628</v>
      </c>
      <c r="Y83" s="123">
        <f>'Supplemental LCA Data'!$D$72/1000</f>
        <v>25.458767950129285</v>
      </c>
      <c r="Z83" s="123">
        <f t="shared" si="3"/>
        <v>19.117236103453639</v>
      </c>
      <c r="AA83" s="123">
        <v>0</v>
      </c>
      <c r="AB83" s="123">
        <v>0</v>
      </c>
      <c r="AC83" s="123">
        <f t="shared" si="2"/>
        <v>17.379305548594214</v>
      </c>
      <c r="AD83" s="123">
        <v>0</v>
      </c>
      <c r="AE83" s="123">
        <v>0</v>
      </c>
      <c r="AF83" s="123">
        <v>0</v>
      </c>
      <c r="AG83" s="123">
        <v>111.41336281293017</v>
      </c>
      <c r="AH83" s="123">
        <v>96.934631722060175</v>
      </c>
      <c r="AI83" s="123">
        <v>3.4310468673118439</v>
      </c>
      <c r="AJ83" s="123">
        <v>7.079849022399789</v>
      </c>
      <c r="AK83" s="123">
        <v>88.609789579499989</v>
      </c>
      <c r="AL83" s="123">
        <v>75.869011043824344</v>
      </c>
      <c r="AM83" s="123">
        <v>0</v>
      </c>
      <c r="AN83" s="123">
        <v>0</v>
      </c>
      <c r="AO83" s="123">
        <v>0</v>
      </c>
      <c r="AP83" s="316">
        <v>0</v>
      </c>
      <c r="AQ83" s="316">
        <v>0</v>
      </c>
      <c r="AR83" s="316">
        <v>0</v>
      </c>
      <c r="AS83" s="316">
        <v>0</v>
      </c>
      <c r="AT83" s="316">
        <v>0</v>
      </c>
      <c r="AU83" s="316">
        <v>0</v>
      </c>
      <c r="AV83" s="129">
        <v>4.4305749780000001</v>
      </c>
      <c r="AW83" s="129">
        <v>3.6</v>
      </c>
      <c r="AX83" s="129">
        <v>3.6</v>
      </c>
      <c r="AY83" s="129">
        <v>3.6</v>
      </c>
      <c r="AZ83" s="129">
        <v>3.6</v>
      </c>
      <c r="BA83" s="129">
        <v>3.4579025999999999E-2</v>
      </c>
      <c r="BB83" s="129">
        <v>41.990099999999998</v>
      </c>
      <c r="BC83" s="129">
        <v>43.209249999999997</v>
      </c>
      <c r="BD83" s="129">
        <v>46.983649999999997</v>
      </c>
      <c r="BE83" s="129">
        <v>51.126690000000004</v>
      </c>
      <c r="BF83" s="129">
        <v>29.343319999999999</v>
      </c>
      <c r="BG83" s="130">
        <v>1.2783040000000001</v>
      </c>
      <c r="BH83" s="130">
        <v>1.14236</v>
      </c>
      <c r="BI83" s="130">
        <v>0.30436299999999999</v>
      </c>
      <c r="BJ83" s="130">
        <v>0.25176399999999999</v>
      </c>
      <c r="BK83" s="130">
        <v>0.45051000000000002</v>
      </c>
    </row>
    <row r="84" spans="1:63">
      <c r="A84">
        <f t="shared" si="1"/>
        <v>81</v>
      </c>
      <c r="B84" t="s">
        <v>132</v>
      </c>
      <c r="C84" t="str">
        <f>INDEX(EPD_Measures,7)</f>
        <v>Nonrenewable energy resources</v>
      </c>
      <c r="D84" t="str">
        <f>INDEX(EPD_Calc_Units,7)</f>
        <v>MJ</v>
      </c>
      <c r="E84" s="123" t="e">
        <f>NA()</f>
        <v>#N/A</v>
      </c>
      <c r="F84" s="123" t="e">
        <f>NA()</f>
        <v>#N/A</v>
      </c>
      <c r="G84" s="123">
        <v>3.7141E-2</v>
      </c>
      <c r="H84" s="123">
        <v>4.2634999999999999E-2</v>
      </c>
      <c r="I84" s="123">
        <v>3.4188114999999998E-2</v>
      </c>
      <c r="J84" s="123">
        <v>4.2634999999999999E-2</v>
      </c>
      <c r="K84" s="123"/>
      <c r="L84" s="123"/>
      <c r="M84" s="123">
        <v>0</v>
      </c>
      <c r="N84" s="123">
        <v>0</v>
      </c>
      <c r="O84" s="123">
        <v>0</v>
      </c>
      <c r="P84" s="123">
        <f>'Supplemental LCA Data'!$AC$51</f>
        <v>2.099997641465547</v>
      </c>
      <c r="Q84" s="123">
        <f>'Supplemental LCA Data'!$AD$51</f>
        <v>4.5999948336864307</v>
      </c>
      <c r="R84" s="123">
        <f>'Supplemental LCA Data'!$AE$51</f>
        <v>22.799974393054555</v>
      </c>
      <c r="S84" s="123">
        <f>'Supplemental LCA Data'!$AF$51</f>
        <v>18.299979447056902</v>
      </c>
      <c r="T84" s="123">
        <f>'Supplemental LCA Data'!$AG$51</f>
        <v>4.5999948336864307</v>
      </c>
      <c r="U84" s="123">
        <f>'Supplemental LCA Data'!$AH$51</f>
        <v>10.479988229789974</v>
      </c>
      <c r="V84" s="123"/>
      <c r="W84" s="123"/>
      <c r="X84" s="123"/>
      <c r="Y84" s="123"/>
      <c r="Z84" s="123"/>
      <c r="AA84" s="123"/>
      <c r="AB84" s="123"/>
      <c r="AC84" s="123"/>
      <c r="AD84" s="123"/>
      <c r="AE84" s="123"/>
      <c r="AF84" s="123"/>
      <c r="AG84" s="123"/>
      <c r="AH84" s="123"/>
      <c r="AI84" s="123"/>
      <c r="AJ84" s="123"/>
      <c r="AK84" s="123"/>
      <c r="AL84" s="123"/>
      <c r="AM84" s="123">
        <v>0</v>
      </c>
      <c r="AN84" s="123">
        <v>0</v>
      </c>
      <c r="AO84" s="123">
        <v>0</v>
      </c>
      <c r="AP84" s="316">
        <v>0</v>
      </c>
      <c r="AQ84" s="316">
        <v>0</v>
      </c>
      <c r="AR84" s="316">
        <v>0</v>
      </c>
      <c r="AS84" s="316">
        <v>0</v>
      </c>
      <c r="AT84" s="316">
        <v>0</v>
      </c>
      <c r="AU84" s="316">
        <v>0</v>
      </c>
      <c r="AV84" s="129">
        <v>0.49220425699999998</v>
      </c>
      <c r="AW84" s="129"/>
      <c r="AX84" s="129"/>
      <c r="AY84" s="129"/>
      <c r="AZ84" s="129"/>
      <c r="BA84" s="129">
        <v>3.4579025999999999E-2</v>
      </c>
      <c r="BB84" s="129">
        <v>41.929009999999998</v>
      </c>
      <c r="BC84" s="129">
        <v>43.189610000000002</v>
      </c>
      <c r="BD84" s="129">
        <v>46.915320000000001</v>
      </c>
      <c r="BE84" s="129">
        <v>51.052590000000002</v>
      </c>
      <c r="BF84" s="129">
        <v>29.300560000000001</v>
      </c>
      <c r="BG84" s="130">
        <v>1.276451</v>
      </c>
      <c r="BH84" s="130">
        <v>1.1407039999999999</v>
      </c>
      <c r="BI84" s="130">
        <v>0.303921</v>
      </c>
      <c r="BJ84" s="130">
        <v>0.25139899999999998</v>
      </c>
      <c r="BK84" s="130">
        <v>0.44985700000000001</v>
      </c>
    </row>
    <row r="85" spans="1:63">
      <c r="A85">
        <f t="shared" si="1"/>
        <v>82</v>
      </c>
      <c r="B85" t="s">
        <v>132</v>
      </c>
      <c r="C85" t="str">
        <f>INDEX(EPD_Measures,8)</f>
        <v>Renewable energy resources</v>
      </c>
      <c r="D85" t="str">
        <f>INDEX(EPD_Calc_Units,8)</f>
        <v>MJ</v>
      </c>
      <c r="E85" s="123" t="e">
        <f>NA()</f>
        <v>#N/A</v>
      </c>
      <c r="F85" s="123" t="e">
        <f>NA()</f>
        <v>#N/A</v>
      </c>
      <c r="G85" s="123">
        <v>3.5444999999999997E-2</v>
      </c>
      <c r="H85" s="123">
        <v>1.1826E-2</v>
      </c>
      <c r="I85" s="123">
        <v>1.1815111999999999E-2</v>
      </c>
      <c r="J85" s="123">
        <v>1.1826E-2</v>
      </c>
      <c r="K85" s="123"/>
      <c r="L85" s="123"/>
      <c r="M85" s="123">
        <v>0</v>
      </c>
      <c r="N85" s="123">
        <v>0</v>
      </c>
      <c r="O85" s="123">
        <v>0</v>
      </c>
      <c r="P85" s="123">
        <f>'Supplemental LCA Data'!$AC$52</f>
        <v>0</v>
      </c>
      <c r="Q85" s="123">
        <f>'Supplemental LCA Data'!$AD$52</f>
        <v>0</v>
      </c>
      <c r="R85" s="123">
        <f>'Supplemental LCA Data'!$AE$52</f>
        <v>0</v>
      </c>
      <c r="S85" s="123">
        <f>'Supplemental LCA Data'!$AF$52</f>
        <v>0</v>
      </c>
      <c r="T85" s="123">
        <f>'Supplemental LCA Data'!$AG$52</f>
        <v>0</v>
      </c>
      <c r="U85" s="123">
        <f>'Supplemental LCA Data'!$AH$52</f>
        <v>0</v>
      </c>
      <c r="V85" s="123"/>
      <c r="W85" s="123"/>
      <c r="X85" s="123"/>
      <c r="Y85" s="123"/>
      <c r="Z85" s="123"/>
      <c r="AA85" s="123"/>
      <c r="AB85" s="123"/>
      <c r="AC85" s="123"/>
      <c r="AD85" s="123"/>
      <c r="AE85" s="123"/>
      <c r="AF85" s="123"/>
      <c r="AG85" s="123"/>
      <c r="AH85" s="123"/>
      <c r="AI85" s="123"/>
      <c r="AJ85" s="123"/>
      <c r="AK85" s="123"/>
      <c r="AL85" s="123"/>
      <c r="AM85" s="123">
        <v>0</v>
      </c>
      <c r="AN85" s="123">
        <v>0</v>
      </c>
      <c r="AO85" s="123">
        <v>0</v>
      </c>
      <c r="AP85" s="316">
        <v>0</v>
      </c>
      <c r="AQ85" s="316">
        <v>0</v>
      </c>
      <c r="AR85" s="316">
        <v>0</v>
      </c>
      <c r="AS85" s="316">
        <v>0</v>
      </c>
      <c r="AT85" s="316">
        <v>0</v>
      </c>
      <c r="AU85" s="316">
        <v>0</v>
      </c>
      <c r="AV85" s="129">
        <v>3.9383707210000001</v>
      </c>
      <c r="AW85" s="129"/>
      <c r="AX85" s="129"/>
      <c r="AY85" s="129"/>
      <c r="AZ85" s="129"/>
      <c r="BA85" s="129">
        <v>0</v>
      </c>
      <c r="BB85" s="129">
        <v>6.1093000000000001E-2</v>
      </c>
      <c r="BC85" s="129">
        <v>1.9647000000000001E-2</v>
      </c>
      <c r="BD85" s="129">
        <v>6.8331000000000003E-2</v>
      </c>
      <c r="BE85" s="129">
        <v>7.4106000000000005E-2</v>
      </c>
      <c r="BF85" s="129">
        <v>4.2762000000000001E-2</v>
      </c>
      <c r="BG85" s="130">
        <v>1.853E-3</v>
      </c>
      <c r="BH85" s="130">
        <v>1.6559999999999999E-3</v>
      </c>
      <c r="BI85" s="130">
        <v>4.4099999999999999E-4</v>
      </c>
      <c r="BJ85" s="130">
        <v>3.6499999999999998E-4</v>
      </c>
      <c r="BK85" s="130">
        <v>6.5300000000000004E-4</v>
      </c>
    </row>
    <row r="86" spans="1:63">
      <c r="A86">
        <f t="shared" si="1"/>
        <v>83</v>
      </c>
      <c r="B86" t="s">
        <v>132</v>
      </c>
      <c r="C86" t="str">
        <f>INDEX(EPD_Measures,9)</f>
        <v>Material resources consumption</v>
      </c>
      <c r="D86" t="str">
        <f>INDEX(EPD_Calc_Units,9)</f>
        <v>kg</v>
      </c>
      <c r="E86" s="123" t="e">
        <f>NA()</f>
        <v>#N/A</v>
      </c>
      <c r="F86" s="123" t="e">
        <f>NA()</f>
        <v>#N/A</v>
      </c>
      <c r="G86" s="123">
        <v>1.0000015600000001</v>
      </c>
      <c r="H86" s="123">
        <v>1.0000021111778816</v>
      </c>
      <c r="I86" s="123">
        <v>1.0000015600000001</v>
      </c>
      <c r="J86" s="123">
        <v>1.0000021111778816</v>
      </c>
      <c r="K86" s="123"/>
      <c r="L86" s="123"/>
      <c r="M86" s="123">
        <v>0</v>
      </c>
      <c r="N86" s="123">
        <v>0</v>
      </c>
      <c r="O86" s="123">
        <v>0</v>
      </c>
      <c r="P86" s="123">
        <f>'Supplemental LCA Data'!$AC$53</f>
        <v>0</v>
      </c>
      <c r="Q86" s="123">
        <f>'Supplemental LCA Data'!$AD$53</f>
        <v>0</v>
      </c>
      <c r="R86" s="123">
        <f>'Supplemental LCA Data'!$AE$53</f>
        <v>0</v>
      </c>
      <c r="S86" s="123">
        <f>'Supplemental LCA Data'!$AF$53</f>
        <v>0</v>
      </c>
      <c r="T86" s="123">
        <f>'Supplemental LCA Data'!$AG$53</f>
        <v>0</v>
      </c>
      <c r="U86" s="123">
        <f>'Supplemental LCA Data'!$AH$53</f>
        <v>0</v>
      </c>
      <c r="V86" s="123"/>
      <c r="W86" s="123"/>
      <c r="X86" s="123"/>
      <c r="Y86" s="123"/>
      <c r="Z86" s="123"/>
      <c r="AA86" s="123"/>
      <c r="AB86" s="123"/>
      <c r="AC86" s="123"/>
      <c r="AD86" s="123"/>
      <c r="AE86" s="123"/>
      <c r="AF86" s="123"/>
      <c r="AG86" s="123"/>
      <c r="AH86" s="123"/>
      <c r="AI86" s="123"/>
      <c r="AJ86" s="123"/>
      <c r="AK86" s="123"/>
      <c r="AL86" s="123"/>
      <c r="AM86" s="123">
        <v>0</v>
      </c>
      <c r="AN86" s="123">
        <v>0</v>
      </c>
      <c r="AO86" s="123">
        <v>0</v>
      </c>
      <c r="AP86" s="316">
        <v>0</v>
      </c>
      <c r="AQ86" s="316">
        <v>0</v>
      </c>
      <c r="AR86" s="316">
        <v>0</v>
      </c>
      <c r="AS86" s="316">
        <v>0</v>
      </c>
      <c r="AT86" s="316">
        <v>0</v>
      </c>
      <c r="AU86" s="316">
        <v>0</v>
      </c>
      <c r="AV86" s="129">
        <v>0</v>
      </c>
      <c r="AW86" s="129"/>
      <c r="AX86" s="129"/>
      <c r="AY86" s="129"/>
      <c r="AZ86" s="129"/>
      <c r="BA86" s="129">
        <v>0.84323164500000003</v>
      </c>
      <c r="BB86" s="129">
        <v>0</v>
      </c>
      <c r="BC86" s="129">
        <v>0</v>
      </c>
      <c r="BD86" s="129">
        <v>0</v>
      </c>
      <c r="BE86" s="129">
        <v>0</v>
      </c>
      <c r="BF86" s="129">
        <v>0</v>
      </c>
      <c r="BG86" s="130">
        <v>0</v>
      </c>
      <c r="BH86" s="130">
        <v>0</v>
      </c>
      <c r="BI86" s="130">
        <v>0</v>
      </c>
      <c r="BJ86" s="130">
        <v>0</v>
      </c>
      <c r="BK86" s="130">
        <v>0</v>
      </c>
    </row>
    <row r="87" spans="1:63">
      <c r="A87">
        <f t="shared" si="1"/>
        <v>84</v>
      </c>
      <c r="B87" t="s">
        <v>132</v>
      </c>
      <c r="C87" t="str">
        <f>INDEX(EPD_Measures,10)</f>
        <v>Nonrenewable material resources</v>
      </c>
      <c r="D87" t="str">
        <f>INDEX(EPD_Calc_Units,10)</f>
        <v>kg</v>
      </c>
      <c r="E87" s="123" t="e">
        <f>NA()</f>
        <v>#N/A</v>
      </c>
      <c r="F87" s="123" t="e">
        <f>NA()</f>
        <v>#N/A</v>
      </c>
      <c r="G87" s="123">
        <v>1</v>
      </c>
      <c r="H87" s="123">
        <v>1.0000001919173316</v>
      </c>
      <c r="I87" s="123">
        <v>1</v>
      </c>
      <c r="J87" s="123">
        <v>1.0000001919173316</v>
      </c>
      <c r="K87" s="123"/>
      <c r="L87" s="123"/>
      <c r="M87" s="123">
        <v>0</v>
      </c>
      <c r="N87" s="123">
        <v>0</v>
      </c>
      <c r="O87" s="123">
        <v>0</v>
      </c>
      <c r="P87" s="123">
        <f>'Supplemental LCA Data'!$AC$54</f>
        <v>0</v>
      </c>
      <c r="Q87" s="123">
        <f>'Supplemental LCA Data'!$AD$54</f>
        <v>0</v>
      </c>
      <c r="R87" s="123">
        <f>'Supplemental LCA Data'!$AE$54</f>
        <v>0</v>
      </c>
      <c r="S87" s="123">
        <f>'Supplemental LCA Data'!$AF$54</f>
        <v>0</v>
      </c>
      <c r="T87" s="123">
        <f>'Supplemental LCA Data'!$AG$54</f>
        <v>0</v>
      </c>
      <c r="U87" s="123">
        <f>'Supplemental LCA Data'!$AH$54</f>
        <v>0</v>
      </c>
      <c r="V87" s="123"/>
      <c r="W87" s="123"/>
      <c r="X87" s="123"/>
      <c r="Y87" s="123"/>
      <c r="Z87" s="123"/>
      <c r="AA87" s="123"/>
      <c r="AB87" s="123"/>
      <c r="AC87" s="123"/>
      <c r="AD87" s="123"/>
      <c r="AE87" s="123"/>
      <c r="AF87" s="123"/>
      <c r="AG87" s="123"/>
      <c r="AH87" s="123"/>
      <c r="AI87" s="123"/>
      <c r="AJ87" s="123"/>
      <c r="AK87" s="123"/>
      <c r="AL87" s="123"/>
      <c r="AM87" s="123">
        <v>0</v>
      </c>
      <c r="AN87" s="123">
        <v>0</v>
      </c>
      <c r="AO87" s="123">
        <v>0</v>
      </c>
      <c r="AP87" s="316">
        <v>0</v>
      </c>
      <c r="AQ87" s="316">
        <v>0</v>
      </c>
      <c r="AR87" s="316">
        <v>0</v>
      </c>
      <c r="AS87" s="316">
        <v>0</v>
      </c>
      <c r="AT87" s="316">
        <v>0</v>
      </c>
      <c r="AU87" s="316">
        <v>0</v>
      </c>
      <c r="AV87" s="129">
        <v>0</v>
      </c>
      <c r="AW87" s="129"/>
      <c r="AX87" s="129"/>
      <c r="AY87" s="129"/>
      <c r="AZ87" s="129"/>
      <c r="BA87" s="129">
        <v>0</v>
      </c>
      <c r="BB87" s="129">
        <v>0</v>
      </c>
      <c r="BC87" s="129">
        <v>0</v>
      </c>
      <c r="BD87" s="129">
        <v>0</v>
      </c>
      <c r="BE87" s="129">
        <v>0</v>
      </c>
      <c r="BF87" s="129">
        <v>0</v>
      </c>
      <c r="BG87" s="130">
        <v>0</v>
      </c>
      <c r="BH87" s="130">
        <v>0</v>
      </c>
      <c r="BI87" s="130">
        <v>0</v>
      </c>
      <c r="BJ87" s="130">
        <v>0</v>
      </c>
      <c r="BK87" s="130">
        <v>0</v>
      </c>
    </row>
    <row r="88" spans="1:63">
      <c r="A88">
        <f t="shared" si="1"/>
        <v>85</v>
      </c>
      <c r="B88" t="s">
        <v>132</v>
      </c>
      <c r="C88" t="str">
        <f>INDEX(EPD_Measures,11)</f>
        <v>Renewable material resources</v>
      </c>
      <c r="D88" t="str">
        <f>INDEX(EPD_Calc_Units,11)</f>
        <v>kg</v>
      </c>
      <c r="E88" s="123" t="e">
        <f>NA()</f>
        <v>#N/A</v>
      </c>
      <c r="F88" s="123" t="e">
        <f>NA()</f>
        <v>#N/A</v>
      </c>
      <c r="G88" s="123">
        <v>1.5600000000000001E-6</v>
      </c>
      <c r="H88" s="123">
        <v>1.9192605499999998E-6</v>
      </c>
      <c r="I88" s="123">
        <v>1.5600000000000001E-6</v>
      </c>
      <c r="J88" s="123">
        <v>1.9192605499999998E-6</v>
      </c>
      <c r="K88" s="123"/>
      <c r="L88" s="123"/>
      <c r="M88" s="123">
        <v>0</v>
      </c>
      <c r="N88" s="123">
        <v>0</v>
      </c>
      <c r="O88" s="123">
        <v>0</v>
      </c>
      <c r="P88" s="123">
        <f>'Supplemental LCA Data'!$AC$55</f>
        <v>0</v>
      </c>
      <c r="Q88" s="123">
        <f>'Supplemental LCA Data'!$AD$55</f>
        <v>0</v>
      </c>
      <c r="R88" s="123">
        <f>'Supplemental LCA Data'!$AE$55</f>
        <v>0</v>
      </c>
      <c r="S88" s="123">
        <f>'Supplemental LCA Data'!$AF$55</f>
        <v>0</v>
      </c>
      <c r="T88" s="123">
        <f>'Supplemental LCA Data'!$AG$55</f>
        <v>0</v>
      </c>
      <c r="U88" s="123">
        <f>'Supplemental LCA Data'!$AH$55</f>
        <v>0</v>
      </c>
      <c r="V88" s="123"/>
      <c r="W88" s="123"/>
      <c r="X88" s="123"/>
      <c r="Y88" s="123"/>
      <c r="Z88" s="123"/>
      <c r="AA88" s="123"/>
      <c r="AB88" s="123"/>
      <c r="AC88" s="123"/>
      <c r="AD88" s="123"/>
      <c r="AE88" s="123"/>
      <c r="AF88" s="123"/>
      <c r="AG88" s="123"/>
      <c r="AH88" s="123"/>
      <c r="AI88" s="123"/>
      <c r="AJ88" s="123"/>
      <c r="AK88" s="123"/>
      <c r="AL88" s="123"/>
      <c r="AM88" s="123">
        <v>0</v>
      </c>
      <c r="AN88" s="123">
        <v>0</v>
      </c>
      <c r="AO88" s="123">
        <v>0</v>
      </c>
      <c r="AP88" s="316">
        <v>0</v>
      </c>
      <c r="AQ88" s="316">
        <v>0</v>
      </c>
      <c r="AR88" s="316">
        <v>0</v>
      </c>
      <c r="AS88" s="316">
        <v>0</v>
      </c>
      <c r="AT88" s="316">
        <v>0</v>
      </c>
      <c r="AU88" s="316">
        <v>0</v>
      </c>
      <c r="AV88" s="129">
        <v>0</v>
      </c>
      <c r="AW88" s="129"/>
      <c r="AX88" s="129"/>
      <c r="AY88" s="129"/>
      <c r="AZ88" s="129"/>
      <c r="BA88" s="129">
        <v>0.84323164500000003</v>
      </c>
      <c r="BB88" s="129">
        <v>0</v>
      </c>
      <c r="BC88" s="129">
        <v>0</v>
      </c>
      <c r="BD88" s="129">
        <v>0</v>
      </c>
      <c r="BE88" s="129">
        <v>0</v>
      </c>
      <c r="BF88" s="129">
        <v>0</v>
      </c>
      <c r="BG88" s="130">
        <v>0</v>
      </c>
      <c r="BH88" s="130">
        <v>0</v>
      </c>
      <c r="BI88" s="130">
        <v>0</v>
      </c>
      <c r="BJ88" s="130">
        <v>0</v>
      </c>
      <c r="BK88" s="130">
        <v>0</v>
      </c>
    </row>
    <row r="89" spans="1:63">
      <c r="A89">
        <f t="shared" si="1"/>
        <v>86</v>
      </c>
      <c r="B89" t="s">
        <v>132</v>
      </c>
      <c r="C89" t="str">
        <f>INDEX(EPD_Measures,12)</f>
        <v>Net Fresh Water</v>
      </c>
      <c r="D89" t="str">
        <f>INDEX(EPD_Calc_Units,12)</f>
        <v>m3</v>
      </c>
      <c r="E89" s="123" t="e">
        <f>NA()</f>
        <v>#N/A</v>
      </c>
      <c r="F89" s="123" t="e">
        <f>NA()</f>
        <v>#N/A</v>
      </c>
      <c r="G89" s="123">
        <f>$G$1+0</f>
        <v>6.7500000000000004E-4</v>
      </c>
      <c r="H89" s="123">
        <f>$G$1+0.000000717</f>
        <v>6.7571700000000005E-4</v>
      </c>
      <c r="I89" s="123">
        <f>$G$1+0</f>
        <v>6.7500000000000004E-4</v>
      </c>
      <c r="J89" s="123">
        <f>$G$1+0.000000717</f>
        <v>6.7571700000000005E-4</v>
      </c>
      <c r="K89" s="123">
        <v>0</v>
      </c>
      <c r="L89" s="123">
        <v>0</v>
      </c>
      <c r="M89" s="123">
        <v>0</v>
      </c>
      <c r="N89" s="123">
        <v>0</v>
      </c>
      <c r="O89" s="123">
        <v>0</v>
      </c>
      <c r="P89" s="123">
        <f>'Supplemental LCA Data'!$AC$56</f>
        <v>0</v>
      </c>
      <c r="Q89" s="123">
        <f>'Supplemental LCA Data'!$AD$56</f>
        <v>0</v>
      </c>
      <c r="R89" s="123">
        <f>'Supplemental LCA Data'!$AE$56</f>
        <v>0</v>
      </c>
      <c r="S89" s="123">
        <f>'Supplemental LCA Data'!$AF$56</f>
        <v>0</v>
      </c>
      <c r="T89" s="123">
        <f>'Supplemental LCA Data'!$AG$56</f>
        <v>0</v>
      </c>
      <c r="U89" s="123">
        <f>'Supplemental LCA Data'!$AH$56</f>
        <v>0</v>
      </c>
      <c r="V89" s="123">
        <v>0.11500386618134965</v>
      </c>
      <c r="W89" s="123">
        <f>'Supplemental LCA Data'!$B$73/1000/1000</f>
        <v>1.3732079207907059E-2</v>
      </c>
      <c r="X89" s="123">
        <f>'Supplemental LCA Data'!$C$73/1000/1000</f>
        <v>1.389655434006113E-2</v>
      </c>
      <c r="Y89" s="123">
        <f>'Supplemental LCA Data'!$D$73/1000/1000</f>
        <v>1.4675578391799121E-2</v>
      </c>
      <c r="Z89" s="123">
        <f t="shared" si="3"/>
        <v>1.5105287128697766E-2</v>
      </c>
      <c r="AA89" s="123">
        <v>0</v>
      </c>
      <c r="AB89" s="123">
        <v>0</v>
      </c>
      <c r="AC89" s="123">
        <f t="shared" si="2"/>
        <v>1.3732079207907059E-2</v>
      </c>
      <c r="AD89" s="123">
        <v>0</v>
      </c>
      <c r="AE89" s="123">
        <v>0</v>
      </c>
      <c r="AF89" s="123">
        <v>0</v>
      </c>
      <c r="AG89" s="123">
        <v>6.6615854003756548E-4</v>
      </c>
      <c r="AH89" s="123">
        <v>8.5599624991234465E-3</v>
      </c>
      <c r="AI89" s="123">
        <v>3.5226266152208971E-4</v>
      </c>
      <c r="AJ89" s="123">
        <v>3.9507938615937904E-3</v>
      </c>
      <c r="AK89" s="123">
        <v>7.4033158500000001E-2</v>
      </c>
      <c r="AL89" s="123">
        <v>0</v>
      </c>
      <c r="AM89" s="123">
        <v>0</v>
      </c>
      <c r="AN89" s="123">
        <v>0</v>
      </c>
      <c r="AO89" s="123">
        <v>0</v>
      </c>
      <c r="AP89" s="316">
        <v>0</v>
      </c>
      <c r="AQ89" s="316">
        <v>0</v>
      </c>
      <c r="AR89" s="316">
        <v>0</v>
      </c>
      <c r="AS89" s="316">
        <v>0</v>
      </c>
      <c r="AT89" s="316">
        <v>0</v>
      </c>
      <c r="AU89" s="316">
        <v>0</v>
      </c>
      <c r="AV89" s="129">
        <v>0</v>
      </c>
      <c r="AW89" s="129">
        <v>0</v>
      </c>
      <c r="AX89" s="129">
        <v>0</v>
      </c>
      <c r="AY89" s="129">
        <v>0</v>
      </c>
      <c r="AZ89" s="129">
        <v>0</v>
      </c>
      <c r="BA89" s="129">
        <v>0</v>
      </c>
      <c r="BB89" s="129">
        <v>0</v>
      </c>
      <c r="BC89" s="129">
        <v>0</v>
      </c>
      <c r="BD89" s="129">
        <v>0</v>
      </c>
      <c r="BE89" s="129">
        <v>0</v>
      </c>
      <c r="BF89" s="129">
        <v>0</v>
      </c>
      <c r="BG89" s="130">
        <v>0</v>
      </c>
      <c r="BH89" s="130">
        <v>0</v>
      </c>
      <c r="BI89" s="130">
        <v>0</v>
      </c>
      <c r="BJ89" s="130">
        <v>0</v>
      </c>
      <c r="BK89" s="130">
        <v>0</v>
      </c>
    </row>
    <row r="90" spans="1:63">
      <c r="A90">
        <f t="shared" si="1"/>
        <v>87</v>
      </c>
      <c r="B90" t="s">
        <v>132</v>
      </c>
      <c r="C90" t="str">
        <f>INDEX(EPD_Measures,13)</f>
        <v>Non-hazardous waste generated</v>
      </c>
      <c r="D90" t="str">
        <f>INDEX(EPD_Calc_Units,13)</f>
        <v>kg</v>
      </c>
      <c r="E90" s="123" t="e">
        <f>NA()</f>
        <v>#N/A</v>
      </c>
      <c r="F90" s="123" t="e">
        <f>NA()</f>
        <v>#N/A</v>
      </c>
      <c r="G90" s="123">
        <v>0</v>
      </c>
      <c r="H90" s="123">
        <v>0</v>
      </c>
      <c r="I90" s="123">
        <v>0</v>
      </c>
      <c r="J90" s="123">
        <v>0</v>
      </c>
      <c r="K90" s="123"/>
      <c r="L90" s="123"/>
      <c r="M90" s="123">
        <v>0</v>
      </c>
      <c r="N90" s="123">
        <v>0</v>
      </c>
      <c r="O90" s="123">
        <v>0</v>
      </c>
      <c r="P90" s="123">
        <f>'Supplemental LCA Data'!$AC$57</f>
        <v>0</v>
      </c>
      <c r="Q90" s="123">
        <f>'Supplemental LCA Data'!$AD$57</f>
        <v>0</v>
      </c>
      <c r="R90" s="123">
        <f>'Supplemental LCA Data'!$AE$57</f>
        <v>0</v>
      </c>
      <c r="S90" s="123">
        <f>'Supplemental LCA Data'!$AF$57</f>
        <v>0</v>
      </c>
      <c r="T90" s="123">
        <f>'Supplemental LCA Data'!$AG$57</f>
        <v>0</v>
      </c>
      <c r="U90" s="123">
        <f>'Supplemental LCA Data'!$AH$57</f>
        <v>0</v>
      </c>
      <c r="V90" s="123"/>
      <c r="W90" s="123"/>
      <c r="X90" s="123"/>
      <c r="Y90" s="123"/>
      <c r="Z90" s="123"/>
      <c r="AA90" s="123"/>
      <c r="AB90" s="123"/>
      <c r="AC90" s="123"/>
      <c r="AD90" s="123"/>
      <c r="AE90" s="123"/>
      <c r="AF90" s="123"/>
      <c r="AG90" s="123"/>
      <c r="AH90" s="123"/>
      <c r="AI90" s="123"/>
      <c r="AJ90" s="123"/>
      <c r="AK90" s="123"/>
      <c r="AL90" s="123"/>
      <c r="AM90" s="123">
        <v>0</v>
      </c>
      <c r="AN90" s="123">
        <v>0</v>
      </c>
      <c r="AO90" s="123">
        <v>0</v>
      </c>
      <c r="AP90" s="316">
        <v>0</v>
      </c>
      <c r="AQ90" s="316">
        <v>0</v>
      </c>
      <c r="AR90" s="316">
        <v>0</v>
      </c>
      <c r="AS90" s="316">
        <v>0</v>
      </c>
      <c r="AT90" s="316">
        <v>0</v>
      </c>
      <c r="AU90" s="316">
        <v>0</v>
      </c>
      <c r="AV90" s="129">
        <v>0</v>
      </c>
      <c r="AW90" s="129"/>
      <c r="AX90" s="129"/>
      <c r="AY90" s="129"/>
      <c r="AZ90" s="129"/>
      <c r="BA90" s="129">
        <v>0</v>
      </c>
      <c r="BB90" s="129">
        <v>0</v>
      </c>
      <c r="BC90" s="129">
        <v>0</v>
      </c>
      <c r="BD90" s="129">
        <v>0</v>
      </c>
      <c r="BE90" s="129">
        <v>0</v>
      </c>
      <c r="BF90" s="129">
        <v>0</v>
      </c>
      <c r="BG90" s="130">
        <v>0</v>
      </c>
      <c r="BH90" s="130">
        <v>0</v>
      </c>
      <c r="BI90" s="130">
        <v>0</v>
      </c>
      <c r="BJ90" s="130">
        <v>0</v>
      </c>
      <c r="BK90" s="130">
        <v>0</v>
      </c>
    </row>
    <row r="91" spans="1:63">
      <c r="A91">
        <f t="shared" si="1"/>
        <v>88</v>
      </c>
      <c r="B91" t="s">
        <v>132</v>
      </c>
      <c r="C91" t="str">
        <f>INDEX(EPD_Measures,14)</f>
        <v>Hazardous waste generated</v>
      </c>
      <c r="D91" t="str">
        <f>INDEX(EPD_Calc_Units,14)</f>
        <v>kg</v>
      </c>
      <c r="E91" s="123" t="e">
        <f>NA()</f>
        <v>#N/A</v>
      </c>
      <c r="F91" s="123" t="e">
        <f>NA()</f>
        <v>#N/A</v>
      </c>
      <c r="G91" s="123">
        <v>0</v>
      </c>
      <c r="H91" s="123">
        <v>0</v>
      </c>
      <c r="I91" s="123">
        <v>0</v>
      </c>
      <c r="J91" s="123">
        <v>0</v>
      </c>
      <c r="K91" s="123"/>
      <c r="L91" s="123"/>
      <c r="M91" s="123">
        <v>0</v>
      </c>
      <c r="N91" s="123">
        <v>0</v>
      </c>
      <c r="O91" s="123">
        <v>0</v>
      </c>
      <c r="P91" s="123">
        <f>'Supplemental LCA Data'!$AC$58</f>
        <v>0</v>
      </c>
      <c r="Q91" s="123">
        <f>'Supplemental LCA Data'!$AD$58</f>
        <v>0</v>
      </c>
      <c r="R91" s="123">
        <f>'Supplemental LCA Data'!$AE$58</f>
        <v>0</v>
      </c>
      <c r="S91" s="123">
        <f>'Supplemental LCA Data'!$AF$58</f>
        <v>0</v>
      </c>
      <c r="T91" s="123">
        <f>'Supplemental LCA Data'!$AG$58</f>
        <v>0</v>
      </c>
      <c r="U91" s="123">
        <f>'Supplemental LCA Data'!$AH$58</f>
        <v>0</v>
      </c>
      <c r="V91" s="123"/>
      <c r="W91" s="123"/>
      <c r="X91" s="123"/>
      <c r="Y91" s="123"/>
      <c r="Z91" s="123"/>
      <c r="AA91" s="123"/>
      <c r="AB91" s="123"/>
      <c r="AC91" s="123"/>
      <c r="AD91" s="123"/>
      <c r="AE91" s="123"/>
      <c r="AF91" s="123"/>
      <c r="AG91" s="123"/>
      <c r="AH91" s="123"/>
      <c r="AI91" s="123"/>
      <c r="AJ91" s="123"/>
      <c r="AK91" s="123"/>
      <c r="AL91" s="123"/>
      <c r="AM91" s="123">
        <v>0</v>
      </c>
      <c r="AN91" s="123">
        <v>0</v>
      </c>
      <c r="AO91" s="123">
        <v>0</v>
      </c>
      <c r="AP91" s="316">
        <v>0</v>
      </c>
      <c r="AQ91" s="316">
        <v>0</v>
      </c>
      <c r="AR91" s="316">
        <v>0</v>
      </c>
      <c r="AS91" s="316">
        <v>0</v>
      </c>
      <c r="AT91" s="316">
        <v>0</v>
      </c>
      <c r="AU91" s="316">
        <v>0</v>
      </c>
      <c r="AV91" s="129">
        <v>0</v>
      </c>
      <c r="AW91" s="129"/>
      <c r="AX91" s="129"/>
      <c r="AY91" s="129"/>
      <c r="AZ91" s="129"/>
      <c r="BA91" s="129">
        <v>0</v>
      </c>
      <c r="BB91" s="129">
        <v>0</v>
      </c>
      <c r="BC91" s="129">
        <v>0</v>
      </c>
      <c r="BD91" s="129">
        <v>0</v>
      </c>
      <c r="BE91" s="129">
        <v>0</v>
      </c>
      <c r="BF91" s="129">
        <v>0</v>
      </c>
      <c r="BG91" s="130">
        <v>0</v>
      </c>
      <c r="BH91" s="130">
        <v>0</v>
      </c>
      <c r="BI91" s="130">
        <v>0</v>
      </c>
      <c r="BJ91" s="130">
        <v>0</v>
      </c>
      <c r="BK91" s="130">
        <v>0</v>
      </c>
    </row>
    <row r="92" spans="1:63">
      <c r="A92" s="112">
        <f t="shared" si="1"/>
        <v>89</v>
      </c>
      <c r="B92" s="112" t="s">
        <v>112</v>
      </c>
      <c r="C92" s="112" t="str">
        <f>INDEX(EPD_Measures,1)</f>
        <v>Global warming potential (GWP)</v>
      </c>
      <c r="D92" s="112" t="str">
        <f>INDEX(EPD_Calc_Units,1)</f>
        <v>kg</v>
      </c>
      <c r="E92" s="123">
        <v>1.0386510680000001</v>
      </c>
      <c r="F92" s="123">
        <f>E92*'Supplemental LCA Data'!$E$49</f>
        <v>0.92931937663157904</v>
      </c>
      <c r="G92" s="123">
        <v>1.0115000000000001E-2</v>
      </c>
      <c r="H92" s="123">
        <v>5.4060000000000002E-3</v>
      </c>
      <c r="I92" s="123">
        <v>1.41358E-13</v>
      </c>
      <c r="J92" s="123">
        <v>5.4060000000000002E-3</v>
      </c>
      <c r="K92" s="123">
        <v>0</v>
      </c>
      <c r="L92" s="123">
        <v>0</v>
      </c>
      <c r="M92" s="123">
        <v>0</v>
      </c>
      <c r="N92" s="123">
        <v>0</v>
      </c>
      <c r="O92" s="123">
        <v>0</v>
      </c>
      <c r="P92" s="123">
        <f>'Supplemental LCA Data'!$AC$45</f>
        <v>0.10406360712476165</v>
      </c>
      <c r="Q92" s="123">
        <f>'Supplemental LCA Data'!$AD$45</f>
        <v>0.22949974224587316</v>
      </c>
      <c r="R92" s="123">
        <f>'Supplemental LCA Data'!$AE$45</f>
        <v>1.2625032020663256</v>
      </c>
      <c r="S92" s="123">
        <f>'Supplemental LCA Data'!$AF$45</f>
        <v>0.76998593521882752</v>
      </c>
      <c r="T92" s="123">
        <f>'Supplemental LCA Data'!$AG$45</f>
        <v>0.22949974224587316</v>
      </c>
      <c r="U92" s="123">
        <f>'Supplemental LCA Data'!$AH$45</f>
        <v>0.51911044578033227</v>
      </c>
      <c r="V92" s="123">
        <v>2.9429471121354829</v>
      </c>
      <c r="W92" s="123">
        <f>'Supplemental LCA Data'!$B$71/1000</f>
        <v>0.89195544554366246</v>
      </c>
      <c r="X92" s="123">
        <f>'Supplemental LCA Data'!$C$71/1000</f>
        <v>1.0380563118652284</v>
      </c>
      <c r="Y92" s="123">
        <f>'Supplemental LCA Data'!$D$71/1000</f>
        <v>1.5012328955993122</v>
      </c>
      <c r="Z92" s="123">
        <f t="shared" si="3"/>
        <v>0.98115099009802875</v>
      </c>
      <c r="AA92" s="123">
        <v>0</v>
      </c>
      <c r="AB92" s="123">
        <v>0</v>
      </c>
      <c r="AC92" s="123">
        <f t="shared" si="2"/>
        <v>0.89195544554366246</v>
      </c>
      <c r="AD92" s="123">
        <v>0</v>
      </c>
      <c r="AE92" s="123">
        <v>0</v>
      </c>
      <c r="AF92" s="123">
        <v>0</v>
      </c>
      <c r="AG92" s="123">
        <v>3.3162413704963716</v>
      </c>
      <c r="AH92" s="123">
        <v>9.0789952164299699</v>
      </c>
      <c r="AI92" s="123">
        <v>0.2453477255455345</v>
      </c>
      <c r="AJ92" s="123">
        <v>0.3279493299762562</v>
      </c>
      <c r="AK92" s="123">
        <v>4.6408478655656005</v>
      </c>
      <c r="AL92" s="123">
        <v>0.92461248966214149</v>
      </c>
      <c r="AM92" s="123">
        <v>0</v>
      </c>
      <c r="AN92" s="123">
        <v>0</v>
      </c>
      <c r="AO92" s="123">
        <v>0</v>
      </c>
      <c r="AP92" s="316">
        <v>0</v>
      </c>
      <c r="AQ92" s="316">
        <v>0</v>
      </c>
      <c r="AR92" s="316">
        <v>0</v>
      </c>
      <c r="AS92" s="316">
        <v>0</v>
      </c>
      <c r="AT92" s="316">
        <v>0</v>
      </c>
      <c r="AU92" s="316">
        <v>0</v>
      </c>
      <c r="AV92" s="129">
        <v>0.87925762200000002</v>
      </c>
      <c r="AW92" s="129">
        <v>0</v>
      </c>
      <c r="AX92" s="129">
        <v>0</v>
      </c>
      <c r="AY92" s="129">
        <v>0</v>
      </c>
      <c r="AZ92" s="129">
        <v>0</v>
      </c>
      <c r="BA92" s="129">
        <v>4.5765858E-2</v>
      </c>
      <c r="BB92" s="129">
        <v>2.529973</v>
      </c>
      <c r="BC92" s="129">
        <v>2.4438970000000002</v>
      </c>
      <c r="BD92" s="129">
        <v>3.1787649999999998</v>
      </c>
      <c r="BE92" s="129">
        <v>3.7603420000000001</v>
      </c>
      <c r="BF92" s="129">
        <v>2.0422280000000002</v>
      </c>
      <c r="BG92" s="130">
        <v>9.2743999999999993E-2</v>
      </c>
      <c r="BH92" s="130">
        <v>7.3523000000000005E-2</v>
      </c>
      <c r="BI92" s="130">
        <v>2.2027999999999999E-2</v>
      </c>
      <c r="BJ92" s="130">
        <v>1.8526999999999998E-2</v>
      </c>
      <c r="BK92" s="130">
        <v>3.3079999999999998E-2</v>
      </c>
    </row>
    <row r="93" spans="1:63">
      <c r="A93">
        <f t="shared" si="1"/>
        <v>90</v>
      </c>
      <c r="B93" t="s">
        <v>112</v>
      </c>
      <c r="C93" t="str">
        <f>INDEX(EPD_Measures,2)</f>
        <v>Acidification potential</v>
      </c>
      <c r="D93" t="str">
        <f>INDEX(EPD_Calc_Units,2)</f>
        <v>kg</v>
      </c>
      <c r="E93" s="123">
        <v>4.5540600000000004E-3</v>
      </c>
      <c r="F93" s="123">
        <f>E93*'Supplemental LCA Data'!$E$52</f>
        <v>4.1097614634146339E-3</v>
      </c>
      <c r="G93" s="123">
        <v>8.81E-5</v>
      </c>
      <c r="H93" s="123">
        <v>5.5399999999999998E-5</v>
      </c>
      <c r="I93" s="123">
        <v>2.1379400000000002E-6</v>
      </c>
      <c r="J93" s="123">
        <v>5.5399999999999998E-5</v>
      </c>
      <c r="K93" s="123"/>
      <c r="L93" s="123"/>
      <c r="M93" s="123">
        <v>0</v>
      </c>
      <c r="N93" s="123">
        <v>0</v>
      </c>
      <c r="O93" s="123">
        <v>0</v>
      </c>
      <c r="P93" s="123">
        <f>'Supplemental LCA Data'!$AC$46</f>
        <v>5.7703135192831948E-4</v>
      </c>
      <c r="Q93" s="123">
        <f>'Supplemental LCA Data'!$AD$46</f>
        <v>1.2139986365417917E-3</v>
      </c>
      <c r="R93" s="123">
        <f>'Supplemental LCA Data'!$AE$46</f>
        <v>4.7483946670140312E-3</v>
      </c>
      <c r="S93" s="123">
        <f>'Supplemental LCA Data'!$AF$46</f>
        <v>3.9528555604969102</v>
      </c>
      <c r="T93" s="123">
        <f>'Supplemental LCA Data'!$AG$46</f>
        <v>1.2139986365417917E-3</v>
      </c>
      <c r="U93" s="123">
        <f>'Supplemental LCA Data'!$AH$46</f>
        <v>0.79212179675778727</v>
      </c>
      <c r="V93" s="123"/>
      <c r="W93" s="123"/>
      <c r="X93" s="123"/>
      <c r="Y93" s="123"/>
      <c r="Z93" s="123"/>
      <c r="AA93" s="123"/>
      <c r="AB93" s="123"/>
      <c r="AC93" s="123"/>
      <c r="AD93" s="123"/>
      <c r="AE93" s="123"/>
      <c r="AF93" s="123"/>
      <c r="AG93" s="123"/>
      <c r="AH93" s="123"/>
      <c r="AI93" s="123"/>
      <c r="AJ93" s="123"/>
      <c r="AK93" s="123"/>
      <c r="AL93" s="123"/>
      <c r="AM93" s="123">
        <v>0</v>
      </c>
      <c r="AN93" s="123">
        <v>0</v>
      </c>
      <c r="AO93" s="123">
        <v>0</v>
      </c>
      <c r="AP93" s="316">
        <v>0</v>
      </c>
      <c r="AQ93" s="316">
        <v>0</v>
      </c>
      <c r="AR93" s="316">
        <v>0</v>
      </c>
      <c r="AS93" s="316">
        <v>0</v>
      </c>
      <c r="AT93" s="316">
        <v>0</v>
      </c>
      <c r="AU93" s="316">
        <v>0</v>
      </c>
      <c r="AV93" s="129">
        <v>6.4031050000000001E-3</v>
      </c>
      <c r="AW93" s="129"/>
      <c r="AX93" s="129"/>
      <c r="AY93" s="129"/>
      <c r="AZ93" s="129"/>
      <c r="BA93" s="129">
        <v>8.3965400000000001E-4</v>
      </c>
      <c r="BB93" s="129">
        <v>2.6606000000000001E-2</v>
      </c>
      <c r="BC93" s="129">
        <v>2.0861000000000001E-2</v>
      </c>
      <c r="BD93" s="129">
        <v>5.646E-3</v>
      </c>
      <c r="BE93" s="129">
        <v>8.8570000000000003E-3</v>
      </c>
      <c r="BF93" s="129">
        <v>4.045E-3</v>
      </c>
      <c r="BG93" s="130">
        <v>4.6900000000000002E-4</v>
      </c>
      <c r="BH93" s="130">
        <v>3.2299999999999999E-4</v>
      </c>
      <c r="BI93" s="130">
        <v>3.7199999999999999E-4</v>
      </c>
      <c r="BJ93" s="130">
        <v>3.2299999999999999E-4</v>
      </c>
      <c r="BK93" s="130">
        <v>2.8299999999999999E-4</v>
      </c>
    </row>
    <row r="94" spans="1:63">
      <c r="A94">
        <f t="shared" si="1"/>
        <v>91</v>
      </c>
      <c r="B94" t="s">
        <v>112</v>
      </c>
      <c r="C94" t="str">
        <f>INDEX(EPD_Measures,3)</f>
        <v>Eutrophication potential</v>
      </c>
      <c r="D94" t="str">
        <f>INDEX(EPD_Calc_Units,3)</f>
        <v>kg</v>
      </c>
      <c r="E94" s="123">
        <v>1.3550199999999999E-4</v>
      </c>
      <c r="F94" s="123">
        <f>E94*'Supplemental LCA Data'!$E$53</f>
        <v>1.2507876923076924E-4</v>
      </c>
      <c r="G94" s="123">
        <v>2.7700000000000002E-6</v>
      </c>
      <c r="H94" s="123">
        <v>2.7599999999999998E-6</v>
      </c>
      <c r="I94" s="123">
        <v>1.118356E-3</v>
      </c>
      <c r="J94" s="123">
        <v>2.7599999999999998E-6</v>
      </c>
      <c r="K94" s="123"/>
      <c r="L94" s="123"/>
      <c r="M94" s="123">
        <v>0</v>
      </c>
      <c r="N94" s="123">
        <v>0</v>
      </c>
      <c r="O94" s="123">
        <v>0</v>
      </c>
      <c r="P94" s="123">
        <f>'Supplemental LCA Data'!$AC$47</f>
        <v>1.9624831959085375E-4</v>
      </c>
      <c r="Q94" s="123">
        <f>'Supplemental LCA Data'!$AD$47</f>
        <v>4.226795252829316E-5</v>
      </c>
      <c r="R94" s="123">
        <f>'Supplemental LCA Data'!$AE$47</f>
        <v>8.7898401280121123E-4</v>
      </c>
      <c r="S94" s="123">
        <f>'Supplemental LCA Data'!$AF$47</f>
        <v>0.24926944204227258</v>
      </c>
      <c r="T94" s="123">
        <f>'Supplemental LCA Data'!$AG$47</f>
        <v>4.226795252829316E-5</v>
      </c>
      <c r="U94" s="123">
        <f>'Supplemental LCA Data'!$AH$47</f>
        <v>5.0085842055944255E-2</v>
      </c>
      <c r="V94" s="123"/>
      <c r="W94" s="123"/>
      <c r="X94" s="123"/>
      <c r="Y94" s="123"/>
      <c r="Z94" s="123"/>
      <c r="AA94" s="123"/>
      <c r="AB94" s="123"/>
      <c r="AC94" s="123"/>
      <c r="AD94" s="123"/>
      <c r="AE94" s="123"/>
      <c r="AF94" s="123"/>
      <c r="AG94" s="123"/>
      <c r="AH94" s="123"/>
      <c r="AI94" s="123"/>
      <c r="AJ94" s="123"/>
      <c r="AK94" s="123"/>
      <c r="AL94" s="123"/>
      <c r="AM94" s="123">
        <v>0</v>
      </c>
      <c r="AN94" s="123">
        <v>0</v>
      </c>
      <c r="AO94" s="123">
        <v>0</v>
      </c>
      <c r="AP94" s="316">
        <v>0</v>
      </c>
      <c r="AQ94" s="316">
        <v>0</v>
      </c>
      <c r="AR94" s="316">
        <v>0</v>
      </c>
      <c r="AS94" s="316">
        <v>0</v>
      </c>
      <c r="AT94" s="316">
        <v>0</v>
      </c>
      <c r="AU94" s="316">
        <v>0</v>
      </c>
      <c r="AV94" s="129">
        <v>1.05315E-4</v>
      </c>
      <c r="AW94" s="129"/>
      <c r="AX94" s="129"/>
      <c r="AY94" s="129"/>
      <c r="AZ94" s="129"/>
      <c r="BA94" s="129">
        <v>4.0302700000000003E-5</v>
      </c>
      <c r="BB94" s="129">
        <v>1.722E-3</v>
      </c>
      <c r="BC94" s="129">
        <v>2.05E-4</v>
      </c>
      <c r="BD94" s="129">
        <v>3.9599999999999998E-4</v>
      </c>
      <c r="BE94" s="129">
        <v>6.0300000000000002E-4</v>
      </c>
      <c r="BF94" s="129">
        <v>2.8299999999999999E-4</v>
      </c>
      <c r="BG94" s="130">
        <v>3.0800000000000003E-5</v>
      </c>
      <c r="BH94" s="130">
        <v>2.1500000000000001E-5</v>
      </c>
      <c r="BI94" s="130">
        <v>2.3799999999999999E-5</v>
      </c>
      <c r="BJ94" s="130">
        <v>2.0699999999999998E-5</v>
      </c>
      <c r="BK94" s="130">
        <v>1.8300000000000001E-5</v>
      </c>
    </row>
    <row r="95" spans="1:63">
      <c r="A95">
        <f t="shared" si="1"/>
        <v>92</v>
      </c>
      <c r="B95" t="s">
        <v>112</v>
      </c>
      <c r="C95" t="str">
        <f>INDEX(EPD_Measures,4)</f>
        <v>Smog creation potential</v>
      </c>
      <c r="D95" t="str">
        <f>INDEX(EPD_Calc_Units,4)</f>
        <v>kg</v>
      </c>
      <c r="E95" s="123">
        <v>5.1233085999999997E-2</v>
      </c>
      <c r="F95" s="123">
        <f>E95*'Supplemental LCA Data'!$E$55</f>
        <v>4.5896306208333328E-2</v>
      </c>
      <c r="G95" s="123">
        <v>1.421E-3</v>
      </c>
      <c r="H95" s="123">
        <v>1.292E-3</v>
      </c>
      <c r="I95" s="123">
        <v>0</v>
      </c>
      <c r="J95" s="123">
        <v>1.292E-3</v>
      </c>
      <c r="K95" s="123"/>
      <c r="L95" s="123"/>
      <c r="M95" s="123">
        <v>0</v>
      </c>
      <c r="N95" s="123">
        <v>0</v>
      </c>
      <c r="O95" s="123">
        <v>0</v>
      </c>
      <c r="P95" s="123">
        <f>'Supplemental LCA Data'!$AC$48</f>
        <v>8.7017595456788718E-3</v>
      </c>
      <c r="Q95" s="123">
        <f>'Supplemental LCA Data'!$AD$48</f>
        <v>1.3524104726696053E-2</v>
      </c>
      <c r="R95" s="123">
        <f>'Supplemental LCA Data'!$AE$48</f>
        <v>5.7241581200289861E-2</v>
      </c>
      <c r="S95" s="123">
        <f>'Supplemental LCA Data'!$AF$48</f>
        <v>43.192743848068233</v>
      </c>
      <c r="T95" s="123">
        <f>'Supplemental LCA Data'!$AG$48</f>
        <v>1.3524104726696053E-2</v>
      </c>
      <c r="U95" s="123">
        <f>'Supplemental LCA Data'!$AH$48</f>
        <v>8.6571470796535195</v>
      </c>
      <c r="V95" s="123"/>
      <c r="W95" s="123"/>
      <c r="X95" s="123"/>
      <c r="Y95" s="123"/>
      <c r="Z95" s="123"/>
      <c r="AA95" s="123"/>
      <c r="AB95" s="123"/>
      <c r="AC95" s="123"/>
      <c r="AD95" s="123"/>
      <c r="AE95" s="123"/>
      <c r="AF95" s="123"/>
      <c r="AG95" s="123"/>
      <c r="AH95" s="123"/>
      <c r="AI95" s="123"/>
      <c r="AJ95" s="123"/>
      <c r="AK95" s="123"/>
      <c r="AL95" s="123"/>
      <c r="AM95" s="123">
        <v>0</v>
      </c>
      <c r="AN95" s="123">
        <v>0</v>
      </c>
      <c r="AO95" s="123">
        <v>0</v>
      </c>
      <c r="AP95" s="316">
        <v>0</v>
      </c>
      <c r="AQ95" s="316">
        <v>0</v>
      </c>
      <c r="AR95" s="316">
        <v>0</v>
      </c>
      <c r="AS95" s="316">
        <v>0</v>
      </c>
      <c r="AT95" s="316">
        <v>0</v>
      </c>
      <c r="AU95" s="316">
        <v>0</v>
      </c>
      <c r="AV95" s="129">
        <v>5.0391941000000003E-2</v>
      </c>
      <c r="AW95" s="129"/>
      <c r="AX95" s="129"/>
      <c r="AY95" s="129"/>
      <c r="AZ95" s="129"/>
      <c r="BA95" s="129">
        <v>0.241503051</v>
      </c>
      <c r="BB95" s="129">
        <v>0.90166400000000002</v>
      </c>
      <c r="BC95" s="129">
        <v>5.2539000000000002E-2</v>
      </c>
      <c r="BD95" s="129">
        <v>0.13974</v>
      </c>
      <c r="BE95" s="129">
        <v>0.24854699999999999</v>
      </c>
      <c r="BF95" s="129">
        <v>0.10738499999999999</v>
      </c>
      <c r="BG95" s="130">
        <v>1.5133000000000001E-2</v>
      </c>
      <c r="BH95" s="130">
        <v>1.0231000000000001E-2</v>
      </c>
      <c r="BI95" s="130">
        <v>1.2799E-2</v>
      </c>
      <c r="BJ95" s="130">
        <v>1.1180000000000001E-2</v>
      </c>
      <c r="BK95" s="130">
        <v>9.5029999999999993E-3</v>
      </c>
    </row>
    <row r="96" spans="1:63">
      <c r="A96">
        <f t="shared" si="1"/>
        <v>93</v>
      </c>
      <c r="B96" t="s">
        <v>112</v>
      </c>
      <c r="C96" t="str">
        <f>INDEX(EPD_Measures,5)</f>
        <v>Ozone depletion potential</v>
      </c>
      <c r="D96" t="str">
        <f>INDEX(EPD_Calc_Units,5)</f>
        <v>kg</v>
      </c>
      <c r="E96" s="123">
        <v>1.2274700000000001E-11</v>
      </c>
      <c r="F96" s="123">
        <f>E96*'Supplemental LCA Data'!$E$56</f>
        <v>1.0712465454545454E-11</v>
      </c>
      <c r="G96" s="123">
        <v>2.4300000000000002E-13</v>
      </c>
      <c r="H96" s="123">
        <v>9.6800000000000004E-11</v>
      </c>
      <c r="I96" s="123">
        <v>4.9665900000000002E-5</v>
      </c>
      <c r="J96" s="123">
        <v>9.6800000000000004E-11</v>
      </c>
      <c r="K96" s="123"/>
      <c r="L96" s="123"/>
      <c r="M96" s="123">
        <v>0</v>
      </c>
      <c r="N96" s="123">
        <v>0</v>
      </c>
      <c r="O96" s="123">
        <v>0</v>
      </c>
      <c r="P96" s="123">
        <f>'Supplemental LCA Data'!$AC$49</f>
        <v>4.817994588850506E-10</v>
      </c>
      <c r="Q96" s="123">
        <f>'Supplemental LCA Data'!$AD$49</f>
        <v>0</v>
      </c>
      <c r="R96" s="123">
        <f>'Supplemental LCA Data'!$AE$49</f>
        <v>2.4089972944252421E-9</v>
      </c>
      <c r="S96" s="123">
        <f>'Supplemental LCA Data'!$AF$49</f>
        <v>3.2599963386576577E-9</v>
      </c>
      <c r="T96" s="123">
        <f>'Supplemental LCA Data'!$AG$49</f>
        <v>0</v>
      </c>
      <c r="U96" s="123">
        <f>'Supplemental LCA Data'!$AH$49</f>
        <v>1.2301586183935901E-9</v>
      </c>
      <c r="V96" s="123"/>
      <c r="W96" s="123"/>
      <c r="X96" s="123"/>
      <c r="Y96" s="123"/>
      <c r="Z96" s="123"/>
      <c r="AA96" s="123"/>
      <c r="AB96" s="123"/>
      <c r="AC96" s="123"/>
      <c r="AD96" s="123"/>
      <c r="AE96" s="123"/>
      <c r="AF96" s="123"/>
      <c r="AG96" s="123"/>
      <c r="AH96" s="123"/>
      <c r="AI96" s="123"/>
      <c r="AJ96" s="123"/>
      <c r="AK96" s="123"/>
      <c r="AL96" s="123"/>
      <c r="AM96" s="123">
        <v>0</v>
      </c>
      <c r="AN96" s="123">
        <v>0</v>
      </c>
      <c r="AO96" s="123">
        <v>0</v>
      </c>
      <c r="AP96" s="316">
        <v>0</v>
      </c>
      <c r="AQ96" s="316">
        <v>0</v>
      </c>
      <c r="AR96" s="316">
        <v>0</v>
      </c>
      <c r="AS96" s="316">
        <v>0</v>
      </c>
      <c r="AT96" s="316">
        <v>0</v>
      </c>
      <c r="AU96" s="316">
        <v>0</v>
      </c>
      <c r="AV96" s="129">
        <v>1.6881999999999999E-11</v>
      </c>
      <c r="AW96" s="129"/>
      <c r="AX96" s="129"/>
      <c r="AY96" s="129"/>
      <c r="AZ96" s="129"/>
      <c r="BA96" s="129">
        <v>9.58911E-14</v>
      </c>
      <c r="BB96" s="129">
        <v>1.16E-10</v>
      </c>
      <c r="BC96" s="129">
        <v>1.6799999999999999E-12</v>
      </c>
      <c r="BD96" s="129">
        <v>1.2999999999999999E-10</v>
      </c>
      <c r="BE96" s="129">
        <v>1.41E-10</v>
      </c>
      <c r="BF96" s="129">
        <v>8.1099999999999997E-11</v>
      </c>
      <c r="BG96" s="130">
        <v>3.5300000000000001E-12</v>
      </c>
      <c r="BH96" s="130">
        <v>3.1599999999999999E-12</v>
      </c>
      <c r="BI96" s="130">
        <v>8.4099999999999995E-13</v>
      </c>
      <c r="BJ96" s="130">
        <v>6.9599999999999996E-13</v>
      </c>
      <c r="BK96" s="130">
        <v>1.2499999999999999E-12</v>
      </c>
    </row>
    <row r="97" spans="1:63">
      <c r="A97">
        <f t="shared" si="1"/>
        <v>94</v>
      </c>
      <c r="B97" t="s">
        <v>112</v>
      </c>
      <c r="C97" t="str">
        <f>INDEX(EPD_Measures,6)</f>
        <v>Total primary energy consumption</v>
      </c>
      <c r="D97" t="str">
        <f>INDEX(EPD_Calc_Units,6)</f>
        <v>MJ</v>
      </c>
      <c r="E97" s="123">
        <v>7.4210850700000002</v>
      </c>
      <c r="F97" s="123">
        <f>E97*'Supplemental LCA Data'!$E$50</f>
        <v>6.7484791724169177</v>
      </c>
      <c r="G97" s="123">
        <v>0.15088599999999999</v>
      </c>
      <c r="H97" s="123">
        <v>8.0561000000000008E-2</v>
      </c>
      <c r="I97" s="123">
        <v>7.0164819000000003E-2</v>
      </c>
      <c r="J97" s="123">
        <v>8.0561000000000008E-2</v>
      </c>
      <c r="K97" s="123">
        <v>0</v>
      </c>
      <c r="L97" s="123">
        <v>0</v>
      </c>
      <c r="M97" s="123">
        <v>0</v>
      </c>
      <c r="N97" s="123">
        <v>0</v>
      </c>
      <c r="O97" s="123">
        <v>0</v>
      </c>
      <c r="P97" s="123">
        <f>'Supplemental LCA Data'!$AC$50</f>
        <v>2.099997641465547</v>
      </c>
      <c r="Q97" s="123">
        <f>'Supplemental LCA Data'!$AD$50</f>
        <v>4.5999948336864307</v>
      </c>
      <c r="R97" s="123">
        <f>'Supplemental LCA Data'!$AE$50</f>
        <v>22.799974393054555</v>
      </c>
      <c r="S97" s="123">
        <f>'Supplemental LCA Data'!$AF$50</f>
        <v>18.299979447056902</v>
      </c>
      <c r="T97" s="123">
        <f>'Supplemental LCA Data'!$AG$50</f>
        <v>4.5999948336864307</v>
      </c>
      <c r="U97" s="123">
        <f>'Supplemental LCA Data'!$AH$50</f>
        <v>10.479988229789974</v>
      </c>
      <c r="V97" s="123">
        <v>57.506173091793869</v>
      </c>
      <c r="W97" s="123">
        <f>'Supplemental LCA Data'!$B$72/1000</f>
        <v>17.379305548594214</v>
      </c>
      <c r="X97" s="123">
        <f>'Supplemental LCA Data'!$C$72/1000</f>
        <v>21.115558668452628</v>
      </c>
      <c r="Y97" s="123">
        <f>'Supplemental LCA Data'!$D$72/1000</f>
        <v>25.458767950129285</v>
      </c>
      <c r="Z97" s="123">
        <f t="shared" si="3"/>
        <v>19.117236103453639</v>
      </c>
      <c r="AA97" s="123">
        <v>0</v>
      </c>
      <c r="AB97" s="123">
        <v>0</v>
      </c>
      <c r="AC97" s="123">
        <f t="shared" si="2"/>
        <v>17.379305548594214</v>
      </c>
      <c r="AD97" s="123">
        <v>0</v>
      </c>
      <c r="AE97" s="123">
        <v>0</v>
      </c>
      <c r="AF97" s="123">
        <v>0</v>
      </c>
      <c r="AG97" s="123">
        <v>111.41336281293017</v>
      </c>
      <c r="AH97" s="123">
        <v>96.934631722060175</v>
      </c>
      <c r="AI97" s="123">
        <v>3.4310468673118439</v>
      </c>
      <c r="AJ97" s="123">
        <v>7.079849022399789</v>
      </c>
      <c r="AK97" s="123">
        <v>88.609789579499989</v>
      </c>
      <c r="AL97" s="123">
        <v>75.869011043824344</v>
      </c>
      <c r="AM97" s="123">
        <v>0</v>
      </c>
      <c r="AN97" s="123">
        <v>0</v>
      </c>
      <c r="AO97" s="123">
        <v>0</v>
      </c>
      <c r="AP97" s="316">
        <v>0</v>
      </c>
      <c r="AQ97" s="316">
        <v>0</v>
      </c>
      <c r="AR97" s="316">
        <v>0</v>
      </c>
      <c r="AS97" s="316">
        <v>0</v>
      </c>
      <c r="AT97" s="316">
        <v>0</v>
      </c>
      <c r="AU97" s="316">
        <v>0</v>
      </c>
      <c r="AV97" s="129">
        <v>13.13058803</v>
      </c>
      <c r="AW97" s="129">
        <v>3.6</v>
      </c>
      <c r="AX97" s="129">
        <v>3.6</v>
      </c>
      <c r="AY97" s="129">
        <v>3.6</v>
      </c>
      <c r="AZ97" s="129">
        <v>3.6</v>
      </c>
      <c r="BA97" s="129">
        <v>3.4579025999999999E-2</v>
      </c>
      <c r="BB97" s="129">
        <v>41.990099999999998</v>
      </c>
      <c r="BC97" s="129">
        <v>43.209249999999997</v>
      </c>
      <c r="BD97" s="129">
        <v>46.983649999999997</v>
      </c>
      <c r="BE97" s="129">
        <v>51.126690000000004</v>
      </c>
      <c r="BF97" s="129">
        <v>29.343319999999999</v>
      </c>
      <c r="BG97" s="130">
        <v>1.2783040000000001</v>
      </c>
      <c r="BH97" s="130">
        <v>1.14236</v>
      </c>
      <c r="BI97" s="130">
        <v>0.30436299999999999</v>
      </c>
      <c r="BJ97" s="130">
        <v>0.25176399999999999</v>
      </c>
      <c r="BK97" s="130">
        <v>0.45051000000000002</v>
      </c>
    </row>
    <row r="98" spans="1:63">
      <c r="A98">
        <f t="shared" si="1"/>
        <v>95</v>
      </c>
      <c r="B98" t="s">
        <v>112</v>
      </c>
      <c r="C98" t="str">
        <f>INDEX(EPD_Measures,7)</f>
        <v>Nonrenewable energy resources</v>
      </c>
      <c r="D98" t="str">
        <f>INDEX(EPD_Calc_Units,7)</f>
        <v>MJ</v>
      </c>
      <c r="E98" s="123">
        <v>7.3174692380000002</v>
      </c>
      <c r="F98" s="123">
        <f>E98*'Supplemental LCA Data'!$E$51</f>
        <v>6.640574156972888</v>
      </c>
      <c r="G98" s="123">
        <v>0.14507100000000001</v>
      </c>
      <c r="H98" s="123">
        <v>7.8612000000000001E-2</v>
      </c>
      <c r="I98" s="123">
        <v>0</v>
      </c>
      <c r="J98" s="123">
        <v>7.8612000000000001E-2</v>
      </c>
      <c r="K98" s="123"/>
      <c r="L98" s="123"/>
      <c r="M98" s="123">
        <v>0</v>
      </c>
      <c r="N98" s="123">
        <v>0</v>
      </c>
      <c r="O98" s="123">
        <v>0</v>
      </c>
      <c r="P98" s="123">
        <f>'Supplemental LCA Data'!$AC$51</f>
        <v>2.099997641465547</v>
      </c>
      <c r="Q98" s="123">
        <f>'Supplemental LCA Data'!$AD$51</f>
        <v>4.5999948336864307</v>
      </c>
      <c r="R98" s="123">
        <f>'Supplemental LCA Data'!$AE$51</f>
        <v>22.799974393054555</v>
      </c>
      <c r="S98" s="123">
        <f>'Supplemental LCA Data'!$AF$51</f>
        <v>18.299979447056902</v>
      </c>
      <c r="T98" s="123">
        <f>'Supplemental LCA Data'!$AG$51</f>
        <v>4.5999948336864307</v>
      </c>
      <c r="U98" s="123">
        <f>'Supplemental LCA Data'!$AH$51</f>
        <v>10.479988229789974</v>
      </c>
      <c r="V98" s="123"/>
      <c r="W98" s="123"/>
      <c r="X98" s="123"/>
      <c r="Y98" s="123"/>
      <c r="Z98" s="123"/>
      <c r="AA98" s="123"/>
      <c r="AB98" s="123"/>
      <c r="AC98" s="123"/>
      <c r="AD98" s="123"/>
      <c r="AE98" s="123"/>
      <c r="AF98" s="123"/>
      <c r="AG98" s="123"/>
      <c r="AH98" s="123"/>
      <c r="AI98" s="123"/>
      <c r="AJ98" s="123"/>
      <c r="AK98" s="123"/>
      <c r="AL98" s="123"/>
      <c r="AM98" s="123">
        <v>0</v>
      </c>
      <c r="AN98" s="123">
        <v>0</v>
      </c>
      <c r="AO98" s="123">
        <v>0</v>
      </c>
      <c r="AP98" s="316">
        <v>0</v>
      </c>
      <c r="AQ98" s="316">
        <v>0</v>
      </c>
      <c r="AR98" s="316">
        <v>0</v>
      </c>
      <c r="AS98" s="316">
        <v>0</v>
      </c>
      <c r="AT98" s="316">
        <v>0</v>
      </c>
      <c r="AU98" s="316">
        <v>0</v>
      </c>
      <c r="AV98" s="129">
        <v>12.48443917</v>
      </c>
      <c r="AW98" s="129"/>
      <c r="AX98" s="129"/>
      <c r="AY98" s="129"/>
      <c r="AZ98" s="129"/>
      <c r="BA98" s="129">
        <v>3.4579025999999999E-2</v>
      </c>
      <c r="BB98" s="129">
        <v>41.929009999999998</v>
      </c>
      <c r="BC98" s="129">
        <v>43.189610000000002</v>
      </c>
      <c r="BD98" s="129">
        <v>46.915320000000001</v>
      </c>
      <c r="BE98" s="129">
        <v>51.052590000000002</v>
      </c>
      <c r="BF98" s="129">
        <v>29.300560000000001</v>
      </c>
      <c r="BG98" s="130">
        <v>1.276451</v>
      </c>
      <c r="BH98" s="130">
        <v>1.1407039999999999</v>
      </c>
      <c r="BI98" s="130">
        <v>0.303921</v>
      </c>
      <c r="BJ98" s="130">
        <v>0.25139899999999998</v>
      </c>
      <c r="BK98" s="130">
        <v>0.44985700000000001</v>
      </c>
    </row>
    <row r="99" spans="1:63">
      <c r="A99">
        <f t="shared" si="1"/>
        <v>96</v>
      </c>
      <c r="B99" t="s">
        <v>112</v>
      </c>
      <c r="C99" t="str">
        <f>INDEX(EPD_Measures,8)</f>
        <v>Renewable energy resources</v>
      </c>
      <c r="D99" t="str">
        <f>INDEX(EPD_Calc_Units,8)</f>
        <v>MJ</v>
      </c>
      <c r="E99" s="123">
        <v>0.10361583100000001</v>
      </c>
      <c r="F99" s="123">
        <f>E99*'Supplemental LCA Data'!$E$57</f>
        <v>9.4030953491228086E-2</v>
      </c>
      <c r="G99" s="123">
        <v>5.8149999999999999E-3</v>
      </c>
      <c r="H99" s="123">
        <v>1.949E-3</v>
      </c>
      <c r="I99" s="123">
        <v>7.0164819000000003E-2</v>
      </c>
      <c r="J99" s="123">
        <v>1.949E-3</v>
      </c>
      <c r="K99" s="123"/>
      <c r="L99" s="123"/>
      <c r="M99" s="123">
        <v>0</v>
      </c>
      <c r="N99" s="123">
        <v>0</v>
      </c>
      <c r="O99" s="123">
        <v>0</v>
      </c>
      <c r="P99" s="123">
        <f>'Supplemental LCA Data'!$AC$52</f>
        <v>0</v>
      </c>
      <c r="Q99" s="123">
        <f>'Supplemental LCA Data'!$AD$52</f>
        <v>0</v>
      </c>
      <c r="R99" s="123">
        <f>'Supplemental LCA Data'!$AE$52</f>
        <v>0</v>
      </c>
      <c r="S99" s="123">
        <f>'Supplemental LCA Data'!$AF$52</f>
        <v>0</v>
      </c>
      <c r="T99" s="123">
        <f>'Supplemental LCA Data'!$AG$52</f>
        <v>0</v>
      </c>
      <c r="U99" s="123">
        <f>'Supplemental LCA Data'!$AH$52</f>
        <v>0</v>
      </c>
      <c r="V99" s="123"/>
      <c r="W99" s="123"/>
      <c r="X99" s="123"/>
      <c r="Y99" s="123"/>
      <c r="Z99" s="123"/>
      <c r="AA99" s="123"/>
      <c r="AB99" s="123"/>
      <c r="AC99" s="123"/>
      <c r="AD99" s="123"/>
      <c r="AE99" s="123"/>
      <c r="AF99" s="123"/>
      <c r="AG99" s="123"/>
      <c r="AH99" s="123"/>
      <c r="AI99" s="123"/>
      <c r="AJ99" s="123"/>
      <c r="AK99" s="123"/>
      <c r="AL99" s="123"/>
      <c r="AM99" s="123">
        <v>0</v>
      </c>
      <c r="AN99" s="123">
        <v>0</v>
      </c>
      <c r="AO99" s="123">
        <v>0</v>
      </c>
      <c r="AP99" s="316">
        <v>0</v>
      </c>
      <c r="AQ99" s="316">
        <v>0</v>
      </c>
      <c r="AR99" s="316">
        <v>0</v>
      </c>
      <c r="AS99" s="316">
        <v>0</v>
      </c>
      <c r="AT99" s="316">
        <v>0</v>
      </c>
      <c r="AU99" s="316">
        <v>0</v>
      </c>
      <c r="AV99" s="129">
        <v>0.64614885799999999</v>
      </c>
      <c r="AW99" s="129"/>
      <c r="AX99" s="129"/>
      <c r="AY99" s="129"/>
      <c r="AZ99" s="129"/>
      <c r="BA99" s="129">
        <v>0</v>
      </c>
      <c r="BB99" s="129">
        <v>6.1093000000000001E-2</v>
      </c>
      <c r="BC99" s="129">
        <v>1.9647000000000001E-2</v>
      </c>
      <c r="BD99" s="129">
        <v>6.8331000000000003E-2</v>
      </c>
      <c r="BE99" s="129">
        <v>7.4106000000000005E-2</v>
      </c>
      <c r="BF99" s="129">
        <v>4.2762000000000001E-2</v>
      </c>
      <c r="BG99" s="130">
        <v>1.853E-3</v>
      </c>
      <c r="BH99" s="130">
        <v>1.6559999999999999E-3</v>
      </c>
      <c r="BI99" s="130">
        <v>4.4099999999999999E-4</v>
      </c>
      <c r="BJ99" s="130">
        <v>3.6499999999999998E-4</v>
      </c>
      <c r="BK99" s="130">
        <v>6.5300000000000004E-4</v>
      </c>
    </row>
    <row r="100" spans="1:63">
      <c r="A100">
        <f t="shared" si="1"/>
        <v>97</v>
      </c>
      <c r="B100" t="s">
        <v>112</v>
      </c>
      <c r="C100" t="str">
        <f>INDEX(EPD_Measures,9)</f>
        <v>Material resources consumption</v>
      </c>
      <c r="D100" t="str">
        <f>INDEX(EPD_Calc_Units,9)</f>
        <v>kg</v>
      </c>
      <c r="E100" s="123">
        <v>1.6540299999999999</v>
      </c>
      <c r="F100" s="123">
        <f>E100*'Supplemental LCA Data'!$E$58</f>
        <v>1.6540299999999999</v>
      </c>
      <c r="G100" s="123">
        <v>1.0000015600000001</v>
      </c>
      <c r="H100" s="123">
        <v>1.0000021111778816</v>
      </c>
      <c r="I100" s="123">
        <v>1.0000015600000001</v>
      </c>
      <c r="J100" s="123">
        <v>1.0000021111778816</v>
      </c>
      <c r="K100" s="123"/>
      <c r="L100" s="123"/>
      <c r="M100" s="123">
        <v>0</v>
      </c>
      <c r="N100" s="123">
        <v>0</v>
      </c>
      <c r="O100" s="123">
        <v>0</v>
      </c>
      <c r="P100" s="123">
        <f>'Supplemental LCA Data'!$AC$53</f>
        <v>0</v>
      </c>
      <c r="Q100" s="123">
        <f>'Supplemental LCA Data'!$AD$53</f>
        <v>0</v>
      </c>
      <c r="R100" s="123">
        <f>'Supplemental LCA Data'!$AE$53</f>
        <v>0</v>
      </c>
      <c r="S100" s="123">
        <f>'Supplemental LCA Data'!$AF$53</f>
        <v>0</v>
      </c>
      <c r="T100" s="123">
        <f>'Supplemental LCA Data'!$AG$53</f>
        <v>0</v>
      </c>
      <c r="U100" s="123">
        <f>'Supplemental LCA Data'!$AH$53</f>
        <v>0</v>
      </c>
      <c r="V100" s="123"/>
      <c r="W100" s="123"/>
      <c r="X100" s="123"/>
      <c r="Y100" s="123"/>
      <c r="Z100" s="123"/>
      <c r="AA100" s="123"/>
      <c r="AB100" s="123"/>
      <c r="AC100" s="123"/>
      <c r="AD100" s="123"/>
      <c r="AE100" s="123"/>
      <c r="AF100" s="123"/>
      <c r="AG100" s="123"/>
      <c r="AH100" s="123"/>
      <c r="AI100" s="123"/>
      <c r="AJ100" s="123"/>
      <c r="AK100" s="123"/>
      <c r="AL100" s="123"/>
      <c r="AM100" s="123">
        <v>0</v>
      </c>
      <c r="AN100" s="123">
        <v>0</v>
      </c>
      <c r="AO100" s="123">
        <v>0</v>
      </c>
      <c r="AP100" s="316">
        <v>0</v>
      </c>
      <c r="AQ100" s="316">
        <v>0</v>
      </c>
      <c r="AR100" s="316">
        <v>0</v>
      </c>
      <c r="AS100" s="316">
        <v>0</v>
      </c>
      <c r="AT100" s="316">
        <v>0</v>
      </c>
      <c r="AU100" s="316">
        <v>0</v>
      </c>
      <c r="AV100" s="129">
        <v>0</v>
      </c>
      <c r="AW100" s="129"/>
      <c r="AX100" s="129"/>
      <c r="AY100" s="129"/>
      <c r="AZ100" s="129"/>
      <c r="BA100" s="129">
        <v>0.84323164500000003</v>
      </c>
      <c r="BB100" s="129">
        <v>0</v>
      </c>
      <c r="BC100" s="129">
        <v>0</v>
      </c>
      <c r="BD100" s="129">
        <v>0</v>
      </c>
      <c r="BE100" s="129">
        <v>0</v>
      </c>
      <c r="BF100" s="129">
        <v>0</v>
      </c>
      <c r="BG100" s="130">
        <v>0</v>
      </c>
      <c r="BH100" s="130">
        <v>0</v>
      </c>
      <c r="BI100" s="130">
        <v>0</v>
      </c>
      <c r="BJ100" s="130">
        <v>0</v>
      </c>
      <c r="BK100" s="130">
        <v>0</v>
      </c>
    </row>
    <row r="101" spans="1:63">
      <c r="A101">
        <f t="shared" si="1"/>
        <v>98</v>
      </c>
      <c r="B101" t="s">
        <v>112</v>
      </c>
      <c r="C101" t="str">
        <f>INDEX(EPD_Measures,10)</f>
        <v>Nonrenewable material resources</v>
      </c>
      <c r="D101" t="str">
        <f>INDEX(EPD_Calc_Units,10)</f>
        <v>kg</v>
      </c>
      <c r="E101" s="123">
        <v>1.6540299999999999</v>
      </c>
      <c r="F101" s="123">
        <f>E101*'Supplemental LCA Data'!$E$59</f>
        <v>1.6540299999999999</v>
      </c>
      <c r="G101" s="123">
        <v>1</v>
      </c>
      <c r="H101" s="123">
        <v>1.0000001919173316</v>
      </c>
      <c r="I101" s="123">
        <v>1</v>
      </c>
      <c r="J101" s="123">
        <v>1.0000001919173316</v>
      </c>
      <c r="K101" s="123"/>
      <c r="L101" s="123"/>
      <c r="M101" s="123">
        <v>0</v>
      </c>
      <c r="N101" s="123">
        <v>0</v>
      </c>
      <c r="O101" s="123">
        <v>0</v>
      </c>
      <c r="P101" s="123">
        <f>'Supplemental LCA Data'!$AC$54</f>
        <v>0</v>
      </c>
      <c r="Q101" s="123">
        <f>'Supplemental LCA Data'!$AD$54</f>
        <v>0</v>
      </c>
      <c r="R101" s="123">
        <f>'Supplemental LCA Data'!$AE$54</f>
        <v>0</v>
      </c>
      <c r="S101" s="123">
        <f>'Supplemental LCA Data'!$AF$54</f>
        <v>0</v>
      </c>
      <c r="T101" s="123">
        <f>'Supplemental LCA Data'!$AG$54</f>
        <v>0</v>
      </c>
      <c r="U101" s="123">
        <f>'Supplemental LCA Data'!$AH$54</f>
        <v>0</v>
      </c>
      <c r="V101" s="123"/>
      <c r="W101" s="123"/>
      <c r="X101" s="123"/>
      <c r="Y101" s="123"/>
      <c r="Z101" s="123"/>
      <c r="AA101" s="123"/>
      <c r="AB101" s="123"/>
      <c r="AC101" s="123"/>
      <c r="AD101" s="123"/>
      <c r="AE101" s="123"/>
      <c r="AF101" s="123"/>
      <c r="AG101" s="123"/>
      <c r="AH101" s="123"/>
      <c r="AI101" s="123"/>
      <c r="AJ101" s="123"/>
      <c r="AK101" s="123"/>
      <c r="AL101" s="123"/>
      <c r="AM101" s="123">
        <v>0</v>
      </c>
      <c r="AN101" s="123">
        <v>0</v>
      </c>
      <c r="AO101" s="123">
        <v>0</v>
      </c>
      <c r="AP101" s="316">
        <v>0</v>
      </c>
      <c r="AQ101" s="316">
        <v>0</v>
      </c>
      <c r="AR101" s="316">
        <v>0</v>
      </c>
      <c r="AS101" s="316">
        <v>0</v>
      </c>
      <c r="AT101" s="316">
        <v>0</v>
      </c>
      <c r="AU101" s="316">
        <v>0</v>
      </c>
      <c r="AV101" s="129">
        <v>0</v>
      </c>
      <c r="AW101" s="129"/>
      <c r="AX101" s="129"/>
      <c r="AY101" s="129"/>
      <c r="AZ101" s="129"/>
      <c r="BA101" s="129">
        <v>0</v>
      </c>
      <c r="BB101" s="129">
        <v>0</v>
      </c>
      <c r="BC101" s="129">
        <v>0</v>
      </c>
      <c r="BD101" s="129">
        <v>0</v>
      </c>
      <c r="BE101" s="129">
        <v>0</v>
      </c>
      <c r="BF101" s="129">
        <v>0</v>
      </c>
      <c r="BG101" s="130">
        <v>0</v>
      </c>
      <c r="BH101" s="130">
        <v>0</v>
      </c>
      <c r="BI101" s="130">
        <v>0</v>
      </c>
      <c r="BJ101" s="130">
        <v>0</v>
      </c>
      <c r="BK101" s="130">
        <v>0</v>
      </c>
    </row>
    <row r="102" spans="1:63">
      <c r="A102">
        <f t="shared" si="1"/>
        <v>99</v>
      </c>
      <c r="B102" t="s">
        <v>112</v>
      </c>
      <c r="C102" t="str">
        <f>INDEX(EPD_Measures,11)</f>
        <v>Renewable material resources</v>
      </c>
      <c r="D102" t="str">
        <f>INDEX(EPD_Calc_Units,11)</f>
        <v>kg</v>
      </c>
      <c r="E102" s="123">
        <v>0</v>
      </c>
      <c r="F102" s="123">
        <f>E102*'Supplemental LCA Data'!$E$60</f>
        <v>0</v>
      </c>
      <c r="G102" s="123">
        <v>1.5600000000000001E-6</v>
      </c>
      <c r="H102" s="123">
        <v>1.9192605499999998E-6</v>
      </c>
      <c r="I102" s="123">
        <v>1.5600000000000001E-6</v>
      </c>
      <c r="J102" s="123">
        <v>1.9192605499999998E-6</v>
      </c>
      <c r="K102" s="123"/>
      <c r="L102" s="123"/>
      <c r="M102" s="123">
        <v>0</v>
      </c>
      <c r="N102" s="123">
        <v>0</v>
      </c>
      <c r="O102" s="123">
        <v>0</v>
      </c>
      <c r="P102" s="123">
        <f>'Supplemental LCA Data'!$AC$55</f>
        <v>0</v>
      </c>
      <c r="Q102" s="123">
        <f>'Supplemental LCA Data'!$AD$55</f>
        <v>0</v>
      </c>
      <c r="R102" s="123">
        <f>'Supplemental LCA Data'!$AE$55</f>
        <v>0</v>
      </c>
      <c r="S102" s="123">
        <f>'Supplemental LCA Data'!$AF$55</f>
        <v>0</v>
      </c>
      <c r="T102" s="123">
        <f>'Supplemental LCA Data'!$AG$55</f>
        <v>0</v>
      </c>
      <c r="U102" s="123">
        <f>'Supplemental LCA Data'!$AH$55</f>
        <v>0</v>
      </c>
      <c r="V102" s="123"/>
      <c r="W102" s="123"/>
      <c r="X102" s="123"/>
      <c r="Y102" s="123"/>
      <c r="Z102" s="123"/>
      <c r="AA102" s="123"/>
      <c r="AB102" s="123"/>
      <c r="AC102" s="123"/>
      <c r="AD102" s="123"/>
      <c r="AE102" s="123"/>
      <c r="AF102" s="123"/>
      <c r="AG102" s="123"/>
      <c r="AH102" s="123"/>
      <c r="AI102" s="123"/>
      <c r="AJ102" s="123"/>
      <c r="AK102" s="123"/>
      <c r="AL102" s="123"/>
      <c r="AM102" s="123">
        <v>0</v>
      </c>
      <c r="AN102" s="123">
        <v>0</v>
      </c>
      <c r="AO102" s="123">
        <v>0</v>
      </c>
      <c r="AP102" s="316">
        <v>0</v>
      </c>
      <c r="AQ102" s="316">
        <v>0</v>
      </c>
      <c r="AR102" s="316">
        <v>0</v>
      </c>
      <c r="AS102" s="316">
        <v>0</v>
      </c>
      <c r="AT102" s="316">
        <v>0</v>
      </c>
      <c r="AU102" s="316">
        <v>0</v>
      </c>
      <c r="AV102" s="129">
        <v>0</v>
      </c>
      <c r="AW102" s="129"/>
      <c r="AX102" s="129"/>
      <c r="AY102" s="129"/>
      <c r="AZ102" s="129"/>
      <c r="BA102" s="129">
        <v>0.84323164500000003</v>
      </c>
      <c r="BB102" s="129">
        <v>0</v>
      </c>
      <c r="BC102" s="129">
        <v>0</v>
      </c>
      <c r="BD102" s="129">
        <v>0</v>
      </c>
      <c r="BE102" s="129">
        <v>0</v>
      </c>
      <c r="BF102" s="129">
        <v>0</v>
      </c>
      <c r="BG102" s="130">
        <v>0</v>
      </c>
      <c r="BH102" s="130">
        <v>0</v>
      </c>
      <c r="BI102" s="130">
        <v>0</v>
      </c>
      <c r="BJ102" s="130">
        <v>0</v>
      </c>
      <c r="BK102" s="130">
        <v>0</v>
      </c>
    </row>
    <row r="103" spans="1:63">
      <c r="A103">
        <f t="shared" si="1"/>
        <v>100</v>
      </c>
      <c r="B103" t="s">
        <v>112</v>
      </c>
      <c r="C103" t="str">
        <f>INDEX(EPD_Measures,12)</f>
        <v>Net Fresh Water</v>
      </c>
      <c r="D103" t="str">
        <f>INDEX(EPD_Calc_Units,12)</f>
        <v>m3</v>
      </c>
      <c r="E103" s="123">
        <v>9.7039999999999995E-4</v>
      </c>
      <c r="F103" s="123">
        <f>E103*'Supplemental LCA Data'!$E$61</f>
        <v>8.7336E-4</v>
      </c>
      <c r="G103" s="123">
        <f>$G$1+0</f>
        <v>6.7500000000000004E-4</v>
      </c>
      <c r="H103" s="123">
        <f>$G$1+0.000000717</f>
        <v>6.7571700000000005E-4</v>
      </c>
      <c r="I103" s="123">
        <f>$G$1+0</f>
        <v>6.7500000000000004E-4</v>
      </c>
      <c r="J103" s="123">
        <f>$G$1+0.000000717</f>
        <v>6.7571700000000005E-4</v>
      </c>
      <c r="K103" s="123">
        <v>0</v>
      </c>
      <c r="L103" s="123">
        <v>0</v>
      </c>
      <c r="M103" s="123">
        <v>0</v>
      </c>
      <c r="N103" s="123">
        <v>0</v>
      </c>
      <c r="O103" s="123">
        <v>0</v>
      </c>
      <c r="P103" s="123">
        <f>'Supplemental LCA Data'!$AC$56</f>
        <v>0</v>
      </c>
      <c r="Q103" s="123">
        <f>'Supplemental LCA Data'!$AD$56</f>
        <v>0</v>
      </c>
      <c r="R103" s="123">
        <f>'Supplemental LCA Data'!$AE$56</f>
        <v>0</v>
      </c>
      <c r="S103" s="123">
        <f>'Supplemental LCA Data'!$AF$56</f>
        <v>0</v>
      </c>
      <c r="T103" s="123">
        <f>'Supplemental LCA Data'!$AG$56</f>
        <v>0</v>
      </c>
      <c r="U103" s="123">
        <f>'Supplemental LCA Data'!$AH$56</f>
        <v>0</v>
      </c>
      <c r="V103" s="123">
        <v>0.11500386618134965</v>
      </c>
      <c r="W103" s="123">
        <f>'Supplemental LCA Data'!$B$73/1000/1000</f>
        <v>1.3732079207907059E-2</v>
      </c>
      <c r="X103" s="123">
        <f>'Supplemental LCA Data'!$C$73/1000/1000</f>
        <v>1.389655434006113E-2</v>
      </c>
      <c r="Y103" s="123">
        <f>'Supplemental LCA Data'!$D$73/1000/1000</f>
        <v>1.4675578391799121E-2</v>
      </c>
      <c r="Z103" s="123">
        <f t="shared" si="3"/>
        <v>1.5105287128697766E-2</v>
      </c>
      <c r="AA103" s="123">
        <v>0</v>
      </c>
      <c r="AB103" s="123">
        <v>0</v>
      </c>
      <c r="AC103" s="123">
        <f t="shared" si="2"/>
        <v>1.3732079207907059E-2</v>
      </c>
      <c r="AD103" s="123">
        <v>0</v>
      </c>
      <c r="AE103" s="123">
        <v>0</v>
      </c>
      <c r="AF103" s="123">
        <v>0</v>
      </c>
      <c r="AG103" s="123">
        <v>6.6615854003756548E-4</v>
      </c>
      <c r="AH103" s="123">
        <v>8.5599624991234465E-3</v>
      </c>
      <c r="AI103" s="123">
        <v>3.5226266152208971E-4</v>
      </c>
      <c r="AJ103" s="123">
        <v>3.9507938615937904E-3</v>
      </c>
      <c r="AK103" s="123">
        <v>7.4033158500000001E-2</v>
      </c>
      <c r="AL103" s="123">
        <v>0</v>
      </c>
      <c r="AM103" s="123">
        <v>0</v>
      </c>
      <c r="AN103" s="123">
        <v>0</v>
      </c>
      <c r="AO103" s="123">
        <v>0</v>
      </c>
      <c r="AP103" s="316">
        <v>0</v>
      </c>
      <c r="AQ103" s="316">
        <v>0</v>
      </c>
      <c r="AR103" s="316">
        <v>0</v>
      </c>
      <c r="AS103" s="316">
        <v>0</v>
      </c>
      <c r="AT103" s="316">
        <v>0</v>
      </c>
      <c r="AU103" s="316">
        <v>0</v>
      </c>
      <c r="AV103" s="129">
        <v>0</v>
      </c>
      <c r="AW103" s="129">
        <v>0</v>
      </c>
      <c r="AX103" s="129">
        <v>0</v>
      </c>
      <c r="AY103" s="129">
        <v>0</v>
      </c>
      <c r="AZ103" s="129">
        <v>0</v>
      </c>
      <c r="BA103" s="129">
        <v>0</v>
      </c>
      <c r="BB103" s="129">
        <v>0</v>
      </c>
      <c r="BC103" s="129">
        <v>0</v>
      </c>
      <c r="BD103" s="129">
        <v>0</v>
      </c>
      <c r="BE103" s="129">
        <v>0</v>
      </c>
      <c r="BF103" s="129">
        <v>0</v>
      </c>
      <c r="BG103" s="130">
        <v>0</v>
      </c>
      <c r="BH103" s="130">
        <v>0</v>
      </c>
      <c r="BI103" s="130">
        <v>0</v>
      </c>
      <c r="BJ103" s="130">
        <v>0</v>
      </c>
      <c r="BK103" s="130">
        <v>0</v>
      </c>
    </row>
    <row r="104" spans="1:63">
      <c r="A104">
        <f t="shared" si="1"/>
        <v>101</v>
      </c>
      <c r="B104" t="s">
        <v>112</v>
      </c>
      <c r="C104" t="str">
        <f>INDEX(EPD_Measures,13)</f>
        <v>Non-hazardous waste generated</v>
      </c>
      <c r="D104" t="str">
        <f>INDEX(EPD_Calc_Units,13)</f>
        <v>kg</v>
      </c>
      <c r="E104" s="123">
        <v>5.1000000000000004E-3</v>
      </c>
      <c r="F104" s="123">
        <f>E104*'Supplemental LCA Data'!$E$62</f>
        <v>5.1000000000000004E-3</v>
      </c>
      <c r="G104" s="123">
        <v>0</v>
      </c>
      <c r="H104" s="123">
        <v>0</v>
      </c>
      <c r="I104" s="123">
        <v>0</v>
      </c>
      <c r="J104" s="123">
        <v>0</v>
      </c>
      <c r="K104" s="123"/>
      <c r="L104" s="123"/>
      <c r="M104" s="123">
        <v>0</v>
      </c>
      <c r="N104" s="123">
        <v>0</v>
      </c>
      <c r="O104" s="123">
        <v>0</v>
      </c>
      <c r="P104" s="123">
        <f>'Supplemental LCA Data'!$AC$57</f>
        <v>0</v>
      </c>
      <c r="Q104" s="123">
        <f>'Supplemental LCA Data'!$AD$57</f>
        <v>0</v>
      </c>
      <c r="R104" s="123">
        <f>'Supplemental LCA Data'!$AE$57</f>
        <v>0</v>
      </c>
      <c r="S104" s="123">
        <f>'Supplemental LCA Data'!$AF$57</f>
        <v>0</v>
      </c>
      <c r="T104" s="123">
        <f>'Supplemental LCA Data'!$AG$57</f>
        <v>0</v>
      </c>
      <c r="U104" s="123">
        <f>'Supplemental LCA Data'!$AH$57</f>
        <v>0</v>
      </c>
      <c r="V104" s="123"/>
      <c r="W104" s="123"/>
      <c r="X104" s="123"/>
      <c r="Y104" s="123"/>
      <c r="Z104" s="123"/>
      <c r="AA104" s="123"/>
      <c r="AB104" s="123"/>
      <c r="AC104" s="123"/>
      <c r="AD104" s="123"/>
      <c r="AE104" s="123"/>
      <c r="AF104" s="123"/>
      <c r="AG104" s="123"/>
      <c r="AH104" s="123"/>
      <c r="AI104" s="123"/>
      <c r="AJ104" s="123"/>
      <c r="AK104" s="123"/>
      <c r="AL104" s="123"/>
      <c r="AM104" s="123">
        <v>0</v>
      </c>
      <c r="AN104" s="123">
        <v>0</v>
      </c>
      <c r="AO104" s="123">
        <v>0</v>
      </c>
      <c r="AP104" s="316">
        <v>0</v>
      </c>
      <c r="AQ104" s="316">
        <v>0</v>
      </c>
      <c r="AR104" s="316">
        <v>0</v>
      </c>
      <c r="AS104" s="316">
        <v>0</v>
      </c>
      <c r="AT104" s="316">
        <v>0</v>
      </c>
      <c r="AU104" s="316">
        <v>0</v>
      </c>
      <c r="AV104" s="129">
        <v>0</v>
      </c>
      <c r="AW104" s="129"/>
      <c r="AX104" s="129"/>
      <c r="AY104" s="129"/>
      <c r="AZ104" s="129"/>
      <c r="BA104" s="129">
        <v>0</v>
      </c>
      <c r="BB104" s="129">
        <v>0</v>
      </c>
      <c r="BC104" s="129">
        <v>0</v>
      </c>
      <c r="BD104" s="129">
        <v>0</v>
      </c>
      <c r="BE104" s="129">
        <v>0</v>
      </c>
      <c r="BF104" s="129">
        <v>0</v>
      </c>
      <c r="BG104" s="130">
        <v>0</v>
      </c>
      <c r="BH104" s="130">
        <v>0</v>
      </c>
      <c r="BI104" s="130">
        <v>0</v>
      </c>
      <c r="BJ104" s="130">
        <v>0</v>
      </c>
      <c r="BK104" s="130">
        <v>0</v>
      </c>
    </row>
    <row r="105" spans="1:63">
      <c r="A105">
        <f t="shared" si="1"/>
        <v>102</v>
      </c>
      <c r="B105" t="s">
        <v>112</v>
      </c>
      <c r="C105" t="str">
        <f>INDEX(EPD_Measures,14)</f>
        <v>Hazardous waste generated</v>
      </c>
      <c r="D105" t="str">
        <f>INDEX(EPD_Calc_Units,14)</f>
        <v>kg</v>
      </c>
      <c r="E105" s="123">
        <v>0</v>
      </c>
      <c r="F105" s="123">
        <f>E105*'Supplemental LCA Data'!$E$63</f>
        <v>0</v>
      </c>
      <c r="G105" s="123">
        <v>0</v>
      </c>
      <c r="H105" s="123">
        <v>0</v>
      </c>
      <c r="I105" s="123">
        <v>0</v>
      </c>
      <c r="J105" s="123">
        <v>0</v>
      </c>
      <c r="K105" s="123"/>
      <c r="L105" s="123"/>
      <c r="M105" s="123">
        <v>0</v>
      </c>
      <c r="N105" s="123">
        <v>0</v>
      </c>
      <c r="O105" s="123">
        <v>0</v>
      </c>
      <c r="P105" s="123">
        <f>'Supplemental LCA Data'!$AC$58</f>
        <v>0</v>
      </c>
      <c r="Q105" s="123">
        <f>'Supplemental LCA Data'!$AD$58</f>
        <v>0</v>
      </c>
      <c r="R105" s="123">
        <f>'Supplemental LCA Data'!$AE$58</f>
        <v>0</v>
      </c>
      <c r="S105" s="123">
        <f>'Supplemental LCA Data'!$AF$58</f>
        <v>0</v>
      </c>
      <c r="T105" s="123">
        <f>'Supplemental LCA Data'!$AG$58</f>
        <v>0</v>
      </c>
      <c r="U105" s="123">
        <f>'Supplemental LCA Data'!$AH$58</f>
        <v>0</v>
      </c>
      <c r="V105" s="123"/>
      <c r="W105" s="123"/>
      <c r="X105" s="123"/>
      <c r="Y105" s="123"/>
      <c r="Z105" s="123"/>
      <c r="AA105" s="123"/>
      <c r="AB105" s="123"/>
      <c r="AC105" s="123"/>
      <c r="AD105" s="123"/>
      <c r="AE105" s="123"/>
      <c r="AF105" s="123"/>
      <c r="AG105" s="123"/>
      <c r="AH105" s="123"/>
      <c r="AI105" s="123"/>
      <c r="AJ105" s="123"/>
      <c r="AK105" s="123"/>
      <c r="AL105" s="123"/>
      <c r="AM105" s="123">
        <v>0</v>
      </c>
      <c r="AN105" s="123">
        <v>0</v>
      </c>
      <c r="AO105" s="123">
        <v>0</v>
      </c>
      <c r="AP105" s="316">
        <v>0</v>
      </c>
      <c r="AQ105" s="316">
        <v>0</v>
      </c>
      <c r="AR105" s="316">
        <v>0</v>
      </c>
      <c r="AS105" s="316">
        <v>0</v>
      </c>
      <c r="AT105" s="316">
        <v>0</v>
      </c>
      <c r="AU105" s="316">
        <v>0</v>
      </c>
      <c r="AV105" s="129">
        <v>0</v>
      </c>
      <c r="AW105" s="129"/>
      <c r="AX105" s="129"/>
      <c r="AY105" s="129"/>
      <c r="AZ105" s="129"/>
      <c r="BA105" s="129">
        <v>0</v>
      </c>
      <c r="BB105" s="129">
        <v>0</v>
      </c>
      <c r="BC105" s="129">
        <v>0</v>
      </c>
      <c r="BD105" s="129">
        <v>0</v>
      </c>
      <c r="BE105" s="129">
        <v>0</v>
      </c>
      <c r="BF105" s="129">
        <v>0</v>
      </c>
      <c r="BG105" s="130">
        <v>0</v>
      </c>
      <c r="BH105" s="130">
        <v>0</v>
      </c>
      <c r="BI105" s="130">
        <v>0</v>
      </c>
      <c r="BJ105" s="130">
        <v>0</v>
      </c>
      <c r="BK105" s="130">
        <v>0</v>
      </c>
    </row>
    <row r="106" spans="1:63">
      <c r="A106" s="112">
        <f t="shared" si="1"/>
        <v>103</v>
      </c>
      <c r="B106" s="112" t="s">
        <v>113</v>
      </c>
      <c r="C106" s="112" t="str">
        <f>INDEX(EPD_Measures,1)</f>
        <v>Global warming potential (GWP)</v>
      </c>
      <c r="D106" s="112" t="str">
        <f>INDEX(EPD_Calc_Units,1)</f>
        <v>kg</v>
      </c>
      <c r="E106" s="123">
        <v>0.94624127099999999</v>
      </c>
      <c r="F106" s="123">
        <f>E106*'Supplemental LCA Data'!$E$49</f>
        <v>0.84663692668421053</v>
      </c>
      <c r="G106" s="123">
        <v>4.6909999999999999E-3</v>
      </c>
      <c r="H106" s="123">
        <v>3.5980000000000001E-3</v>
      </c>
      <c r="I106" s="123">
        <v>3.031588E-3</v>
      </c>
      <c r="J106" s="123">
        <v>3.5980000000000001E-3</v>
      </c>
      <c r="K106" s="123">
        <v>0</v>
      </c>
      <c r="L106" s="123">
        <v>0</v>
      </c>
      <c r="M106" s="123">
        <v>0</v>
      </c>
      <c r="N106" s="123">
        <v>0</v>
      </c>
      <c r="O106" s="123">
        <v>0</v>
      </c>
      <c r="P106" s="123">
        <f>'Supplemental LCA Data'!$AC$45</f>
        <v>0.10406360712476165</v>
      </c>
      <c r="Q106" s="123">
        <f>'Supplemental LCA Data'!$AD$45</f>
        <v>0.22949974224587316</v>
      </c>
      <c r="R106" s="123">
        <f>'Supplemental LCA Data'!$AE$45</f>
        <v>1.2625032020663256</v>
      </c>
      <c r="S106" s="123">
        <f>'Supplemental LCA Data'!$AF$45</f>
        <v>0.76998593521882752</v>
      </c>
      <c r="T106" s="123">
        <f>'Supplemental LCA Data'!$AG$45</f>
        <v>0.22949974224587316</v>
      </c>
      <c r="U106" s="123">
        <f>'Supplemental LCA Data'!$AH$45</f>
        <v>0.51911044578033227</v>
      </c>
      <c r="V106" s="123">
        <v>2.9429471121354829</v>
      </c>
      <c r="W106" s="123">
        <f>'Supplemental LCA Data'!$B$71/1000</f>
        <v>0.89195544554366246</v>
      </c>
      <c r="X106" s="123">
        <f>'Supplemental LCA Data'!$C$71/1000</f>
        <v>1.0380563118652284</v>
      </c>
      <c r="Y106" s="123">
        <f>'Supplemental LCA Data'!$D$71/1000</f>
        <v>1.5012328955993122</v>
      </c>
      <c r="Z106" s="123">
        <f t="shared" si="3"/>
        <v>0.98115099009802875</v>
      </c>
      <c r="AA106" s="123">
        <v>0</v>
      </c>
      <c r="AB106" s="123">
        <v>0</v>
      </c>
      <c r="AC106" s="123">
        <f t="shared" si="2"/>
        <v>0.89195544554366246</v>
      </c>
      <c r="AD106" s="123">
        <v>0</v>
      </c>
      <c r="AE106" s="123">
        <v>0</v>
      </c>
      <c r="AF106" s="123">
        <v>0</v>
      </c>
      <c r="AG106" s="123">
        <v>3.3162413704963716</v>
      </c>
      <c r="AH106" s="123">
        <v>9.0789952164299699</v>
      </c>
      <c r="AI106" s="123">
        <v>0.2453477255455345</v>
      </c>
      <c r="AJ106" s="123">
        <v>0.3279493299762562</v>
      </c>
      <c r="AK106" s="123">
        <v>4.6408478655656005</v>
      </c>
      <c r="AL106" s="123">
        <v>0.92461248966214149</v>
      </c>
      <c r="AM106" s="123">
        <v>0</v>
      </c>
      <c r="AN106" s="123">
        <v>0</v>
      </c>
      <c r="AO106" s="123">
        <v>0</v>
      </c>
      <c r="AP106" s="316">
        <v>0</v>
      </c>
      <c r="AQ106" s="316">
        <v>0</v>
      </c>
      <c r="AR106" s="316">
        <v>0</v>
      </c>
      <c r="AS106" s="316">
        <v>0</v>
      </c>
      <c r="AT106" s="316">
        <v>0</v>
      </c>
      <c r="AU106" s="316">
        <v>0</v>
      </c>
      <c r="AV106" s="129">
        <v>0.27655227399999999</v>
      </c>
      <c r="AW106" s="129">
        <v>0</v>
      </c>
      <c r="AX106" s="129">
        <v>0</v>
      </c>
      <c r="AY106" s="129">
        <v>0</v>
      </c>
      <c r="AZ106" s="129">
        <v>0</v>
      </c>
      <c r="BA106" s="129">
        <v>4.5765858E-2</v>
      </c>
      <c r="BB106" s="129">
        <v>2.529973</v>
      </c>
      <c r="BC106" s="129">
        <v>2.4438970000000002</v>
      </c>
      <c r="BD106" s="129">
        <v>3.1787649999999998</v>
      </c>
      <c r="BE106" s="129">
        <v>3.7603420000000001</v>
      </c>
      <c r="BF106" s="129">
        <v>2.0422280000000002</v>
      </c>
      <c r="BG106" s="130">
        <v>9.2743999999999993E-2</v>
      </c>
      <c r="BH106" s="130">
        <v>7.3523000000000005E-2</v>
      </c>
      <c r="BI106" s="130">
        <v>2.2027999999999999E-2</v>
      </c>
      <c r="BJ106" s="130">
        <v>1.8526999999999998E-2</v>
      </c>
      <c r="BK106" s="130">
        <v>3.3079999999999998E-2</v>
      </c>
    </row>
    <row r="107" spans="1:63">
      <c r="A107">
        <f t="shared" si="1"/>
        <v>104</v>
      </c>
      <c r="B107" t="s">
        <v>113</v>
      </c>
      <c r="C107" t="str">
        <f>INDEX(EPD_Measures,2)</f>
        <v>Acidification potential</v>
      </c>
      <c r="D107" t="str">
        <f>INDEX(EPD_Calc_Units,2)</f>
        <v>kg</v>
      </c>
      <c r="E107" s="123">
        <v>3.7960250000000002E-3</v>
      </c>
      <c r="F107" s="123">
        <f>E107*'Supplemental LCA Data'!$E$52</f>
        <v>3.4256810975609757E-3</v>
      </c>
      <c r="G107" s="123">
        <v>4.3600000000000003E-5</v>
      </c>
      <c r="H107" s="123">
        <v>4.0599999999999998E-5</v>
      </c>
      <c r="I107" s="123">
        <v>3.4833899999999999E-5</v>
      </c>
      <c r="J107" s="123">
        <v>4.0599999999999998E-5</v>
      </c>
      <c r="K107" s="123"/>
      <c r="L107" s="123"/>
      <c r="M107" s="123">
        <v>0</v>
      </c>
      <c r="N107" s="123">
        <v>0</v>
      </c>
      <c r="O107" s="123">
        <v>0</v>
      </c>
      <c r="P107" s="123">
        <f>'Supplemental LCA Data'!$AC$46</f>
        <v>5.7703135192831948E-4</v>
      </c>
      <c r="Q107" s="123">
        <f>'Supplemental LCA Data'!$AD$46</f>
        <v>1.2139986365417917E-3</v>
      </c>
      <c r="R107" s="123">
        <f>'Supplemental LCA Data'!$AE$46</f>
        <v>4.7483946670140312E-3</v>
      </c>
      <c r="S107" s="123">
        <f>'Supplemental LCA Data'!$AF$46</f>
        <v>3.9528555604969102</v>
      </c>
      <c r="T107" s="123">
        <f>'Supplemental LCA Data'!$AG$46</f>
        <v>1.2139986365417917E-3</v>
      </c>
      <c r="U107" s="123">
        <f>'Supplemental LCA Data'!$AH$46</f>
        <v>0.79212179675778727</v>
      </c>
      <c r="V107" s="123"/>
      <c r="W107" s="123"/>
      <c r="X107" s="123"/>
      <c r="Y107" s="123"/>
      <c r="Z107" s="123"/>
      <c r="AA107" s="123"/>
      <c r="AB107" s="123"/>
      <c r="AC107" s="123"/>
      <c r="AD107" s="123"/>
      <c r="AE107" s="123"/>
      <c r="AF107" s="123"/>
      <c r="AG107" s="123"/>
      <c r="AH107" s="123"/>
      <c r="AI107" s="123"/>
      <c r="AJ107" s="123"/>
      <c r="AK107" s="123"/>
      <c r="AL107" s="123"/>
      <c r="AM107" s="123">
        <v>0</v>
      </c>
      <c r="AN107" s="123">
        <v>0</v>
      </c>
      <c r="AO107" s="123">
        <v>0</v>
      </c>
      <c r="AP107" s="316">
        <v>0</v>
      </c>
      <c r="AQ107" s="316">
        <v>0</v>
      </c>
      <c r="AR107" s="316">
        <v>0</v>
      </c>
      <c r="AS107" s="316">
        <v>0</v>
      </c>
      <c r="AT107" s="316">
        <v>0</v>
      </c>
      <c r="AU107" s="316">
        <v>0</v>
      </c>
      <c r="AV107" s="129">
        <v>1.459127E-3</v>
      </c>
      <c r="AW107" s="129"/>
      <c r="AX107" s="129"/>
      <c r="AY107" s="129"/>
      <c r="AZ107" s="129"/>
      <c r="BA107" s="129">
        <v>8.3965400000000001E-4</v>
      </c>
      <c r="BB107" s="129">
        <v>2.6606000000000001E-2</v>
      </c>
      <c r="BC107" s="129">
        <v>2.0861000000000001E-2</v>
      </c>
      <c r="BD107" s="129">
        <v>5.646E-3</v>
      </c>
      <c r="BE107" s="129">
        <v>8.8570000000000003E-3</v>
      </c>
      <c r="BF107" s="129">
        <v>4.045E-3</v>
      </c>
      <c r="BG107" s="130">
        <v>4.6900000000000002E-4</v>
      </c>
      <c r="BH107" s="130">
        <v>3.2299999999999999E-4</v>
      </c>
      <c r="BI107" s="130">
        <v>3.7199999999999999E-4</v>
      </c>
      <c r="BJ107" s="130">
        <v>3.2299999999999999E-4</v>
      </c>
      <c r="BK107" s="130">
        <v>2.8299999999999999E-4</v>
      </c>
    </row>
    <row r="108" spans="1:63">
      <c r="A108">
        <f t="shared" si="1"/>
        <v>105</v>
      </c>
      <c r="B108" t="s">
        <v>113</v>
      </c>
      <c r="C108" t="str">
        <f>INDEX(EPD_Measures,3)</f>
        <v>Eutrophication potential</v>
      </c>
      <c r="D108" t="str">
        <f>INDEX(EPD_Calc_Units,3)</f>
        <v>kg</v>
      </c>
      <c r="E108" s="123">
        <v>1.2437400000000001E-4</v>
      </c>
      <c r="F108" s="123">
        <f>E108*'Supplemental LCA Data'!$E$53</f>
        <v>1.1480676923076925E-4</v>
      </c>
      <c r="G108" s="123">
        <v>2.12E-6</v>
      </c>
      <c r="H108" s="123">
        <v>2.5399999999999998E-6</v>
      </c>
      <c r="I108" s="123">
        <v>1.9202100000000001E-6</v>
      </c>
      <c r="J108" s="123">
        <v>2.5399999999999998E-6</v>
      </c>
      <c r="K108" s="123"/>
      <c r="L108" s="123"/>
      <c r="M108" s="123">
        <v>0</v>
      </c>
      <c r="N108" s="123">
        <v>0</v>
      </c>
      <c r="O108" s="123">
        <v>0</v>
      </c>
      <c r="P108" s="123">
        <f>'Supplemental LCA Data'!$AC$47</f>
        <v>1.9624831959085375E-4</v>
      </c>
      <c r="Q108" s="123">
        <f>'Supplemental LCA Data'!$AD$47</f>
        <v>4.226795252829316E-5</v>
      </c>
      <c r="R108" s="123">
        <f>'Supplemental LCA Data'!$AE$47</f>
        <v>8.7898401280121123E-4</v>
      </c>
      <c r="S108" s="123">
        <f>'Supplemental LCA Data'!$AF$47</f>
        <v>0.24926944204227258</v>
      </c>
      <c r="T108" s="123">
        <f>'Supplemental LCA Data'!$AG$47</f>
        <v>4.226795252829316E-5</v>
      </c>
      <c r="U108" s="123">
        <f>'Supplemental LCA Data'!$AH$47</f>
        <v>5.0085842055944255E-2</v>
      </c>
      <c r="V108" s="123"/>
      <c r="W108" s="123"/>
      <c r="X108" s="123"/>
      <c r="Y108" s="123"/>
      <c r="Z108" s="123"/>
      <c r="AA108" s="123"/>
      <c r="AB108" s="123"/>
      <c r="AC108" s="123"/>
      <c r="AD108" s="123"/>
      <c r="AE108" s="123"/>
      <c r="AF108" s="123"/>
      <c r="AG108" s="123"/>
      <c r="AH108" s="123"/>
      <c r="AI108" s="123"/>
      <c r="AJ108" s="123"/>
      <c r="AK108" s="123"/>
      <c r="AL108" s="123"/>
      <c r="AM108" s="123">
        <v>0</v>
      </c>
      <c r="AN108" s="123">
        <v>0</v>
      </c>
      <c r="AO108" s="123">
        <v>0</v>
      </c>
      <c r="AP108" s="316">
        <v>0</v>
      </c>
      <c r="AQ108" s="316">
        <v>0</v>
      </c>
      <c r="AR108" s="316">
        <v>0</v>
      </c>
      <c r="AS108" s="316">
        <v>0</v>
      </c>
      <c r="AT108" s="316">
        <v>0</v>
      </c>
      <c r="AU108" s="316">
        <v>0</v>
      </c>
      <c r="AV108" s="129">
        <v>3.27363E-5</v>
      </c>
      <c r="AW108" s="129"/>
      <c r="AX108" s="129"/>
      <c r="AY108" s="129"/>
      <c r="AZ108" s="129"/>
      <c r="BA108" s="129">
        <v>4.0302700000000003E-5</v>
      </c>
      <c r="BB108" s="129">
        <v>1.722E-3</v>
      </c>
      <c r="BC108" s="129">
        <v>2.05E-4</v>
      </c>
      <c r="BD108" s="129">
        <v>3.9599999999999998E-4</v>
      </c>
      <c r="BE108" s="129">
        <v>6.0300000000000002E-4</v>
      </c>
      <c r="BF108" s="129">
        <v>2.8299999999999999E-4</v>
      </c>
      <c r="BG108" s="130">
        <v>3.0800000000000003E-5</v>
      </c>
      <c r="BH108" s="130">
        <v>2.1500000000000001E-5</v>
      </c>
      <c r="BI108" s="130">
        <v>2.3799999999999999E-5</v>
      </c>
      <c r="BJ108" s="130">
        <v>2.0699999999999998E-5</v>
      </c>
      <c r="BK108" s="130">
        <v>1.8300000000000001E-5</v>
      </c>
    </row>
    <row r="109" spans="1:63">
      <c r="A109">
        <f t="shared" si="1"/>
        <v>106</v>
      </c>
      <c r="B109" t="s">
        <v>113</v>
      </c>
      <c r="C109" t="str">
        <f>INDEX(EPD_Measures,4)</f>
        <v>Smog creation potential</v>
      </c>
      <c r="D109" t="str">
        <f>INDEX(EPD_Calc_Units,4)</f>
        <v>kg</v>
      </c>
      <c r="E109" s="123">
        <v>4.5346048E-2</v>
      </c>
      <c r="F109" s="123">
        <f>E109*'Supplemental LCA Data'!$E$55</f>
        <v>4.0622501333333332E-2</v>
      </c>
      <c r="G109" s="123">
        <v>1.075E-3</v>
      </c>
      <c r="H109" s="123">
        <v>1.1770000000000001E-3</v>
      </c>
      <c r="I109" s="123">
        <v>1.0031689999999999E-3</v>
      </c>
      <c r="J109" s="123">
        <v>1.1770000000000001E-3</v>
      </c>
      <c r="K109" s="123"/>
      <c r="L109" s="123"/>
      <c r="M109" s="123">
        <v>0</v>
      </c>
      <c r="N109" s="123">
        <v>0</v>
      </c>
      <c r="O109" s="123">
        <v>0</v>
      </c>
      <c r="P109" s="123">
        <f>'Supplemental LCA Data'!$AC$48</f>
        <v>8.7017595456788718E-3</v>
      </c>
      <c r="Q109" s="123">
        <f>'Supplemental LCA Data'!$AD$48</f>
        <v>1.3524104726696053E-2</v>
      </c>
      <c r="R109" s="123">
        <f>'Supplemental LCA Data'!$AE$48</f>
        <v>5.7241581200289861E-2</v>
      </c>
      <c r="S109" s="123">
        <f>'Supplemental LCA Data'!$AF$48</f>
        <v>43.192743848068233</v>
      </c>
      <c r="T109" s="123">
        <f>'Supplemental LCA Data'!$AG$48</f>
        <v>1.3524104726696053E-2</v>
      </c>
      <c r="U109" s="123">
        <f>'Supplemental LCA Data'!$AH$48</f>
        <v>8.6571470796535195</v>
      </c>
      <c r="V109" s="123"/>
      <c r="W109" s="123"/>
      <c r="X109" s="123"/>
      <c r="Y109" s="123"/>
      <c r="Z109" s="123"/>
      <c r="AA109" s="123"/>
      <c r="AB109" s="123"/>
      <c r="AC109" s="123"/>
      <c r="AD109" s="123"/>
      <c r="AE109" s="123"/>
      <c r="AF109" s="123"/>
      <c r="AG109" s="123"/>
      <c r="AH109" s="123"/>
      <c r="AI109" s="123"/>
      <c r="AJ109" s="123"/>
      <c r="AK109" s="123"/>
      <c r="AL109" s="123"/>
      <c r="AM109" s="123">
        <v>0</v>
      </c>
      <c r="AN109" s="123">
        <v>0</v>
      </c>
      <c r="AO109" s="123">
        <v>0</v>
      </c>
      <c r="AP109" s="316">
        <v>0</v>
      </c>
      <c r="AQ109" s="316">
        <v>0</v>
      </c>
      <c r="AR109" s="316">
        <v>0</v>
      </c>
      <c r="AS109" s="316">
        <v>0</v>
      </c>
      <c r="AT109" s="316">
        <v>0</v>
      </c>
      <c r="AU109" s="316">
        <v>0</v>
      </c>
      <c r="AV109" s="129">
        <v>1.1996125999999999E-2</v>
      </c>
      <c r="AW109" s="129"/>
      <c r="AX109" s="129"/>
      <c r="AY109" s="129"/>
      <c r="AZ109" s="129"/>
      <c r="BA109" s="129">
        <v>0.241503051</v>
      </c>
      <c r="BB109" s="129">
        <v>0.90166400000000002</v>
      </c>
      <c r="BC109" s="129">
        <v>5.2539000000000002E-2</v>
      </c>
      <c r="BD109" s="129">
        <v>0.13974</v>
      </c>
      <c r="BE109" s="129">
        <v>0.24854699999999999</v>
      </c>
      <c r="BF109" s="129">
        <v>0.10738499999999999</v>
      </c>
      <c r="BG109" s="130">
        <v>1.5133000000000001E-2</v>
      </c>
      <c r="BH109" s="130">
        <v>1.0231000000000001E-2</v>
      </c>
      <c r="BI109" s="130">
        <v>1.2799E-2</v>
      </c>
      <c r="BJ109" s="130">
        <v>1.1180000000000001E-2</v>
      </c>
      <c r="BK109" s="130">
        <v>9.5029999999999993E-3</v>
      </c>
    </row>
    <row r="110" spans="1:63">
      <c r="A110">
        <f t="shared" si="1"/>
        <v>107</v>
      </c>
      <c r="B110" t="s">
        <v>113</v>
      </c>
      <c r="C110" t="str">
        <f>INDEX(EPD_Measures,5)</f>
        <v>Ozone depletion potential</v>
      </c>
      <c r="D110" t="str">
        <f>INDEX(EPD_Calc_Units,5)</f>
        <v>kg</v>
      </c>
      <c r="E110" s="123">
        <v>1.12503E-11</v>
      </c>
      <c r="F110" s="123">
        <f>E110*'Supplemental LCA Data'!$E$56</f>
        <v>9.8184436363636348E-12</v>
      </c>
      <c r="G110" s="123">
        <v>1.83E-13</v>
      </c>
      <c r="H110" s="123">
        <v>9.6800000000000004E-11</v>
      </c>
      <c r="I110" s="123">
        <v>1.21314E-13</v>
      </c>
      <c r="J110" s="123">
        <v>9.6800000000000004E-11</v>
      </c>
      <c r="K110" s="123"/>
      <c r="L110" s="123"/>
      <c r="M110" s="123">
        <v>0</v>
      </c>
      <c r="N110" s="123">
        <v>0</v>
      </c>
      <c r="O110" s="123">
        <v>0</v>
      </c>
      <c r="P110" s="123">
        <f>'Supplemental LCA Data'!$AC$49</f>
        <v>4.817994588850506E-10</v>
      </c>
      <c r="Q110" s="123">
        <f>'Supplemental LCA Data'!$AD$49</f>
        <v>0</v>
      </c>
      <c r="R110" s="123">
        <f>'Supplemental LCA Data'!$AE$49</f>
        <v>2.4089972944252421E-9</v>
      </c>
      <c r="S110" s="123">
        <f>'Supplemental LCA Data'!$AF$49</f>
        <v>3.2599963386576577E-9</v>
      </c>
      <c r="T110" s="123">
        <f>'Supplemental LCA Data'!$AG$49</f>
        <v>0</v>
      </c>
      <c r="U110" s="123">
        <f>'Supplemental LCA Data'!$AH$49</f>
        <v>1.2301586183935901E-9</v>
      </c>
      <c r="V110" s="123"/>
      <c r="W110" s="123"/>
      <c r="X110" s="123"/>
      <c r="Y110" s="123"/>
      <c r="Z110" s="123"/>
      <c r="AA110" s="123"/>
      <c r="AB110" s="123"/>
      <c r="AC110" s="123"/>
      <c r="AD110" s="123"/>
      <c r="AE110" s="123"/>
      <c r="AF110" s="123"/>
      <c r="AG110" s="123"/>
      <c r="AH110" s="123"/>
      <c r="AI110" s="123"/>
      <c r="AJ110" s="123"/>
      <c r="AK110" s="123"/>
      <c r="AL110" s="123"/>
      <c r="AM110" s="123">
        <v>0</v>
      </c>
      <c r="AN110" s="123">
        <v>0</v>
      </c>
      <c r="AO110" s="123">
        <v>0</v>
      </c>
      <c r="AP110" s="316">
        <v>0</v>
      </c>
      <c r="AQ110" s="316">
        <v>0</v>
      </c>
      <c r="AR110" s="316">
        <v>0</v>
      </c>
      <c r="AS110" s="316">
        <v>0</v>
      </c>
      <c r="AT110" s="316">
        <v>0</v>
      </c>
      <c r="AU110" s="316">
        <v>0</v>
      </c>
      <c r="AV110" s="129">
        <v>1.02006E-11</v>
      </c>
      <c r="AW110" s="129"/>
      <c r="AX110" s="129"/>
      <c r="AY110" s="129"/>
      <c r="AZ110" s="129"/>
      <c r="BA110" s="129">
        <v>9.58911E-14</v>
      </c>
      <c r="BB110" s="129">
        <v>1.16E-10</v>
      </c>
      <c r="BC110" s="129">
        <v>1.6799999999999999E-12</v>
      </c>
      <c r="BD110" s="129">
        <v>1.2999999999999999E-10</v>
      </c>
      <c r="BE110" s="129">
        <v>1.41E-10</v>
      </c>
      <c r="BF110" s="129">
        <v>8.1099999999999997E-11</v>
      </c>
      <c r="BG110" s="130">
        <v>3.5300000000000001E-12</v>
      </c>
      <c r="BH110" s="130">
        <v>3.1599999999999999E-12</v>
      </c>
      <c r="BI110" s="130">
        <v>8.4099999999999995E-13</v>
      </c>
      <c r="BJ110" s="130">
        <v>6.9599999999999996E-13</v>
      </c>
      <c r="BK110" s="130">
        <v>1.2499999999999999E-12</v>
      </c>
    </row>
    <row r="111" spans="1:63">
      <c r="A111">
        <f t="shared" si="1"/>
        <v>108</v>
      </c>
      <c r="B111" t="s">
        <v>113</v>
      </c>
      <c r="C111" t="str">
        <f>INDEX(EPD_Measures,6)</f>
        <v>Total primary energy consumption</v>
      </c>
      <c r="D111" t="str">
        <f>INDEX(EPD_Calc_Units,6)</f>
        <v>MJ</v>
      </c>
      <c r="E111" s="123">
        <v>7.1185366759999997</v>
      </c>
      <c r="F111" s="123">
        <f>E111*'Supplemental LCA Data'!$E$50</f>
        <v>6.4733520830090621</v>
      </c>
      <c r="G111" s="123">
        <v>0.133127</v>
      </c>
      <c r="H111" s="123">
        <v>7.4640999999999999E-2</v>
      </c>
      <c r="I111" s="123">
        <v>6.618352000000001E-2</v>
      </c>
      <c r="J111" s="123">
        <v>7.4640999999999999E-2</v>
      </c>
      <c r="K111" s="123">
        <v>0</v>
      </c>
      <c r="L111" s="123">
        <v>0</v>
      </c>
      <c r="M111" s="123">
        <v>0</v>
      </c>
      <c r="N111" s="123">
        <v>0</v>
      </c>
      <c r="O111" s="123">
        <v>0</v>
      </c>
      <c r="P111" s="123">
        <f>'Supplemental LCA Data'!$AC$50</f>
        <v>2.099997641465547</v>
      </c>
      <c r="Q111" s="123">
        <f>'Supplemental LCA Data'!$AD$50</f>
        <v>4.5999948336864307</v>
      </c>
      <c r="R111" s="123">
        <f>'Supplemental LCA Data'!$AE$50</f>
        <v>22.799974393054555</v>
      </c>
      <c r="S111" s="123">
        <f>'Supplemental LCA Data'!$AF$50</f>
        <v>18.299979447056902</v>
      </c>
      <c r="T111" s="123">
        <f>'Supplemental LCA Data'!$AG$50</f>
        <v>4.5999948336864307</v>
      </c>
      <c r="U111" s="123">
        <f>'Supplemental LCA Data'!$AH$50</f>
        <v>10.479988229789974</v>
      </c>
      <c r="V111" s="123">
        <v>57.506173091793869</v>
      </c>
      <c r="W111" s="123">
        <f>'Supplemental LCA Data'!$B$72/1000</f>
        <v>17.379305548594214</v>
      </c>
      <c r="X111" s="123">
        <f>'Supplemental LCA Data'!$C$72/1000</f>
        <v>21.115558668452628</v>
      </c>
      <c r="Y111" s="123">
        <f>'Supplemental LCA Data'!$D$72/1000</f>
        <v>25.458767950129285</v>
      </c>
      <c r="Z111" s="123">
        <f t="shared" si="3"/>
        <v>19.117236103453639</v>
      </c>
      <c r="AA111" s="123">
        <v>0</v>
      </c>
      <c r="AB111" s="123">
        <v>0</v>
      </c>
      <c r="AC111" s="123">
        <f t="shared" si="2"/>
        <v>17.379305548594214</v>
      </c>
      <c r="AD111" s="123">
        <v>0</v>
      </c>
      <c r="AE111" s="123">
        <v>0</v>
      </c>
      <c r="AF111" s="123">
        <v>0</v>
      </c>
      <c r="AG111" s="123">
        <v>111.41336281293017</v>
      </c>
      <c r="AH111" s="123">
        <v>96.934631722060175</v>
      </c>
      <c r="AI111" s="123">
        <v>3.4310468673118439</v>
      </c>
      <c r="AJ111" s="123">
        <v>7.079849022399789</v>
      </c>
      <c r="AK111" s="123">
        <v>88.609789579499989</v>
      </c>
      <c r="AL111" s="123">
        <v>75.869011043824344</v>
      </c>
      <c r="AM111" s="123">
        <v>0</v>
      </c>
      <c r="AN111" s="123">
        <v>0</v>
      </c>
      <c r="AO111" s="123">
        <v>0</v>
      </c>
      <c r="AP111" s="316">
        <v>0</v>
      </c>
      <c r="AQ111" s="316">
        <v>0</v>
      </c>
      <c r="AR111" s="316">
        <v>0</v>
      </c>
      <c r="AS111" s="316">
        <v>0</v>
      </c>
      <c r="AT111" s="316">
        <v>0</v>
      </c>
      <c r="AU111" s="316">
        <v>0</v>
      </c>
      <c r="AV111" s="129">
        <v>11.157339110000001</v>
      </c>
      <c r="AW111" s="129">
        <v>3.6</v>
      </c>
      <c r="AX111" s="129">
        <v>3.6</v>
      </c>
      <c r="AY111" s="129">
        <v>3.6</v>
      </c>
      <c r="AZ111" s="129">
        <v>3.6</v>
      </c>
      <c r="BA111" s="129">
        <v>3.4579025999999999E-2</v>
      </c>
      <c r="BB111" s="129">
        <v>41.990099999999998</v>
      </c>
      <c r="BC111" s="129">
        <v>43.209249999999997</v>
      </c>
      <c r="BD111" s="129">
        <v>46.983649999999997</v>
      </c>
      <c r="BE111" s="129">
        <v>51.126690000000004</v>
      </c>
      <c r="BF111" s="129">
        <v>29.343319999999999</v>
      </c>
      <c r="BG111" s="130">
        <v>1.2783040000000001</v>
      </c>
      <c r="BH111" s="130">
        <v>1.14236</v>
      </c>
      <c r="BI111" s="130">
        <v>0.30436299999999999</v>
      </c>
      <c r="BJ111" s="130">
        <v>0.25176399999999999</v>
      </c>
      <c r="BK111" s="130">
        <v>0.45051000000000002</v>
      </c>
    </row>
    <row r="112" spans="1:63">
      <c r="A112">
        <f t="shared" si="1"/>
        <v>109</v>
      </c>
      <c r="B112" t="s">
        <v>113</v>
      </c>
      <c r="C112" t="str">
        <f>INDEX(EPD_Measures,7)</f>
        <v>Nonrenewable energy resources</v>
      </c>
      <c r="D112" t="str">
        <f>INDEX(EPD_Calc_Units,7)</f>
        <v>MJ</v>
      </c>
      <c r="E112" s="123">
        <v>6.9753642720000002</v>
      </c>
      <c r="F112" s="123">
        <f>E112*'Supplemental LCA Data'!$E$51</f>
        <v>6.3301152643827763</v>
      </c>
      <c r="G112" s="123">
        <v>0.12499</v>
      </c>
      <c r="H112" s="123">
        <v>7.1917999999999996E-2</v>
      </c>
      <c r="I112" s="123">
        <v>6.3471098000000004E-2</v>
      </c>
      <c r="J112" s="123">
        <v>7.1917999999999996E-2</v>
      </c>
      <c r="K112" s="123"/>
      <c r="L112" s="123"/>
      <c r="M112" s="123">
        <v>0</v>
      </c>
      <c r="N112" s="123">
        <v>0</v>
      </c>
      <c r="O112" s="123">
        <v>0</v>
      </c>
      <c r="P112" s="123">
        <f>'Supplemental LCA Data'!$AC$51</f>
        <v>2.099997641465547</v>
      </c>
      <c r="Q112" s="123">
        <f>'Supplemental LCA Data'!$AD$51</f>
        <v>4.5999948336864307</v>
      </c>
      <c r="R112" s="123">
        <f>'Supplemental LCA Data'!$AE$51</f>
        <v>22.799974393054555</v>
      </c>
      <c r="S112" s="123">
        <f>'Supplemental LCA Data'!$AF$51</f>
        <v>18.299979447056902</v>
      </c>
      <c r="T112" s="123">
        <f>'Supplemental LCA Data'!$AG$51</f>
        <v>4.5999948336864307</v>
      </c>
      <c r="U112" s="123">
        <f>'Supplemental LCA Data'!$AH$51</f>
        <v>10.479988229789974</v>
      </c>
      <c r="V112" s="123"/>
      <c r="W112" s="123"/>
      <c r="X112" s="123"/>
      <c r="Y112" s="123"/>
      <c r="Z112" s="123"/>
      <c r="AA112" s="123"/>
      <c r="AB112" s="123"/>
      <c r="AC112" s="123"/>
      <c r="AD112" s="123"/>
      <c r="AE112" s="123"/>
      <c r="AF112" s="123"/>
      <c r="AG112" s="123"/>
      <c r="AH112" s="123"/>
      <c r="AI112" s="123"/>
      <c r="AJ112" s="123"/>
      <c r="AK112" s="123"/>
      <c r="AL112" s="123"/>
      <c r="AM112" s="123">
        <v>0</v>
      </c>
      <c r="AN112" s="123">
        <v>0</v>
      </c>
      <c r="AO112" s="123">
        <v>0</v>
      </c>
      <c r="AP112" s="316">
        <v>0</v>
      </c>
      <c r="AQ112" s="316">
        <v>0</v>
      </c>
      <c r="AR112" s="316">
        <v>0</v>
      </c>
      <c r="AS112" s="316">
        <v>0</v>
      </c>
      <c r="AT112" s="316">
        <v>0</v>
      </c>
      <c r="AU112" s="316">
        <v>0</v>
      </c>
      <c r="AV112" s="129">
        <v>10.25319857</v>
      </c>
      <c r="AW112" s="129"/>
      <c r="AX112" s="129"/>
      <c r="AY112" s="129"/>
      <c r="AZ112" s="129"/>
      <c r="BA112" s="129">
        <v>3.4579025999999999E-2</v>
      </c>
      <c r="BB112" s="129">
        <v>41.929009999999998</v>
      </c>
      <c r="BC112" s="129">
        <v>43.189610000000002</v>
      </c>
      <c r="BD112" s="129">
        <v>46.915320000000001</v>
      </c>
      <c r="BE112" s="129">
        <v>51.052590000000002</v>
      </c>
      <c r="BF112" s="129">
        <v>29.300560000000001</v>
      </c>
      <c r="BG112" s="130">
        <v>1.276451</v>
      </c>
      <c r="BH112" s="130">
        <v>1.1407039999999999</v>
      </c>
      <c r="BI112" s="130">
        <v>0.303921</v>
      </c>
      <c r="BJ112" s="130">
        <v>0.25139899999999998</v>
      </c>
      <c r="BK112" s="130">
        <v>0.44985700000000001</v>
      </c>
    </row>
    <row r="113" spans="1:63">
      <c r="A113">
        <f t="shared" si="1"/>
        <v>110</v>
      </c>
      <c r="B113" t="s">
        <v>113</v>
      </c>
      <c r="C113" t="str">
        <f>INDEX(EPD_Measures,8)</f>
        <v>Renewable energy resources</v>
      </c>
      <c r="D113" t="str">
        <f>INDEX(EPD_Calc_Units,8)</f>
        <v>MJ</v>
      </c>
      <c r="E113" s="123">
        <v>0.143172404</v>
      </c>
      <c r="F113" s="123">
        <f>E113*'Supplemental LCA Data'!$E$57</f>
        <v>0.12992838576714516</v>
      </c>
      <c r="G113" s="123">
        <v>8.1370000000000001E-3</v>
      </c>
      <c r="H113" s="123">
        <v>2.7230000000000002E-3</v>
      </c>
      <c r="I113" s="123">
        <v>2.7124219999999999E-3</v>
      </c>
      <c r="J113" s="123">
        <v>2.7230000000000002E-3</v>
      </c>
      <c r="K113" s="123"/>
      <c r="L113" s="123"/>
      <c r="M113" s="123">
        <v>0</v>
      </c>
      <c r="N113" s="123">
        <v>0</v>
      </c>
      <c r="O113" s="123">
        <v>0</v>
      </c>
      <c r="P113" s="123">
        <f>'Supplemental LCA Data'!$AC$52</f>
        <v>0</v>
      </c>
      <c r="Q113" s="123">
        <f>'Supplemental LCA Data'!$AD$52</f>
        <v>0</v>
      </c>
      <c r="R113" s="123">
        <f>'Supplemental LCA Data'!$AE$52</f>
        <v>0</v>
      </c>
      <c r="S113" s="123">
        <f>'Supplemental LCA Data'!$AF$52</f>
        <v>0</v>
      </c>
      <c r="T113" s="123">
        <f>'Supplemental LCA Data'!$AG$52</f>
        <v>0</v>
      </c>
      <c r="U113" s="123">
        <f>'Supplemental LCA Data'!$AH$52</f>
        <v>0</v>
      </c>
      <c r="V113" s="123"/>
      <c r="W113" s="123"/>
      <c r="X113" s="123"/>
      <c r="Y113" s="123"/>
      <c r="Z113" s="123"/>
      <c r="AA113" s="123"/>
      <c r="AB113" s="123"/>
      <c r="AC113" s="123"/>
      <c r="AD113" s="123"/>
      <c r="AE113" s="123"/>
      <c r="AF113" s="123"/>
      <c r="AG113" s="123"/>
      <c r="AH113" s="123"/>
      <c r="AI113" s="123"/>
      <c r="AJ113" s="123"/>
      <c r="AK113" s="123"/>
      <c r="AL113" s="123"/>
      <c r="AM113" s="123">
        <v>0</v>
      </c>
      <c r="AN113" s="123">
        <v>0</v>
      </c>
      <c r="AO113" s="123">
        <v>0</v>
      </c>
      <c r="AP113" s="316">
        <v>0</v>
      </c>
      <c r="AQ113" s="316">
        <v>0</v>
      </c>
      <c r="AR113" s="316">
        <v>0</v>
      </c>
      <c r="AS113" s="316">
        <v>0</v>
      </c>
      <c r="AT113" s="316">
        <v>0</v>
      </c>
      <c r="AU113" s="316">
        <v>0</v>
      </c>
      <c r="AV113" s="129">
        <v>0.90414053400000005</v>
      </c>
      <c r="AW113" s="129"/>
      <c r="AX113" s="129"/>
      <c r="AY113" s="129"/>
      <c r="AZ113" s="129"/>
      <c r="BA113" s="129">
        <v>0</v>
      </c>
      <c r="BB113" s="129">
        <v>6.1093000000000001E-2</v>
      </c>
      <c r="BC113" s="129">
        <v>1.9647000000000001E-2</v>
      </c>
      <c r="BD113" s="129">
        <v>6.8331000000000003E-2</v>
      </c>
      <c r="BE113" s="129">
        <v>7.4106000000000005E-2</v>
      </c>
      <c r="BF113" s="129">
        <v>4.2762000000000001E-2</v>
      </c>
      <c r="BG113" s="130">
        <v>1.853E-3</v>
      </c>
      <c r="BH113" s="130">
        <v>1.6559999999999999E-3</v>
      </c>
      <c r="BI113" s="130">
        <v>4.4099999999999999E-4</v>
      </c>
      <c r="BJ113" s="130">
        <v>3.6499999999999998E-4</v>
      </c>
      <c r="BK113" s="130">
        <v>6.5300000000000004E-4</v>
      </c>
    </row>
    <row r="114" spans="1:63">
      <c r="A114">
        <f t="shared" si="1"/>
        <v>111</v>
      </c>
      <c r="B114" t="s">
        <v>113</v>
      </c>
      <c r="C114" t="str">
        <f>INDEX(EPD_Measures,9)</f>
        <v>Material resources consumption</v>
      </c>
      <c r="D114" t="str">
        <f>INDEX(EPD_Calc_Units,9)</f>
        <v>kg</v>
      </c>
      <c r="E114" s="123">
        <v>1.6540299999999999</v>
      </c>
      <c r="F114" s="123">
        <f>E114*'Supplemental LCA Data'!$E$58</f>
        <v>1.6540299999999999</v>
      </c>
      <c r="G114" s="123">
        <v>1.0000015600000001</v>
      </c>
      <c r="H114" s="123">
        <v>1.0000021111778816</v>
      </c>
      <c r="I114" s="123">
        <v>1.0000015600000001</v>
      </c>
      <c r="J114" s="123">
        <v>1.0000021111778816</v>
      </c>
      <c r="K114" s="123"/>
      <c r="L114" s="123"/>
      <c r="M114" s="123">
        <v>0</v>
      </c>
      <c r="N114" s="123">
        <v>0</v>
      </c>
      <c r="O114" s="123">
        <v>0</v>
      </c>
      <c r="P114" s="123">
        <f>'Supplemental LCA Data'!$AC$53</f>
        <v>0</v>
      </c>
      <c r="Q114" s="123">
        <f>'Supplemental LCA Data'!$AD$53</f>
        <v>0</v>
      </c>
      <c r="R114" s="123">
        <f>'Supplemental LCA Data'!$AE$53</f>
        <v>0</v>
      </c>
      <c r="S114" s="123">
        <f>'Supplemental LCA Data'!$AF$53</f>
        <v>0</v>
      </c>
      <c r="T114" s="123">
        <f>'Supplemental LCA Data'!$AG$53</f>
        <v>0</v>
      </c>
      <c r="U114" s="123">
        <f>'Supplemental LCA Data'!$AH$53</f>
        <v>0</v>
      </c>
      <c r="V114" s="123"/>
      <c r="W114" s="123"/>
      <c r="X114" s="123"/>
      <c r="Y114" s="123"/>
      <c r="Z114" s="123"/>
      <c r="AA114" s="123"/>
      <c r="AB114" s="123"/>
      <c r="AC114" s="123"/>
      <c r="AD114" s="123"/>
      <c r="AE114" s="123"/>
      <c r="AF114" s="123"/>
      <c r="AG114" s="123"/>
      <c r="AH114" s="123"/>
      <c r="AI114" s="123"/>
      <c r="AJ114" s="123"/>
      <c r="AK114" s="123"/>
      <c r="AL114" s="123"/>
      <c r="AM114" s="123">
        <v>0</v>
      </c>
      <c r="AN114" s="123">
        <v>0</v>
      </c>
      <c r="AO114" s="123">
        <v>0</v>
      </c>
      <c r="AP114" s="316">
        <v>0</v>
      </c>
      <c r="AQ114" s="316">
        <v>0</v>
      </c>
      <c r="AR114" s="316">
        <v>0</v>
      </c>
      <c r="AS114" s="316">
        <v>0</v>
      </c>
      <c r="AT114" s="316">
        <v>0</v>
      </c>
      <c r="AU114" s="316">
        <v>0</v>
      </c>
      <c r="AV114" s="129">
        <v>0</v>
      </c>
      <c r="AW114" s="129"/>
      <c r="AX114" s="129"/>
      <c r="AY114" s="129"/>
      <c r="AZ114" s="129"/>
      <c r="BA114" s="129">
        <v>0.84323164500000003</v>
      </c>
      <c r="BB114" s="129">
        <v>0</v>
      </c>
      <c r="BC114" s="129">
        <v>0</v>
      </c>
      <c r="BD114" s="129">
        <v>0</v>
      </c>
      <c r="BE114" s="129">
        <v>0</v>
      </c>
      <c r="BF114" s="129">
        <v>0</v>
      </c>
      <c r="BG114" s="130">
        <v>0</v>
      </c>
      <c r="BH114" s="130">
        <v>0</v>
      </c>
      <c r="BI114" s="130">
        <v>0</v>
      </c>
      <c r="BJ114" s="130">
        <v>0</v>
      </c>
      <c r="BK114" s="130">
        <v>0</v>
      </c>
    </row>
    <row r="115" spans="1:63">
      <c r="A115">
        <f t="shared" si="1"/>
        <v>112</v>
      </c>
      <c r="B115" t="s">
        <v>113</v>
      </c>
      <c r="C115" t="str">
        <f>INDEX(EPD_Measures,10)</f>
        <v>Nonrenewable material resources</v>
      </c>
      <c r="D115" t="str">
        <f>INDEX(EPD_Calc_Units,10)</f>
        <v>kg</v>
      </c>
      <c r="E115" s="123">
        <v>1.6540299999999999</v>
      </c>
      <c r="F115" s="123">
        <f>E115*'Supplemental LCA Data'!$E$59</f>
        <v>1.6540299999999999</v>
      </c>
      <c r="G115" s="123">
        <v>1</v>
      </c>
      <c r="H115" s="123">
        <v>1.0000001919173316</v>
      </c>
      <c r="I115" s="123">
        <v>1</v>
      </c>
      <c r="J115" s="123">
        <v>1.0000001919173316</v>
      </c>
      <c r="K115" s="123"/>
      <c r="L115" s="123"/>
      <c r="M115" s="123">
        <v>0</v>
      </c>
      <c r="N115" s="123">
        <v>0</v>
      </c>
      <c r="O115" s="123">
        <v>0</v>
      </c>
      <c r="P115" s="123">
        <f>'Supplemental LCA Data'!$AC$54</f>
        <v>0</v>
      </c>
      <c r="Q115" s="123">
        <f>'Supplemental LCA Data'!$AD$54</f>
        <v>0</v>
      </c>
      <c r="R115" s="123">
        <f>'Supplemental LCA Data'!$AE$54</f>
        <v>0</v>
      </c>
      <c r="S115" s="123">
        <f>'Supplemental LCA Data'!$AF$54</f>
        <v>0</v>
      </c>
      <c r="T115" s="123">
        <f>'Supplemental LCA Data'!$AG$54</f>
        <v>0</v>
      </c>
      <c r="U115" s="123">
        <f>'Supplemental LCA Data'!$AH$54</f>
        <v>0</v>
      </c>
      <c r="V115" s="123"/>
      <c r="W115" s="123"/>
      <c r="X115" s="123"/>
      <c r="Y115" s="123"/>
      <c r="Z115" s="123"/>
      <c r="AA115" s="123"/>
      <c r="AB115" s="123"/>
      <c r="AC115" s="123"/>
      <c r="AD115" s="123"/>
      <c r="AE115" s="123"/>
      <c r="AF115" s="123"/>
      <c r="AG115" s="123"/>
      <c r="AH115" s="123"/>
      <c r="AI115" s="123"/>
      <c r="AJ115" s="123"/>
      <c r="AK115" s="123"/>
      <c r="AL115" s="123"/>
      <c r="AM115" s="123">
        <v>0</v>
      </c>
      <c r="AN115" s="123">
        <v>0</v>
      </c>
      <c r="AO115" s="123">
        <v>0</v>
      </c>
      <c r="AP115" s="316">
        <v>0</v>
      </c>
      <c r="AQ115" s="316">
        <v>0</v>
      </c>
      <c r="AR115" s="316">
        <v>0</v>
      </c>
      <c r="AS115" s="316">
        <v>0</v>
      </c>
      <c r="AT115" s="316">
        <v>0</v>
      </c>
      <c r="AU115" s="316">
        <v>0</v>
      </c>
      <c r="AV115" s="129">
        <v>0</v>
      </c>
      <c r="AW115" s="129"/>
      <c r="AX115" s="129"/>
      <c r="AY115" s="129"/>
      <c r="AZ115" s="129"/>
      <c r="BA115" s="129">
        <v>0</v>
      </c>
      <c r="BB115" s="129">
        <v>0</v>
      </c>
      <c r="BC115" s="129">
        <v>0</v>
      </c>
      <c r="BD115" s="129">
        <v>0</v>
      </c>
      <c r="BE115" s="129">
        <v>0</v>
      </c>
      <c r="BF115" s="129">
        <v>0</v>
      </c>
      <c r="BG115" s="130">
        <v>0</v>
      </c>
      <c r="BH115" s="130">
        <v>0</v>
      </c>
      <c r="BI115" s="130">
        <v>0</v>
      </c>
      <c r="BJ115" s="130">
        <v>0</v>
      </c>
      <c r="BK115" s="130">
        <v>0</v>
      </c>
    </row>
    <row r="116" spans="1:63">
      <c r="A116">
        <f t="shared" si="1"/>
        <v>113</v>
      </c>
      <c r="B116" t="s">
        <v>113</v>
      </c>
      <c r="C116" t="str">
        <f>INDEX(EPD_Measures,11)</f>
        <v>Renewable material resources</v>
      </c>
      <c r="D116" t="str">
        <f>INDEX(EPD_Calc_Units,11)</f>
        <v>kg</v>
      </c>
      <c r="E116" s="123">
        <v>0</v>
      </c>
      <c r="F116" s="123">
        <f>E116*'Supplemental LCA Data'!$E$60</f>
        <v>0</v>
      </c>
      <c r="G116" s="123">
        <v>1.5600000000000001E-6</v>
      </c>
      <c r="H116" s="123">
        <v>1.9192605499999998E-6</v>
      </c>
      <c r="I116" s="123">
        <v>1.5600000000000001E-6</v>
      </c>
      <c r="J116" s="123">
        <v>1.9192605499999998E-6</v>
      </c>
      <c r="K116" s="123"/>
      <c r="L116" s="123"/>
      <c r="M116" s="123">
        <v>0</v>
      </c>
      <c r="N116" s="123">
        <v>0</v>
      </c>
      <c r="O116" s="123">
        <v>0</v>
      </c>
      <c r="P116" s="123">
        <f>'Supplemental LCA Data'!$AC$55</f>
        <v>0</v>
      </c>
      <c r="Q116" s="123">
        <f>'Supplemental LCA Data'!$AD$55</f>
        <v>0</v>
      </c>
      <c r="R116" s="123">
        <f>'Supplemental LCA Data'!$AE$55</f>
        <v>0</v>
      </c>
      <c r="S116" s="123">
        <f>'Supplemental LCA Data'!$AF$55</f>
        <v>0</v>
      </c>
      <c r="T116" s="123">
        <f>'Supplemental LCA Data'!$AG$55</f>
        <v>0</v>
      </c>
      <c r="U116" s="123">
        <f>'Supplemental LCA Data'!$AH$55</f>
        <v>0</v>
      </c>
      <c r="V116" s="123"/>
      <c r="W116" s="123"/>
      <c r="X116" s="123"/>
      <c r="Y116" s="123"/>
      <c r="Z116" s="123"/>
      <c r="AA116" s="123"/>
      <c r="AB116" s="123"/>
      <c r="AC116" s="123"/>
      <c r="AD116" s="123"/>
      <c r="AE116" s="123"/>
      <c r="AF116" s="123"/>
      <c r="AG116" s="123"/>
      <c r="AH116" s="123"/>
      <c r="AI116" s="123"/>
      <c r="AJ116" s="123"/>
      <c r="AK116" s="123"/>
      <c r="AL116" s="123"/>
      <c r="AM116" s="123">
        <v>0</v>
      </c>
      <c r="AN116" s="123">
        <v>0</v>
      </c>
      <c r="AO116" s="123">
        <v>0</v>
      </c>
      <c r="AP116" s="316">
        <v>0</v>
      </c>
      <c r="AQ116" s="316">
        <v>0</v>
      </c>
      <c r="AR116" s="316">
        <v>0</v>
      </c>
      <c r="AS116" s="316">
        <v>0</v>
      </c>
      <c r="AT116" s="316">
        <v>0</v>
      </c>
      <c r="AU116" s="316">
        <v>0</v>
      </c>
      <c r="AV116" s="129">
        <v>0</v>
      </c>
      <c r="AW116" s="129"/>
      <c r="AX116" s="129"/>
      <c r="AY116" s="129"/>
      <c r="AZ116" s="129"/>
      <c r="BA116" s="129">
        <v>0.84323164500000003</v>
      </c>
      <c r="BB116" s="129">
        <v>0</v>
      </c>
      <c r="BC116" s="129">
        <v>0</v>
      </c>
      <c r="BD116" s="129">
        <v>0</v>
      </c>
      <c r="BE116" s="129">
        <v>0</v>
      </c>
      <c r="BF116" s="129">
        <v>0</v>
      </c>
      <c r="BG116" s="130">
        <v>0</v>
      </c>
      <c r="BH116" s="130">
        <v>0</v>
      </c>
      <c r="BI116" s="130">
        <v>0</v>
      </c>
      <c r="BJ116" s="130">
        <v>0</v>
      </c>
      <c r="BK116" s="130">
        <v>0</v>
      </c>
    </row>
    <row r="117" spans="1:63">
      <c r="A117">
        <f t="shared" si="1"/>
        <v>114</v>
      </c>
      <c r="B117" t="s">
        <v>113</v>
      </c>
      <c r="C117" t="str">
        <f>INDEX(EPD_Measures,12)</f>
        <v>Net Fresh Water</v>
      </c>
      <c r="D117" t="str">
        <f>INDEX(EPD_Calc_Units,12)</f>
        <v>m3</v>
      </c>
      <c r="E117" s="123">
        <v>9.7039999999999995E-4</v>
      </c>
      <c r="F117" s="123">
        <f>E117*'Supplemental LCA Data'!$E$61</f>
        <v>8.7336E-4</v>
      </c>
      <c r="G117" s="123">
        <f>$G$1+0</f>
        <v>6.7500000000000004E-4</v>
      </c>
      <c r="H117" s="123">
        <f>$G$1+0.000000717</f>
        <v>6.7571700000000005E-4</v>
      </c>
      <c r="I117" s="123">
        <f>$G$1+0</f>
        <v>6.7500000000000004E-4</v>
      </c>
      <c r="J117" s="123">
        <f>$G$1+0.000000717</f>
        <v>6.7571700000000005E-4</v>
      </c>
      <c r="K117" s="123">
        <v>0</v>
      </c>
      <c r="L117" s="123">
        <v>0</v>
      </c>
      <c r="M117" s="123">
        <v>0</v>
      </c>
      <c r="N117" s="123">
        <v>0</v>
      </c>
      <c r="O117" s="123">
        <v>0</v>
      </c>
      <c r="P117" s="123">
        <f>'Supplemental LCA Data'!$AC$56</f>
        <v>0</v>
      </c>
      <c r="Q117" s="123">
        <f>'Supplemental LCA Data'!$AD$56</f>
        <v>0</v>
      </c>
      <c r="R117" s="123">
        <f>'Supplemental LCA Data'!$AE$56</f>
        <v>0</v>
      </c>
      <c r="S117" s="123">
        <f>'Supplemental LCA Data'!$AF$56</f>
        <v>0</v>
      </c>
      <c r="T117" s="123">
        <f>'Supplemental LCA Data'!$AG$56</f>
        <v>0</v>
      </c>
      <c r="U117" s="123">
        <f>'Supplemental LCA Data'!$AH$56</f>
        <v>0</v>
      </c>
      <c r="V117" s="123">
        <v>0.11500386618134965</v>
      </c>
      <c r="W117" s="123">
        <f>'Supplemental LCA Data'!$B$73/1000/1000</f>
        <v>1.3732079207907059E-2</v>
      </c>
      <c r="X117" s="123">
        <f>'Supplemental LCA Data'!$C$73/1000/1000</f>
        <v>1.389655434006113E-2</v>
      </c>
      <c r="Y117" s="123">
        <f>'Supplemental LCA Data'!$D$73/1000/1000</f>
        <v>1.4675578391799121E-2</v>
      </c>
      <c r="Z117" s="123">
        <f t="shared" si="3"/>
        <v>1.5105287128697766E-2</v>
      </c>
      <c r="AA117" s="123">
        <v>0</v>
      </c>
      <c r="AB117" s="123">
        <v>0</v>
      </c>
      <c r="AC117" s="123">
        <f t="shared" si="2"/>
        <v>1.3732079207907059E-2</v>
      </c>
      <c r="AD117" s="123">
        <v>0</v>
      </c>
      <c r="AE117" s="123">
        <v>0</v>
      </c>
      <c r="AF117" s="123">
        <v>0</v>
      </c>
      <c r="AG117" s="123">
        <v>6.6615854003756548E-4</v>
      </c>
      <c r="AH117" s="123">
        <v>8.5599624991234465E-3</v>
      </c>
      <c r="AI117" s="123">
        <v>3.5226266152208971E-4</v>
      </c>
      <c r="AJ117" s="123">
        <v>3.9507938615937904E-3</v>
      </c>
      <c r="AK117" s="123">
        <v>7.4033158500000001E-2</v>
      </c>
      <c r="AL117" s="123">
        <v>0</v>
      </c>
      <c r="AM117" s="123">
        <v>0</v>
      </c>
      <c r="AN117" s="123">
        <v>0</v>
      </c>
      <c r="AO117" s="123">
        <v>0</v>
      </c>
      <c r="AP117" s="316">
        <v>0</v>
      </c>
      <c r="AQ117" s="316">
        <v>0</v>
      </c>
      <c r="AR117" s="316">
        <v>0</v>
      </c>
      <c r="AS117" s="316">
        <v>0</v>
      </c>
      <c r="AT117" s="316">
        <v>0</v>
      </c>
      <c r="AU117" s="316">
        <v>0</v>
      </c>
      <c r="AV117" s="129">
        <v>0</v>
      </c>
      <c r="AW117" s="129">
        <v>0</v>
      </c>
      <c r="AX117" s="129">
        <v>0</v>
      </c>
      <c r="AY117" s="129">
        <v>0</v>
      </c>
      <c r="AZ117" s="129">
        <v>0</v>
      </c>
      <c r="BA117" s="129">
        <v>0</v>
      </c>
      <c r="BB117" s="129">
        <v>0</v>
      </c>
      <c r="BC117" s="129">
        <v>0</v>
      </c>
      <c r="BD117" s="129">
        <v>0</v>
      </c>
      <c r="BE117" s="129">
        <v>0</v>
      </c>
      <c r="BF117" s="129">
        <v>0</v>
      </c>
      <c r="BG117" s="130">
        <v>0</v>
      </c>
      <c r="BH117" s="130">
        <v>0</v>
      </c>
      <c r="BI117" s="130">
        <v>0</v>
      </c>
      <c r="BJ117" s="130">
        <v>0</v>
      </c>
      <c r="BK117" s="130">
        <v>0</v>
      </c>
    </row>
    <row r="118" spans="1:63">
      <c r="A118">
        <f t="shared" si="1"/>
        <v>115</v>
      </c>
      <c r="B118" t="s">
        <v>113</v>
      </c>
      <c r="C118" t="str">
        <f>INDEX(EPD_Measures,13)</f>
        <v>Non-hazardous waste generated</v>
      </c>
      <c r="D118" t="str">
        <f>INDEX(EPD_Calc_Units,13)</f>
        <v>kg</v>
      </c>
      <c r="E118" s="123">
        <v>5.1000000000000004E-3</v>
      </c>
      <c r="F118" s="123">
        <f>E118*'Supplemental LCA Data'!$E$62</f>
        <v>5.1000000000000004E-3</v>
      </c>
      <c r="G118" s="123">
        <v>0</v>
      </c>
      <c r="H118" s="123">
        <v>0</v>
      </c>
      <c r="I118" s="123">
        <v>0</v>
      </c>
      <c r="J118" s="123">
        <v>0</v>
      </c>
      <c r="K118" s="123"/>
      <c r="L118" s="123"/>
      <c r="M118" s="123">
        <v>0</v>
      </c>
      <c r="N118" s="123">
        <v>0</v>
      </c>
      <c r="O118" s="123">
        <v>0</v>
      </c>
      <c r="P118" s="123">
        <f>'Supplemental LCA Data'!$AC$57</f>
        <v>0</v>
      </c>
      <c r="Q118" s="123">
        <f>'Supplemental LCA Data'!$AD$57</f>
        <v>0</v>
      </c>
      <c r="R118" s="123">
        <f>'Supplemental LCA Data'!$AE$57</f>
        <v>0</v>
      </c>
      <c r="S118" s="123">
        <f>'Supplemental LCA Data'!$AF$57</f>
        <v>0</v>
      </c>
      <c r="T118" s="123">
        <f>'Supplemental LCA Data'!$AG$57</f>
        <v>0</v>
      </c>
      <c r="U118" s="123">
        <f>'Supplemental LCA Data'!$AH$57</f>
        <v>0</v>
      </c>
      <c r="V118" s="123"/>
      <c r="W118" s="123"/>
      <c r="X118" s="123"/>
      <c r="Y118" s="123"/>
      <c r="Z118" s="123"/>
      <c r="AA118" s="123"/>
      <c r="AB118" s="123"/>
      <c r="AC118" s="123"/>
      <c r="AD118" s="123"/>
      <c r="AE118" s="123"/>
      <c r="AF118" s="123"/>
      <c r="AG118" s="123"/>
      <c r="AH118" s="123"/>
      <c r="AI118" s="123"/>
      <c r="AJ118" s="123"/>
      <c r="AK118" s="123"/>
      <c r="AL118" s="123"/>
      <c r="AM118" s="123">
        <v>0</v>
      </c>
      <c r="AN118" s="123">
        <v>0</v>
      </c>
      <c r="AO118" s="123">
        <v>0</v>
      </c>
      <c r="AP118" s="316">
        <v>0</v>
      </c>
      <c r="AQ118" s="316">
        <v>0</v>
      </c>
      <c r="AR118" s="316">
        <v>0</v>
      </c>
      <c r="AS118" s="316">
        <v>0</v>
      </c>
      <c r="AT118" s="316">
        <v>0</v>
      </c>
      <c r="AU118" s="316">
        <v>0</v>
      </c>
      <c r="AV118" s="129">
        <v>0</v>
      </c>
      <c r="AW118" s="129"/>
      <c r="AX118" s="129"/>
      <c r="AY118" s="129"/>
      <c r="AZ118" s="129"/>
      <c r="BA118" s="129">
        <v>0</v>
      </c>
      <c r="BB118" s="129">
        <v>0</v>
      </c>
      <c r="BC118" s="129">
        <v>0</v>
      </c>
      <c r="BD118" s="129">
        <v>0</v>
      </c>
      <c r="BE118" s="129">
        <v>0</v>
      </c>
      <c r="BF118" s="129">
        <v>0</v>
      </c>
      <c r="BG118" s="130">
        <v>0</v>
      </c>
      <c r="BH118" s="130">
        <v>0</v>
      </c>
      <c r="BI118" s="130">
        <v>0</v>
      </c>
      <c r="BJ118" s="130">
        <v>0</v>
      </c>
      <c r="BK118" s="130">
        <v>0</v>
      </c>
    </row>
    <row r="119" spans="1:63">
      <c r="A119">
        <f t="shared" si="1"/>
        <v>116</v>
      </c>
      <c r="B119" t="s">
        <v>113</v>
      </c>
      <c r="C119" t="str">
        <f>INDEX(EPD_Measures,14)</f>
        <v>Hazardous waste generated</v>
      </c>
      <c r="D119" t="str">
        <f>INDEX(EPD_Calc_Units,14)</f>
        <v>kg</v>
      </c>
      <c r="E119" s="123">
        <v>0</v>
      </c>
      <c r="F119" s="123">
        <f>E119*'Supplemental LCA Data'!$E$63</f>
        <v>0</v>
      </c>
      <c r="G119" s="123">
        <v>0</v>
      </c>
      <c r="H119" s="123">
        <v>0</v>
      </c>
      <c r="I119" s="123">
        <v>0</v>
      </c>
      <c r="J119" s="123">
        <v>0</v>
      </c>
      <c r="K119" s="123"/>
      <c r="L119" s="123"/>
      <c r="M119" s="123">
        <v>0</v>
      </c>
      <c r="N119" s="123">
        <v>0</v>
      </c>
      <c r="O119" s="123">
        <v>0</v>
      </c>
      <c r="P119" s="123">
        <f>'Supplemental LCA Data'!$AC$58</f>
        <v>0</v>
      </c>
      <c r="Q119" s="123">
        <f>'Supplemental LCA Data'!$AD$58</f>
        <v>0</v>
      </c>
      <c r="R119" s="123">
        <f>'Supplemental LCA Data'!$AE$58</f>
        <v>0</v>
      </c>
      <c r="S119" s="123">
        <f>'Supplemental LCA Data'!$AF$58</f>
        <v>0</v>
      </c>
      <c r="T119" s="123">
        <f>'Supplemental LCA Data'!$AG$58</f>
        <v>0</v>
      </c>
      <c r="U119" s="123">
        <f>'Supplemental LCA Data'!$AH$58</f>
        <v>0</v>
      </c>
      <c r="V119" s="123"/>
      <c r="W119" s="123"/>
      <c r="X119" s="123"/>
      <c r="Y119" s="123"/>
      <c r="Z119" s="123"/>
      <c r="AA119" s="123"/>
      <c r="AB119" s="123"/>
      <c r="AC119" s="123"/>
      <c r="AD119" s="123"/>
      <c r="AE119" s="123"/>
      <c r="AF119" s="123"/>
      <c r="AG119" s="123"/>
      <c r="AH119" s="123"/>
      <c r="AI119" s="123"/>
      <c r="AJ119" s="123"/>
      <c r="AK119" s="123"/>
      <c r="AL119" s="123"/>
      <c r="AM119" s="123">
        <v>0</v>
      </c>
      <c r="AN119" s="123">
        <v>0</v>
      </c>
      <c r="AO119" s="123">
        <v>0</v>
      </c>
      <c r="AP119" s="316">
        <v>0</v>
      </c>
      <c r="AQ119" s="316">
        <v>0</v>
      </c>
      <c r="AR119" s="316">
        <v>0</v>
      </c>
      <c r="AS119" s="316">
        <v>0</v>
      </c>
      <c r="AT119" s="316">
        <v>0</v>
      </c>
      <c r="AU119" s="316">
        <v>0</v>
      </c>
      <c r="AV119" s="129">
        <v>0</v>
      </c>
      <c r="AW119" s="129"/>
      <c r="AX119" s="129"/>
      <c r="AY119" s="129"/>
      <c r="AZ119" s="129"/>
      <c r="BA119" s="129">
        <v>0</v>
      </c>
      <c r="BB119" s="129">
        <v>0</v>
      </c>
      <c r="BC119" s="129">
        <v>0</v>
      </c>
      <c r="BD119" s="129">
        <v>0</v>
      </c>
      <c r="BE119" s="129">
        <v>0</v>
      </c>
      <c r="BF119" s="129">
        <v>0</v>
      </c>
      <c r="BG119" s="130">
        <v>0</v>
      </c>
      <c r="BH119" s="130">
        <v>0</v>
      </c>
      <c r="BI119" s="130">
        <v>0</v>
      </c>
      <c r="BJ119" s="130">
        <v>0</v>
      </c>
      <c r="BK119" s="130">
        <v>0</v>
      </c>
    </row>
    <row r="120" spans="1:63">
      <c r="A120" s="112">
        <f t="shared" si="1"/>
        <v>117</v>
      </c>
      <c r="B120" s="112" t="s">
        <v>114</v>
      </c>
      <c r="C120" s="112" t="str">
        <f>INDEX(EPD_Measures,1)</f>
        <v>Global warming potential (GWP)</v>
      </c>
      <c r="D120" s="112" t="str">
        <f>INDEX(EPD_Calc_Units,1)</f>
        <v>kg</v>
      </c>
      <c r="E120" s="123" t="e">
        <f>NA()</f>
        <v>#N/A</v>
      </c>
      <c r="F120" s="123" t="e">
        <f>NA()</f>
        <v>#N/A</v>
      </c>
      <c r="G120" s="123">
        <v>5.7800000000000004E-3</v>
      </c>
      <c r="H120" s="123">
        <v>3.9610000000000001E-3</v>
      </c>
      <c r="I120" s="123">
        <v>3.3947019999999999E-3</v>
      </c>
      <c r="J120" s="123">
        <v>3.9610000000000001E-3</v>
      </c>
      <c r="K120" s="123">
        <v>0</v>
      </c>
      <c r="L120" s="123">
        <v>0</v>
      </c>
      <c r="M120" s="123">
        <v>0</v>
      </c>
      <c r="N120" s="123">
        <v>0</v>
      </c>
      <c r="O120" s="123">
        <v>0</v>
      </c>
      <c r="P120" s="123">
        <f>'Supplemental LCA Data'!$AC$45</f>
        <v>0.10406360712476165</v>
      </c>
      <c r="Q120" s="123">
        <f>'Supplemental LCA Data'!$AD$45</f>
        <v>0.22949974224587316</v>
      </c>
      <c r="R120" s="123">
        <f>'Supplemental LCA Data'!$AE$45</f>
        <v>1.2625032020663256</v>
      </c>
      <c r="S120" s="123">
        <f>'Supplemental LCA Data'!$AF$45</f>
        <v>0.76998593521882752</v>
      </c>
      <c r="T120" s="123">
        <f>'Supplemental LCA Data'!$AG$45</f>
        <v>0.22949974224587316</v>
      </c>
      <c r="U120" s="123">
        <f>'Supplemental LCA Data'!$AH$45</f>
        <v>0.51911044578033227</v>
      </c>
      <c r="V120" s="123">
        <v>2.9429471121354829</v>
      </c>
      <c r="W120" s="123">
        <f>'Supplemental LCA Data'!$B$71/1000</f>
        <v>0.89195544554366246</v>
      </c>
      <c r="X120" s="123">
        <f>'Supplemental LCA Data'!$C$71/1000</f>
        <v>1.0380563118652284</v>
      </c>
      <c r="Y120" s="123">
        <f>'Supplemental LCA Data'!$D$71/1000</f>
        <v>1.5012328955993122</v>
      </c>
      <c r="Z120" s="123">
        <f t="shared" si="3"/>
        <v>0.98115099009802875</v>
      </c>
      <c r="AA120" s="123">
        <v>0</v>
      </c>
      <c r="AB120" s="123">
        <v>0</v>
      </c>
      <c r="AC120" s="123">
        <f t="shared" si="2"/>
        <v>0.89195544554366246</v>
      </c>
      <c r="AD120" s="123">
        <v>0</v>
      </c>
      <c r="AE120" s="123">
        <v>0</v>
      </c>
      <c r="AF120" s="123">
        <v>0</v>
      </c>
      <c r="AG120" s="123">
        <v>3.3162413704963716</v>
      </c>
      <c r="AH120" s="123">
        <v>9.0789952164299699</v>
      </c>
      <c r="AI120" s="123">
        <v>0.2453477255455345</v>
      </c>
      <c r="AJ120" s="123">
        <v>0.3279493299762562</v>
      </c>
      <c r="AK120" s="123">
        <v>4.6408478655656005</v>
      </c>
      <c r="AL120" s="123">
        <v>0.92461248966214149</v>
      </c>
      <c r="AM120" s="123">
        <v>0</v>
      </c>
      <c r="AN120" s="123">
        <v>0</v>
      </c>
      <c r="AO120" s="123">
        <v>0</v>
      </c>
      <c r="AP120" s="316">
        <v>0</v>
      </c>
      <c r="AQ120" s="316">
        <v>0</v>
      </c>
      <c r="AR120" s="316">
        <v>0</v>
      </c>
      <c r="AS120" s="316">
        <v>0</v>
      </c>
      <c r="AT120" s="316">
        <v>0</v>
      </c>
      <c r="AU120" s="316">
        <v>0</v>
      </c>
      <c r="AV120" s="129">
        <v>0.39759022399999999</v>
      </c>
      <c r="AW120" s="129">
        <v>0</v>
      </c>
      <c r="AX120" s="129">
        <v>0</v>
      </c>
      <c r="AY120" s="129">
        <v>0</v>
      </c>
      <c r="AZ120" s="129">
        <v>0</v>
      </c>
      <c r="BA120" s="129">
        <v>4.5765858E-2</v>
      </c>
      <c r="BB120" s="129">
        <v>2.529973</v>
      </c>
      <c r="BC120" s="129">
        <v>2.4438970000000002</v>
      </c>
      <c r="BD120" s="129">
        <v>3.1787649999999998</v>
      </c>
      <c r="BE120" s="129">
        <v>3.7603420000000001</v>
      </c>
      <c r="BF120" s="129">
        <v>2.0422280000000002</v>
      </c>
      <c r="BG120" s="130">
        <v>9.2743999999999993E-2</v>
      </c>
      <c r="BH120" s="130">
        <v>7.3523000000000005E-2</v>
      </c>
      <c r="BI120" s="130">
        <v>2.2027999999999999E-2</v>
      </c>
      <c r="BJ120" s="130">
        <v>1.8526999999999998E-2</v>
      </c>
      <c r="BK120" s="130">
        <v>3.3079999999999998E-2</v>
      </c>
    </row>
    <row r="121" spans="1:63">
      <c r="A121">
        <f t="shared" si="1"/>
        <v>118</v>
      </c>
      <c r="B121" t="s">
        <v>114</v>
      </c>
      <c r="C121" t="str">
        <f>INDEX(EPD_Measures,2)</f>
        <v>Acidification potential</v>
      </c>
      <c r="D121" t="str">
        <f>INDEX(EPD_Calc_Units,2)</f>
        <v>kg</v>
      </c>
      <c r="E121" s="123" t="e">
        <f>NA()</f>
        <v>#N/A</v>
      </c>
      <c r="F121" s="123" t="e">
        <f>NA()</f>
        <v>#N/A</v>
      </c>
      <c r="G121" s="123">
        <v>6.0399999999999998E-5</v>
      </c>
      <c r="H121" s="123">
        <v>4.6199999999999998E-5</v>
      </c>
      <c r="I121" s="123">
        <v>4.0426699999999997E-5</v>
      </c>
      <c r="J121" s="123">
        <v>4.6199999999999998E-5</v>
      </c>
      <c r="K121" s="123"/>
      <c r="L121" s="123"/>
      <c r="M121" s="123">
        <v>0</v>
      </c>
      <c r="N121" s="123">
        <v>0</v>
      </c>
      <c r="O121" s="123">
        <v>0</v>
      </c>
      <c r="P121" s="123">
        <f>'Supplemental LCA Data'!$AC$46</f>
        <v>5.7703135192831948E-4</v>
      </c>
      <c r="Q121" s="123">
        <f>'Supplemental LCA Data'!$AD$46</f>
        <v>1.2139986365417917E-3</v>
      </c>
      <c r="R121" s="123">
        <f>'Supplemental LCA Data'!$AE$46</f>
        <v>4.7483946670140312E-3</v>
      </c>
      <c r="S121" s="123">
        <f>'Supplemental LCA Data'!$AF$46</f>
        <v>3.9528555604969102</v>
      </c>
      <c r="T121" s="123">
        <f>'Supplemental LCA Data'!$AG$46</f>
        <v>1.2139986365417917E-3</v>
      </c>
      <c r="U121" s="123">
        <f>'Supplemental LCA Data'!$AH$46</f>
        <v>0.79212179675778727</v>
      </c>
      <c r="V121" s="123"/>
      <c r="W121" s="123"/>
      <c r="X121" s="123"/>
      <c r="Y121" s="123"/>
      <c r="Z121" s="123"/>
      <c r="AA121" s="123"/>
      <c r="AB121" s="123"/>
      <c r="AC121" s="123"/>
      <c r="AD121" s="123"/>
      <c r="AE121" s="123"/>
      <c r="AF121" s="123"/>
      <c r="AG121" s="123"/>
      <c r="AH121" s="123"/>
      <c r="AI121" s="123"/>
      <c r="AJ121" s="123"/>
      <c r="AK121" s="123"/>
      <c r="AL121" s="123"/>
      <c r="AM121" s="123">
        <v>0</v>
      </c>
      <c r="AN121" s="123">
        <v>0</v>
      </c>
      <c r="AO121" s="123">
        <v>0</v>
      </c>
      <c r="AP121" s="316">
        <v>0</v>
      </c>
      <c r="AQ121" s="316">
        <v>0</v>
      </c>
      <c r="AR121" s="316">
        <v>0</v>
      </c>
      <c r="AS121" s="316">
        <v>0</v>
      </c>
      <c r="AT121" s="316">
        <v>0</v>
      </c>
      <c r="AU121" s="316">
        <v>0</v>
      </c>
      <c r="AV121" s="129">
        <v>3.3233630000000002E-3</v>
      </c>
      <c r="AW121" s="129"/>
      <c r="AX121" s="129"/>
      <c r="AY121" s="129"/>
      <c r="AZ121" s="129"/>
      <c r="BA121" s="129">
        <v>8.3965400000000001E-4</v>
      </c>
      <c r="BB121" s="129">
        <v>2.6606000000000001E-2</v>
      </c>
      <c r="BC121" s="129">
        <v>2.0861000000000001E-2</v>
      </c>
      <c r="BD121" s="129">
        <v>5.646E-3</v>
      </c>
      <c r="BE121" s="129">
        <v>8.8570000000000003E-3</v>
      </c>
      <c r="BF121" s="129">
        <v>4.045E-3</v>
      </c>
      <c r="BG121" s="130">
        <v>4.6900000000000002E-4</v>
      </c>
      <c r="BH121" s="130">
        <v>3.2299999999999999E-4</v>
      </c>
      <c r="BI121" s="130">
        <v>3.7199999999999999E-4</v>
      </c>
      <c r="BJ121" s="130">
        <v>3.2299999999999999E-4</v>
      </c>
      <c r="BK121" s="130">
        <v>2.8299999999999999E-4</v>
      </c>
    </row>
    <row r="122" spans="1:63">
      <c r="A122">
        <f t="shared" si="1"/>
        <v>119</v>
      </c>
      <c r="B122" t="s">
        <v>114</v>
      </c>
      <c r="C122" t="str">
        <f>INDEX(EPD_Measures,3)</f>
        <v>Eutrophication potential</v>
      </c>
      <c r="D122" t="str">
        <f>INDEX(EPD_Calc_Units,3)</f>
        <v>kg</v>
      </c>
      <c r="E122" s="123" t="e">
        <f>NA()</f>
        <v>#N/A</v>
      </c>
      <c r="F122" s="123" t="e">
        <f>NA()</f>
        <v>#N/A</v>
      </c>
      <c r="G122" s="123">
        <v>2.2400000000000002E-6</v>
      </c>
      <c r="H122" s="123">
        <v>2.5799999999999999E-6</v>
      </c>
      <c r="I122" s="123">
        <v>1.9596700000000001E-6</v>
      </c>
      <c r="J122" s="123">
        <v>2.5799999999999999E-6</v>
      </c>
      <c r="K122" s="123"/>
      <c r="L122" s="123"/>
      <c r="M122" s="123">
        <v>0</v>
      </c>
      <c r="N122" s="123">
        <v>0</v>
      </c>
      <c r="O122" s="123">
        <v>0</v>
      </c>
      <c r="P122" s="123">
        <f>'Supplemental LCA Data'!$AC$47</f>
        <v>1.9624831959085375E-4</v>
      </c>
      <c r="Q122" s="123">
        <f>'Supplemental LCA Data'!$AD$47</f>
        <v>4.226795252829316E-5</v>
      </c>
      <c r="R122" s="123">
        <f>'Supplemental LCA Data'!$AE$47</f>
        <v>8.7898401280121123E-4</v>
      </c>
      <c r="S122" s="123">
        <f>'Supplemental LCA Data'!$AF$47</f>
        <v>0.24926944204227258</v>
      </c>
      <c r="T122" s="123">
        <f>'Supplemental LCA Data'!$AG$47</f>
        <v>4.226795252829316E-5</v>
      </c>
      <c r="U122" s="123">
        <f>'Supplemental LCA Data'!$AH$47</f>
        <v>5.0085842055944255E-2</v>
      </c>
      <c r="V122" s="123"/>
      <c r="W122" s="123"/>
      <c r="X122" s="123"/>
      <c r="Y122" s="123"/>
      <c r="Z122" s="123"/>
      <c r="AA122" s="123"/>
      <c r="AB122" s="123"/>
      <c r="AC122" s="123"/>
      <c r="AD122" s="123"/>
      <c r="AE122" s="123"/>
      <c r="AF122" s="123"/>
      <c r="AG122" s="123"/>
      <c r="AH122" s="123"/>
      <c r="AI122" s="123"/>
      <c r="AJ122" s="123"/>
      <c r="AK122" s="123"/>
      <c r="AL122" s="123"/>
      <c r="AM122" s="123">
        <v>0</v>
      </c>
      <c r="AN122" s="123">
        <v>0</v>
      </c>
      <c r="AO122" s="123">
        <v>0</v>
      </c>
      <c r="AP122" s="316">
        <v>0</v>
      </c>
      <c r="AQ122" s="316">
        <v>0</v>
      </c>
      <c r="AR122" s="316">
        <v>0</v>
      </c>
      <c r="AS122" s="316">
        <v>0</v>
      </c>
      <c r="AT122" s="316">
        <v>0</v>
      </c>
      <c r="AU122" s="316">
        <v>0</v>
      </c>
      <c r="AV122" s="129">
        <v>4.5890999999999998E-5</v>
      </c>
      <c r="AW122" s="129"/>
      <c r="AX122" s="129"/>
      <c r="AY122" s="129"/>
      <c r="AZ122" s="129"/>
      <c r="BA122" s="129">
        <v>4.0302700000000003E-5</v>
      </c>
      <c r="BB122" s="129">
        <v>1.722E-3</v>
      </c>
      <c r="BC122" s="129">
        <v>2.05E-4</v>
      </c>
      <c r="BD122" s="129">
        <v>3.9599999999999998E-4</v>
      </c>
      <c r="BE122" s="129">
        <v>6.0300000000000002E-4</v>
      </c>
      <c r="BF122" s="129">
        <v>2.8299999999999999E-4</v>
      </c>
      <c r="BG122" s="130">
        <v>3.0800000000000003E-5</v>
      </c>
      <c r="BH122" s="130">
        <v>2.1500000000000001E-5</v>
      </c>
      <c r="BI122" s="130">
        <v>2.3799999999999999E-5</v>
      </c>
      <c r="BJ122" s="130">
        <v>2.0699999999999998E-5</v>
      </c>
      <c r="BK122" s="130">
        <v>1.8300000000000001E-5</v>
      </c>
    </row>
    <row r="123" spans="1:63">
      <c r="A123">
        <f t="shared" si="1"/>
        <v>120</v>
      </c>
      <c r="B123" t="s">
        <v>114</v>
      </c>
      <c r="C123" t="str">
        <f>INDEX(EPD_Measures,4)</f>
        <v>Smog creation potential</v>
      </c>
      <c r="D123" t="str">
        <f>INDEX(EPD_Calc_Units,4)</f>
        <v>kg</v>
      </c>
      <c r="E123" s="123" t="e">
        <f>NA()</f>
        <v>#N/A</v>
      </c>
      <c r="F123" s="123" t="e">
        <f>NA()</f>
        <v>#N/A</v>
      </c>
      <c r="G123" s="123">
        <v>1.1659999999999999E-3</v>
      </c>
      <c r="H123" s="123">
        <v>1.2080000000000001E-3</v>
      </c>
      <c r="I123" s="123">
        <v>1.0335609999999999E-3</v>
      </c>
      <c r="J123" s="123">
        <v>1.2080000000000001E-3</v>
      </c>
      <c r="K123" s="123"/>
      <c r="L123" s="123"/>
      <c r="M123" s="123">
        <v>0</v>
      </c>
      <c r="N123" s="123">
        <v>0</v>
      </c>
      <c r="O123" s="123">
        <v>0</v>
      </c>
      <c r="P123" s="123">
        <f>'Supplemental LCA Data'!$AC$48</f>
        <v>8.7017595456788718E-3</v>
      </c>
      <c r="Q123" s="123">
        <f>'Supplemental LCA Data'!$AD$48</f>
        <v>1.3524104726696053E-2</v>
      </c>
      <c r="R123" s="123">
        <f>'Supplemental LCA Data'!$AE$48</f>
        <v>5.7241581200289861E-2</v>
      </c>
      <c r="S123" s="123">
        <f>'Supplemental LCA Data'!$AF$48</f>
        <v>43.192743848068233</v>
      </c>
      <c r="T123" s="123">
        <f>'Supplemental LCA Data'!$AG$48</f>
        <v>1.3524104726696053E-2</v>
      </c>
      <c r="U123" s="123">
        <f>'Supplemental LCA Data'!$AH$48</f>
        <v>8.6571470796535195</v>
      </c>
      <c r="V123" s="123"/>
      <c r="W123" s="123"/>
      <c r="X123" s="123"/>
      <c r="Y123" s="123"/>
      <c r="Z123" s="123"/>
      <c r="AA123" s="123"/>
      <c r="AB123" s="123"/>
      <c r="AC123" s="123"/>
      <c r="AD123" s="123"/>
      <c r="AE123" s="123"/>
      <c r="AF123" s="123"/>
      <c r="AG123" s="123"/>
      <c r="AH123" s="123"/>
      <c r="AI123" s="123"/>
      <c r="AJ123" s="123"/>
      <c r="AK123" s="123"/>
      <c r="AL123" s="123"/>
      <c r="AM123" s="123">
        <v>0</v>
      </c>
      <c r="AN123" s="123">
        <v>0</v>
      </c>
      <c r="AO123" s="123">
        <v>0</v>
      </c>
      <c r="AP123" s="316">
        <v>0</v>
      </c>
      <c r="AQ123" s="316">
        <v>0</v>
      </c>
      <c r="AR123" s="316">
        <v>0</v>
      </c>
      <c r="AS123" s="316">
        <v>0</v>
      </c>
      <c r="AT123" s="316">
        <v>0</v>
      </c>
      <c r="AU123" s="316">
        <v>0</v>
      </c>
      <c r="AV123" s="129">
        <v>2.21271E-2</v>
      </c>
      <c r="AW123" s="129"/>
      <c r="AX123" s="129"/>
      <c r="AY123" s="129"/>
      <c r="AZ123" s="129"/>
      <c r="BA123" s="129">
        <v>0.241503051</v>
      </c>
      <c r="BB123" s="129">
        <v>0.90166400000000002</v>
      </c>
      <c r="BC123" s="129">
        <v>5.2539000000000002E-2</v>
      </c>
      <c r="BD123" s="129">
        <v>0.13974</v>
      </c>
      <c r="BE123" s="129">
        <v>0.24854699999999999</v>
      </c>
      <c r="BF123" s="129">
        <v>0.10738499999999999</v>
      </c>
      <c r="BG123" s="130">
        <v>1.5133000000000001E-2</v>
      </c>
      <c r="BH123" s="130">
        <v>1.0231000000000001E-2</v>
      </c>
      <c r="BI123" s="130">
        <v>1.2799E-2</v>
      </c>
      <c r="BJ123" s="130">
        <v>1.1180000000000001E-2</v>
      </c>
      <c r="BK123" s="130">
        <v>9.5029999999999993E-3</v>
      </c>
    </row>
    <row r="124" spans="1:63">
      <c r="A124">
        <f t="shared" si="1"/>
        <v>121</v>
      </c>
      <c r="B124" t="s">
        <v>114</v>
      </c>
      <c r="C124" t="str">
        <f>INDEX(EPD_Measures,5)</f>
        <v>Ozone depletion potential</v>
      </c>
      <c r="D124" t="str">
        <f>INDEX(EPD_Calc_Units,5)</f>
        <v>kg</v>
      </c>
      <c r="E124" s="123" t="e">
        <f>NA()</f>
        <v>#N/A</v>
      </c>
      <c r="F124" s="123" t="e">
        <f>NA()</f>
        <v>#N/A</v>
      </c>
      <c r="G124" s="123">
        <v>1.49E-13</v>
      </c>
      <c r="H124" s="123">
        <v>9.6800000000000004E-11</v>
      </c>
      <c r="I124" s="123">
        <v>1.10301E-13</v>
      </c>
      <c r="J124" s="123">
        <v>9.6800000000000004E-11</v>
      </c>
      <c r="K124" s="123"/>
      <c r="L124" s="123"/>
      <c r="M124" s="123">
        <v>0</v>
      </c>
      <c r="N124" s="123">
        <v>0</v>
      </c>
      <c r="O124" s="123">
        <v>0</v>
      </c>
      <c r="P124" s="123">
        <f>'Supplemental LCA Data'!$AC$49</f>
        <v>4.817994588850506E-10</v>
      </c>
      <c r="Q124" s="123">
        <f>'Supplemental LCA Data'!$AD$49</f>
        <v>0</v>
      </c>
      <c r="R124" s="123">
        <f>'Supplemental LCA Data'!$AE$49</f>
        <v>2.4089972944252421E-9</v>
      </c>
      <c r="S124" s="123">
        <f>'Supplemental LCA Data'!$AF$49</f>
        <v>3.2599963386576577E-9</v>
      </c>
      <c r="T124" s="123">
        <f>'Supplemental LCA Data'!$AG$49</f>
        <v>0</v>
      </c>
      <c r="U124" s="123">
        <f>'Supplemental LCA Data'!$AH$49</f>
        <v>1.2301586183935901E-9</v>
      </c>
      <c r="V124" s="123"/>
      <c r="W124" s="123"/>
      <c r="X124" s="123"/>
      <c r="Y124" s="123"/>
      <c r="Z124" s="123"/>
      <c r="AA124" s="123"/>
      <c r="AB124" s="123"/>
      <c r="AC124" s="123"/>
      <c r="AD124" s="123"/>
      <c r="AE124" s="123"/>
      <c r="AF124" s="123"/>
      <c r="AG124" s="123"/>
      <c r="AH124" s="123"/>
      <c r="AI124" s="123"/>
      <c r="AJ124" s="123"/>
      <c r="AK124" s="123"/>
      <c r="AL124" s="123"/>
      <c r="AM124" s="123">
        <v>0</v>
      </c>
      <c r="AN124" s="123">
        <v>0</v>
      </c>
      <c r="AO124" s="123">
        <v>0</v>
      </c>
      <c r="AP124" s="316">
        <v>0</v>
      </c>
      <c r="AQ124" s="316">
        <v>0</v>
      </c>
      <c r="AR124" s="316">
        <v>0</v>
      </c>
      <c r="AS124" s="316">
        <v>0</v>
      </c>
      <c r="AT124" s="316">
        <v>0</v>
      </c>
      <c r="AU124" s="316">
        <v>0</v>
      </c>
      <c r="AV124" s="129">
        <v>6.5295699999999996E-12</v>
      </c>
      <c r="AW124" s="129"/>
      <c r="AX124" s="129"/>
      <c r="AY124" s="129"/>
      <c r="AZ124" s="129"/>
      <c r="BA124" s="129">
        <v>9.58911E-14</v>
      </c>
      <c r="BB124" s="129">
        <v>1.16E-10</v>
      </c>
      <c r="BC124" s="129">
        <v>1.6799999999999999E-12</v>
      </c>
      <c r="BD124" s="129">
        <v>1.2999999999999999E-10</v>
      </c>
      <c r="BE124" s="129">
        <v>1.41E-10</v>
      </c>
      <c r="BF124" s="129">
        <v>8.1099999999999997E-11</v>
      </c>
      <c r="BG124" s="130">
        <v>3.5300000000000001E-12</v>
      </c>
      <c r="BH124" s="130">
        <v>3.1599999999999999E-12</v>
      </c>
      <c r="BI124" s="130">
        <v>8.4099999999999995E-13</v>
      </c>
      <c r="BJ124" s="130">
        <v>6.9599999999999996E-13</v>
      </c>
      <c r="BK124" s="130">
        <v>1.2499999999999999E-12</v>
      </c>
    </row>
    <row r="125" spans="1:63">
      <c r="A125">
        <f t="shared" si="1"/>
        <v>122</v>
      </c>
      <c r="B125" t="s">
        <v>114</v>
      </c>
      <c r="C125" t="str">
        <f>INDEX(EPD_Measures,6)</f>
        <v>Total primary energy consumption</v>
      </c>
      <c r="D125" t="str">
        <f>INDEX(EPD_Calc_Units,6)</f>
        <v>MJ</v>
      </c>
      <c r="E125" s="123" t="e">
        <f>NA()</f>
        <v>#N/A</v>
      </c>
      <c r="F125" s="123" t="e">
        <f>NA()</f>
        <v>#N/A</v>
      </c>
      <c r="G125" s="123">
        <v>0.11535500000000001</v>
      </c>
      <c r="H125" s="123">
        <v>6.8718000000000001E-2</v>
      </c>
      <c r="I125" s="123">
        <v>6.0259370999999999E-2</v>
      </c>
      <c r="J125" s="123">
        <v>6.8718000000000001E-2</v>
      </c>
      <c r="K125" s="123">
        <v>0</v>
      </c>
      <c r="L125" s="123">
        <v>0</v>
      </c>
      <c r="M125" s="123">
        <v>0</v>
      </c>
      <c r="N125" s="123">
        <v>0</v>
      </c>
      <c r="O125" s="123">
        <v>0</v>
      </c>
      <c r="P125" s="123">
        <f>'Supplemental LCA Data'!$AC$50</f>
        <v>2.099997641465547</v>
      </c>
      <c r="Q125" s="123">
        <f>'Supplemental LCA Data'!$AD$50</f>
        <v>4.5999948336864307</v>
      </c>
      <c r="R125" s="123">
        <f>'Supplemental LCA Data'!$AE$50</f>
        <v>22.799974393054555</v>
      </c>
      <c r="S125" s="123">
        <f>'Supplemental LCA Data'!$AF$50</f>
        <v>18.299979447056902</v>
      </c>
      <c r="T125" s="123">
        <f>'Supplemental LCA Data'!$AG$50</f>
        <v>4.5999948336864307</v>
      </c>
      <c r="U125" s="123">
        <f>'Supplemental LCA Data'!$AH$50</f>
        <v>10.479988229789974</v>
      </c>
      <c r="V125" s="123">
        <v>57.506173091793869</v>
      </c>
      <c r="W125" s="123">
        <f>'Supplemental LCA Data'!$B$72/1000</f>
        <v>17.379305548594214</v>
      </c>
      <c r="X125" s="123">
        <f>'Supplemental LCA Data'!$C$72/1000</f>
        <v>21.115558668452628</v>
      </c>
      <c r="Y125" s="123">
        <f>'Supplemental LCA Data'!$D$72/1000</f>
        <v>25.458767950129285</v>
      </c>
      <c r="Z125" s="123">
        <f t="shared" si="3"/>
        <v>19.117236103453639</v>
      </c>
      <c r="AA125" s="123">
        <v>0</v>
      </c>
      <c r="AB125" s="123">
        <v>0</v>
      </c>
      <c r="AC125" s="123">
        <f t="shared" si="2"/>
        <v>17.379305548594214</v>
      </c>
      <c r="AD125" s="123">
        <v>0</v>
      </c>
      <c r="AE125" s="123">
        <v>0</v>
      </c>
      <c r="AF125" s="123">
        <v>0</v>
      </c>
      <c r="AG125" s="123">
        <v>111.41336281293017</v>
      </c>
      <c r="AH125" s="123">
        <v>96.934631722060175</v>
      </c>
      <c r="AI125" s="123">
        <v>3.4310468673118439</v>
      </c>
      <c r="AJ125" s="123">
        <v>7.079849022399789</v>
      </c>
      <c r="AK125" s="123">
        <v>88.609789579499989</v>
      </c>
      <c r="AL125" s="123">
        <v>75.869011043824344</v>
      </c>
      <c r="AM125" s="123">
        <v>0</v>
      </c>
      <c r="AN125" s="123">
        <v>0</v>
      </c>
      <c r="AO125" s="123">
        <v>0</v>
      </c>
      <c r="AP125" s="316">
        <v>0</v>
      </c>
      <c r="AQ125" s="316">
        <v>0</v>
      </c>
      <c r="AR125" s="316">
        <v>0</v>
      </c>
      <c r="AS125" s="316">
        <v>0</v>
      </c>
      <c r="AT125" s="316">
        <v>0</v>
      </c>
      <c r="AU125" s="316">
        <v>0</v>
      </c>
      <c r="AV125" s="129">
        <v>9.1826231889999992</v>
      </c>
      <c r="AW125" s="129">
        <v>3.6</v>
      </c>
      <c r="AX125" s="129">
        <v>3.6</v>
      </c>
      <c r="AY125" s="129">
        <v>3.6</v>
      </c>
      <c r="AZ125" s="129">
        <v>3.6</v>
      </c>
      <c r="BA125" s="129">
        <v>3.4579025999999999E-2</v>
      </c>
      <c r="BB125" s="129">
        <v>41.990099999999998</v>
      </c>
      <c r="BC125" s="129">
        <v>43.209249999999997</v>
      </c>
      <c r="BD125" s="129">
        <v>46.983649999999997</v>
      </c>
      <c r="BE125" s="129">
        <v>51.126690000000004</v>
      </c>
      <c r="BF125" s="129">
        <v>29.343319999999999</v>
      </c>
      <c r="BG125" s="130">
        <v>1.2783040000000001</v>
      </c>
      <c r="BH125" s="130">
        <v>1.14236</v>
      </c>
      <c r="BI125" s="130">
        <v>0.30436299999999999</v>
      </c>
      <c r="BJ125" s="130">
        <v>0.25176399999999999</v>
      </c>
      <c r="BK125" s="130">
        <v>0.45051000000000002</v>
      </c>
    </row>
    <row r="126" spans="1:63">
      <c r="A126">
        <f t="shared" si="1"/>
        <v>123</v>
      </c>
      <c r="B126" t="s">
        <v>114</v>
      </c>
      <c r="C126" t="str">
        <f>INDEX(EPD_Measures,7)</f>
        <v>Nonrenewable energy resources</v>
      </c>
      <c r="D126" t="str">
        <f>INDEX(EPD_Calc_Units,7)</f>
        <v>MJ</v>
      </c>
      <c r="E126" s="123" t="e">
        <f>NA()</f>
        <v>#N/A</v>
      </c>
      <c r="F126" s="123" t="e">
        <f>NA()</f>
        <v>#N/A</v>
      </c>
      <c r="G126" s="123">
        <v>9.9834000000000006E-2</v>
      </c>
      <c r="H126" s="123">
        <v>6.3533000000000006E-2</v>
      </c>
      <c r="I126" s="123">
        <v>5.5085823999999999E-2</v>
      </c>
      <c r="J126" s="123">
        <v>6.3533000000000006E-2</v>
      </c>
      <c r="K126" s="123"/>
      <c r="L126" s="123"/>
      <c r="M126" s="123">
        <v>0</v>
      </c>
      <c r="N126" s="123">
        <v>0</v>
      </c>
      <c r="O126" s="123">
        <v>0</v>
      </c>
      <c r="P126" s="123">
        <f>'Supplemental LCA Data'!$AC$51</f>
        <v>2.099997641465547</v>
      </c>
      <c r="Q126" s="123">
        <f>'Supplemental LCA Data'!$AD$51</f>
        <v>4.5999948336864307</v>
      </c>
      <c r="R126" s="123">
        <f>'Supplemental LCA Data'!$AE$51</f>
        <v>22.799974393054555</v>
      </c>
      <c r="S126" s="123">
        <f>'Supplemental LCA Data'!$AF$51</f>
        <v>18.299979447056902</v>
      </c>
      <c r="T126" s="123">
        <f>'Supplemental LCA Data'!$AG$51</f>
        <v>4.5999948336864307</v>
      </c>
      <c r="U126" s="123">
        <f>'Supplemental LCA Data'!$AH$51</f>
        <v>10.479988229789974</v>
      </c>
      <c r="V126" s="123"/>
      <c r="W126" s="123"/>
      <c r="X126" s="123"/>
      <c r="Y126" s="123"/>
      <c r="Z126" s="123"/>
      <c r="AA126" s="123"/>
      <c r="AB126" s="123"/>
      <c r="AC126" s="123"/>
      <c r="AD126" s="123"/>
      <c r="AE126" s="123"/>
      <c r="AF126" s="123"/>
      <c r="AG126" s="123"/>
      <c r="AH126" s="123"/>
      <c r="AI126" s="123"/>
      <c r="AJ126" s="123"/>
      <c r="AK126" s="123"/>
      <c r="AL126" s="123"/>
      <c r="AM126" s="123">
        <v>0</v>
      </c>
      <c r="AN126" s="123">
        <v>0</v>
      </c>
      <c r="AO126" s="123">
        <v>0</v>
      </c>
      <c r="AP126" s="316">
        <v>0</v>
      </c>
      <c r="AQ126" s="316">
        <v>0</v>
      </c>
      <c r="AR126" s="316">
        <v>0</v>
      </c>
      <c r="AS126" s="316">
        <v>0</v>
      </c>
      <c r="AT126" s="316">
        <v>0</v>
      </c>
      <c r="AU126" s="316">
        <v>0</v>
      </c>
      <c r="AV126" s="129">
        <v>7.45810744</v>
      </c>
      <c r="AW126" s="129"/>
      <c r="AX126" s="129"/>
      <c r="AY126" s="129"/>
      <c r="AZ126" s="129"/>
      <c r="BA126" s="129">
        <v>3.4579025999999999E-2</v>
      </c>
      <c r="BB126" s="129">
        <v>41.929009999999998</v>
      </c>
      <c r="BC126" s="129">
        <v>43.189610000000002</v>
      </c>
      <c r="BD126" s="129">
        <v>46.915320000000001</v>
      </c>
      <c r="BE126" s="129">
        <v>51.052590000000002</v>
      </c>
      <c r="BF126" s="129">
        <v>29.300560000000001</v>
      </c>
      <c r="BG126" s="130">
        <v>1.276451</v>
      </c>
      <c r="BH126" s="130">
        <v>1.1407039999999999</v>
      </c>
      <c r="BI126" s="130">
        <v>0.303921</v>
      </c>
      <c r="BJ126" s="130">
        <v>0.25139899999999998</v>
      </c>
      <c r="BK126" s="130">
        <v>0.44985700000000001</v>
      </c>
    </row>
    <row r="127" spans="1:63">
      <c r="A127">
        <f t="shared" si="1"/>
        <v>124</v>
      </c>
      <c r="B127" t="s">
        <v>114</v>
      </c>
      <c r="C127" t="str">
        <f>INDEX(EPD_Measures,8)</f>
        <v>Renewable energy resources</v>
      </c>
      <c r="D127" t="str">
        <f>INDEX(EPD_Calc_Units,8)</f>
        <v>MJ</v>
      </c>
      <c r="E127" s="123" t="e">
        <f>NA()</f>
        <v>#N/A</v>
      </c>
      <c r="F127" s="123" t="e">
        <f>NA()</f>
        <v>#N/A</v>
      </c>
      <c r="G127" s="123">
        <v>1.5521E-2</v>
      </c>
      <c r="H127" s="123">
        <v>5.1850000000000004E-3</v>
      </c>
      <c r="I127" s="123">
        <v>5.1735469999999997E-3</v>
      </c>
      <c r="J127" s="123">
        <v>5.1850000000000004E-3</v>
      </c>
      <c r="K127" s="123"/>
      <c r="L127" s="123"/>
      <c r="M127" s="123">
        <v>0</v>
      </c>
      <c r="N127" s="123">
        <v>0</v>
      </c>
      <c r="O127" s="123">
        <v>0</v>
      </c>
      <c r="P127" s="123">
        <f>'Supplemental LCA Data'!$AC$52</f>
        <v>0</v>
      </c>
      <c r="Q127" s="123">
        <f>'Supplemental LCA Data'!$AD$52</f>
        <v>0</v>
      </c>
      <c r="R127" s="123">
        <f>'Supplemental LCA Data'!$AE$52</f>
        <v>0</v>
      </c>
      <c r="S127" s="123">
        <f>'Supplemental LCA Data'!$AF$52</f>
        <v>0</v>
      </c>
      <c r="T127" s="123">
        <f>'Supplemental LCA Data'!$AG$52</f>
        <v>0</v>
      </c>
      <c r="U127" s="123">
        <f>'Supplemental LCA Data'!$AH$52</f>
        <v>0</v>
      </c>
      <c r="V127" s="123"/>
      <c r="W127" s="123"/>
      <c r="X127" s="123"/>
      <c r="Y127" s="123"/>
      <c r="Z127" s="123"/>
      <c r="AA127" s="123"/>
      <c r="AB127" s="123"/>
      <c r="AC127" s="123"/>
      <c r="AD127" s="123"/>
      <c r="AE127" s="123"/>
      <c r="AF127" s="123"/>
      <c r="AG127" s="123"/>
      <c r="AH127" s="123"/>
      <c r="AI127" s="123"/>
      <c r="AJ127" s="123"/>
      <c r="AK127" s="123"/>
      <c r="AL127" s="123"/>
      <c r="AM127" s="123">
        <v>0</v>
      </c>
      <c r="AN127" s="123">
        <v>0</v>
      </c>
      <c r="AO127" s="123">
        <v>0</v>
      </c>
      <c r="AP127" s="316">
        <v>0</v>
      </c>
      <c r="AQ127" s="316">
        <v>0</v>
      </c>
      <c r="AR127" s="316">
        <v>0</v>
      </c>
      <c r="AS127" s="316">
        <v>0</v>
      </c>
      <c r="AT127" s="316">
        <v>0</v>
      </c>
      <c r="AU127" s="316">
        <v>0</v>
      </c>
      <c r="AV127" s="129">
        <v>1.724515749</v>
      </c>
      <c r="AW127" s="129"/>
      <c r="AX127" s="129"/>
      <c r="AY127" s="129"/>
      <c r="AZ127" s="129"/>
      <c r="BA127" s="129">
        <v>0</v>
      </c>
      <c r="BB127" s="129">
        <v>6.1093000000000001E-2</v>
      </c>
      <c r="BC127" s="129">
        <v>1.9647000000000001E-2</v>
      </c>
      <c r="BD127" s="129">
        <v>6.8331000000000003E-2</v>
      </c>
      <c r="BE127" s="129">
        <v>7.4106000000000005E-2</v>
      </c>
      <c r="BF127" s="129">
        <v>4.2762000000000001E-2</v>
      </c>
      <c r="BG127" s="130">
        <v>1.853E-3</v>
      </c>
      <c r="BH127" s="130">
        <v>1.6559999999999999E-3</v>
      </c>
      <c r="BI127" s="130">
        <v>4.4099999999999999E-4</v>
      </c>
      <c r="BJ127" s="130">
        <v>3.6499999999999998E-4</v>
      </c>
      <c r="BK127" s="130">
        <v>6.5300000000000004E-4</v>
      </c>
    </row>
    <row r="128" spans="1:63">
      <c r="A128">
        <f t="shared" si="1"/>
        <v>125</v>
      </c>
      <c r="B128" t="s">
        <v>114</v>
      </c>
      <c r="C128" t="str">
        <f>INDEX(EPD_Measures,9)</f>
        <v>Material resources consumption</v>
      </c>
      <c r="D128" t="str">
        <f>INDEX(EPD_Calc_Units,9)</f>
        <v>kg</v>
      </c>
      <c r="E128" s="123" t="e">
        <f>NA()</f>
        <v>#N/A</v>
      </c>
      <c r="F128" s="123" t="e">
        <f>NA()</f>
        <v>#N/A</v>
      </c>
      <c r="G128" s="123">
        <v>1.0000015600000001</v>
      </c>
      <c r="H128" s="123">
        <v>1.0000021111778816</v>
      </c>
      <c r="I128" s="123">
        <v>1.0000015600000001</v>
      </c>
      <c r="J128" s="123">
        <v>1.0000021111778816</v>
      </c>
      <c r="K128" s="123"/>
      <c r="L128" s="123"/>
      <c r="M128" s="123">
        <v>0</v>
      </c>
      <c r="N128" s="123">
        <v>0</v>
      </c>
      <c r="O128" s="123">
        <v>0</v>
      </c>
      <c r="P128" s="123">
        <f>'Supplemental LCA Data'!$AC$53</f>
        <v>0</v>
      </c>
      <c r="Q128" s="123">
        <f>'Supplemental LCA Data'!$AD$53</f>
        <v>0</v>
      </c>
      <c r="R128" s="123">
        <f>'Supplemental LCA Data'!$AE$53</f>
        <v>0</v>
      </c>
      <c r="S128" s="123">
        <f>'Supplemental LCA Data'!$AF$53</f>
        <v>0</v>
      </c>
      <c r="T128" s="123">
        <f>'Supplemental LCA Data'!$AG$53</f>
        <v>0</v>
      </c>
      <c r="U128" s="123">
        <f>'Supplemental LCA Data'!$AH$53</f>
        <v>0</v>
      </c>
      <c r="V128" s="123"/>
      <c r="W128" s="123"/>
      <c r="X128" s="123"/>
      <c r="Y128" s="123"/>
      <c r="Z128" s="123"/>
      <c r="AA128" s="123"/>
      <c r="AB128" s="123"/>
      <c r="AC128" s="123"/>
      <c r="AD128" s="123"/>
      <c r="AE128" s="123"/>
      <c r="AF128" s="123"/>
      <c r="AG128" s="123"/>
      <c r="AH128" s="123"/>
      <c r="AI128" s="123"/>
      <c r="AJ128" s="123"/>
      <c r="AK128" s="123"/>
      <c r="AL128" s="123"/>
      <c r="AM128" s="123">
        <v>0</v>
      </c>
      <c r="AN128" s="123">
        <v>0</v>
      </c>
      <c r="AO128" s="123">
        <v>0</v>
      </c>
      <c r="AP128" s="316">
        <v>0</v>
      </c>
      <c r="AQ128" s="316">
        <v>0</v>
      </c>
      <c r="AR128" s="316">
        <v>0</v>
      </c>
      <c r="AS128" s="316">
        <v>0</v>
      </c>
      <c r="AT128" s="316">
        <v>0</v>
      </c>
      <c r="AU128" s="316">
        <v>0</v>
      </c>
      <c r="AV128" s="129">
        <v>0</v>
      </c>
      <c r="AW128" s="129"/>
      <c r="AX128" s="129"/>
      <c r="AY128" s="129"/>
      <c r="AZ128" s="129"/>
      <c r="BA128" s="129">
        <v>0.84323164500000003</v>
      </c>
      <c r="BB128" s="129">
        <v>0</v>
      </c>
      <c r="BC128" s="129">
        <v>0</v>
      </c>
      <c r="BD128" s="129">
        <v>0</v>
      </c>
      <c r="BE128" s="129">
        <v>0</v>
      </c>
      <c r="BF128" s="129">
        <v>0</v>
      </c>
      <c r="BG128" s="130">
        <v>0</v>
      </c>
      <c r="BH128" s="130">
        <v>0</v>
      </c>
      <c r="BI128" s="130">
        <v>0</v>
      </c>
      <c r="BJ128" s="130">
        <v>0</v>
      </c>
      <c r="BK128" s="130">
        <v>0</v>
      </c>
    </row>
    <row r="129" spans="1:63">
      <c r="A129">
        <f t="shared" si="1"/>
        <v>126</v>
      </c>
      <c r="B129" t="s">
        <v>114</v>
      </c>
      <c r="C129" t="str">
        <f>INDEX(EPD_Measures,10)</f>
        <v>Nonrenewable material resources</v>
      </c>
      <c r="D129" t="str">
        <f>INDEX(EPD_Calc_Units,10)</f>
        <v>kg</v>
      </c>
      <c r="E129" s="123" t="e">
        <f>NA()</f>
        <v>#N/A</v>
      </c>
      <c r="F129" s="123" t="e">
        <f>NA()</f>
        <v>#N/A</v>
      </c>
      <c r="G129" s="123">
        <v>1</v>
      </c>
      <c r="H129" s="123">
        <v>1.0000001919173316</v>
      </c>
      <c r="I129" s="123">
        <v>1</v>
      </c>
      <c r="J129" s="123">
        <v>1.0000001919173316</v>
      </c>
      <c r="K129" s="123"/>
      <c r="L129" s="123"/>
      <c r="M129" s="123">
        <v>0</v>
      </c>
      <c r="N129" s="123">
        <v>0</v>
      </c>
      <c r="O129" s="123">
        <v>0</v>
      </c>
      <c r="P129" s="123">
        <f>'Supplemental LCA Data'!$AC$54</f>
        <v>0</v>
      </c>
      <c r="Q129" s="123">
        <f>'Supplemental LCA Data'!$AD$54</f>
        <v>0</v>
      </c>
      <c r="R129" s="123">
        <f>'Supplemental LCA Data'!$AE$54</f>
        <v>0</v>
      </c>
      <c r="S129" s="123">
        <f>'Supplemental LCA Data'!$AF$54</f>
        <v>0</v>
      </c>
      <c r="T129" s="123">
        <f>'Supplemental LCA Data'!$AG$54</f>
        <v>0</v>
      </c>
      <c r="U129" s="123">
        <f>'Supplemental LCA Data'!$AH$54</f>
        <v>0</v>
      </c>
      <c r="V129" s="123"/>
      <c r="W129" s="123"/>
      <c r="X129" s="123"/>
      <c r="Y129" s="123"/>
      <c r="Z129" s="123"/>
      <c r="AA129" s="123"/>
      <c r="AB129" s="123"/>
      <c r="AC129" s="123"/>
      <c r="AD129" s="123"/>
      <c r="AE129" s="123"/>
      <c r="AF129" s="123"/>
      <c r="AG129" s="123"/>
      <c r="AH129" s="123"/>
      <c r="AI129" s="123"/>
      <c r="AJ129" s="123"/>
      <c r="AK129" s="123"/>
      <c r="AL129" s="123"/>
      <c r="AM129" s="123">
        <v>0</v>
      </c>
      <c r="AN129" s="123">
        <v>0</v>
      </c>
      <c r="AO129" s="123">
        <v>0</v>
      </c>
      <c r="AP129" s="316">
        <v>0</v>
      </c>
      <c r="AQ129" s="316">
        <v>0</v>
      </c>
      <c r="AR129" s="316">
        <v>0</v>
      </c>
      <c r="AS129" s="316">
        <v>0</v>
      </c>
      <c r="AT129" s="316">
        <v>0</v>
      </c>
      <c r="AU129" s="316">
        <v>0</v>
      </c>
      <c r="AV129" s="129">
        <v>0</v>
      </c>
      <c r="AW129" s="129"/>
      <c r="AX129" s="129"/>
      <c r="AY129" s="129"/>
      <c r="AZ129" s="129"/>
      <c r="BA129" s="129">
        <v>0</v>
      </c>
      <c r="BB129" s="129">
        <v>0</v>
      </c>
      <c r="BC129" s="129">
        <v>0</v>
      </c>
      <c r="BD129" s="129">
        <v>0</v>
      </c>
      <c r="BE129" s="129">
        <v>0</v>
      </c>
      <c r="BF129" s="129">
        <v>0</v>
      </c>
      <c r="BG129" s="130">
        <v>0</v>
      </c>
      <c r="BH129" s="130">
        <v>0</v>
      </c>
      <c r="BI129" s="130">
        <v>0</v>
      </c>
      <c r="BJ129" s="130">
        <v>0</v>
      </c>
      <c r="BK129" s="130">
        <v>0</v>
      </c>
    </row>
    <row r="130" spans="1:63">
      <c r="A130">
        <f t="shared" si="1"/>
        <v>127</v>
      </c>
      <c r="B130" t="s">
        <v>114</v>
      </c>
      <c r="C130" t="str">
        <f>INDEX(EPD_Measures,11)</f>
        <v>Renewable material resources</v>
      </c>
      <c r="D130" t="str">
        <f>INDEX(EPD_Calc_Units,11)</f>
        <v>kg</v>
      </c>
      <c r="E130" s="123" t="e">
        <f>NA()</f>
        <v>#N/A</v>
      </c>
      <c r="F130" s="123" t="e">
        <f>NA()</f>
        <v>#N/A</v>
      </c>
      <c r="G130" s="123">
        <v>1.5600000000000001E-6</v>
      </c>
      <c r="H130" s="123">
        <v>1.9192605499999998E-6</v>
      </c>
      <c r="I130" s="123">
        <v>1.5600000000000001E-6</v>
      </c>
      <c r="J130" s="123">
        <v>1.9192605499999998E-6</v>
      </c>
      <c r="K130" s="123"/>
      <c r="L130" s="123"/>
      <c r="M130" s="123">
        <v>0</v>
      </c>
      <c r="N130" s="123">
        <v>0</v>
      </c>
      <c r="O130" s="123">
        <v>0</v>
      </c>
      <c r="P130" s="123">
        <f>'Supplemental LCA Data'!$AC$55</f>
        <v>0</v>
      </c>
      <c r="Q130" s="123">
        <f>'Supplemental LCA Data'!$AD$55</f>
        <v>0</v>
      </c>
      <c r="R130" s="123">
        <f>'Supplemental LCA Data'!$AE$55</f>
        <v>0</v>
      </c>
      <c r="S130" s="123">
        <f>'Supplemental LCA Data'!$AF$55</f>
        <v>0</v>
      </c>
      <c r="T130" s="123">
        <f>'Supplemental LCA Data'!$AG$55</f>
        <v>0</v>
      </c>
      <c r="U130" s="123">
        <f>'Supplemental LCA Data'!$AH$55</f>
        <v>0</v>
      </c>
      <c r="V130" s="123"/>
      <c r="W130" s="123"/>
      <c r="X130" s="123"/>
      <c r="Y130" s="123"/>
      <c r="Z130" s="123"/>
      <c r="AA130" s="123"/>
      <c r="AB130" s="123"/>
      <c r="AC130" s="123"/>
      <c r="AD130" s="123"/>
      <c r="AE130" s="123"/>
      <c r="AF130" s="123"/>
      <c r="AG130" s="123"/>
      <c r="AH130" s="123"/>
      <c r="AI130" s="123"/>
      <c r="AJ130" s="123"/>
      <c r="AK130" s="123"/>
      <c r="AL130" s="123"/>
      <c r="AM130" s="123">
        <v>0</v>
      </c>
      <c r="AN130" s="123">
        <v>0</v>
      </c>
      <c r="AO130" s="123">
        <v>0</v>
      </c>
      <c r="AP130" s="316">
        <v>0</v>
      </c>
      <c r="AQ130" s="316">
        <v>0</v>
      </c>
      <c r="AR130" s="316">
        <v>0</v>
      </c>
      <c r="AS130" s="316">
        <v>0</v>
      </c>
      <c r="AT130" s="316">
        <v>0</v>
      </c>
      <c r="AU130" s="316">
        <v>0</v>
      </c>
      <c r="AV130" s="129">
        <v>0</v>
      </c>
      <c r="AW130" s="129"/>
      <c r="AX130" s="129"/>
      <c r="AY130" s="129"/>
      <c r="AZ130" s="129"/>
      <c r="BA130" s="129">
        <v>0.84323164500000003</v>
      </c>
      <c r="BB130" s="129">
        <v>0</v>
      </c>
      <c r="BC130" s="129">
        <v>0</v>
      </c>
      <c r="BD130" s="129">
        <v>0</v>
      </c>
      <c r="BE130" s="129">
        <v>0</v>
      </c>
      <c r="BF130" s="129">
        <v>0</v>
      </c>
      <c r="BG130" s="130">
        <v>0</v>
      </c>
      <c r="BH130" s="130">
        <v>0</v>
      </c>
      <c r="BI130" s="130">
        <v>0</v>
      </c>
      <c r="BJ130" s="130">
        <v>0</v>
      </c>
      <c r="BK130" s="130">
        <v>0</v>
      </c>
    </row>
    <row r="131" spans="1:63">
      <c r="A131">
        <f t="shared" si="1"/>
        <v>128</v>
      </c>
      <c r="B131" t="s">
        <v>114</v>
      </c>
      <c r="C131" t="str">
        <f>INDEX(EPD_Measures,12)</f>
        <v>Net Fresh Water</v>
      </c>
      <c r="D131" t="str">
        <f>INDEX(EPD_Calc_Units,12)</f>
        <v>m3</v>
      </c>
      <c r="E131" s="123" t="e">
        <f>NA()</f>
        <v>#N/A</v>
      </c>
      <c r="F131" s="123" t="e">
        <f>NA()</f>
        <v>#N/A</v>
      </c>
      <c r="G131" s="123">
        <f>$G$1+0</f>
        <v>6.7500000000000004E-4</v>
      </c>
      <c r="H131" s="123">
        <f>$G$1+0.000000717</f>
        <v>6.7571700000000005E-4</v>
      </c>
      <c r="I131" s="123">
        <f>$G$1+0</f>
        <v>6.7500000000000004E-4</v>
      </c>
      <c r="J131" s="123">
        <f>$G$1+0.000000717</f>
        <v>6.7571700000000005E-4</v>
      </c>
      <c r="K131" s="123">
        <v>0</v>
      </c>
      <c r="L131" s="123">
        <v>0</v>
      </c>
      <c r="M131" s="123">
        <v>0</v>
      </c>
      <c r="N131" s="123">
        <v>0</v>
      </c>
      <c r="O131" s="123">
        <v>0</v>
      </c>
      <c r="P131" s="123">
        <f>'Supplemental LCA Data'!$AC$56</f>
        <v>0</v>
      </c>
      <c r="Q131" s="123">
        <f>'Supplemental LCA Data'!$AD$56</f>
        <v>0</v>
      </c>
      <c r="R131" s="123">
        <f>'Supplemental LCA Data'!$AE$56</f>
        <v>0</v>
      </c>
      <c r="S131" s="123">
        <f>'Supplemental LCA Data'!$AF$56</f>
        <v>0</v>
      </c>
      <c r="T131" s="123">
        <f>'Supplemental LCA Data'!$AG$56</f>
        <v>0</v>
      </c>
      <c r="U131" s="123">
        <f>'Supplemental LCA Data'!$AH$56</f>
        <v>0</v>
      </c>
      <c r="V131" s="123">
        <v>0.11500386618134965</v>
      </c>
      <c r="W131" s="123">
        <f>'Supplemental LCA Data'!$B$73/1000/1000</f>
        <v>1.3732079207907059E-2</v>
      </c>
      <c r="X131" s="123">
        <f>'Supplemental LCA Data'!$C$73/1000/1000</f>
        <v>1.389655434006113E-2</v>
      </c>
      <c r="Y131" s="123">
        <f>'Supplemental LCA Data'!$D$73/1000/1000</f>
        <v>1.4675578391799121E-2</v>
      </c>
      <c r="Z131" s="123">
        <f t="shared" si="3"/>
        <v>1.5105287128697766E-2</v>
      </c>
      <c r="AA131" s="123">
        <v>0</v>
      </c>
      <c r="AB131" s="123">
        <v>0</v>
      </c>
      <c r="AC131" s="123">
        <f t="shared" si="2"/>
        <v>1.3732079207907059E-2</v>
      </c>
      <c r="AD131" s="123">
        <v>0</v>
      </c>
      <c r="AE131" s="123">
        <v>0</v>
      </c>
      <c r="AF131" s="123">
        <v>0</v>
      </c>
      <c r="AG131" s="123">
        <v>6.6615854003756548E-4</v>
      </c>
      <c r="AH131" s="123">
        <v>8.5599624991234465E-3</v>
      </c>
      <c r="AI131" s="123">
        <v>3.5226266152208971E-4</v>
      </c>
      <c r="AJ131" s="123">
        <v>3.9507938615937904E-3</v>
      </c>
      <c r="AK131" s="123">
        <v>7.4033158500000001E-2</v>
      </c>
      <c r="AL131" s="123">
        <v>0</v>
      </c>
      <c r="AM131" s="123">
        <v>0</v>
      </c>
      <c r="AN131" s="123">
        <v>0</v>
      </c>
      <c r="AO131" s="123">
        <v>0</v>
      </c>
      <c r="AP131" s="316">
        <v>0</v>
      </c>
      <c r="AQ131" s="316">
        <v>0</v>
      </c>
      <c r="AR131" s="316">
        <v>0</v>
      </c>
      <c r="AS131" s="316">
        <v>0</v>
      </c>
      <c r="AT131" s="316">
        <v>0</v>
      </c>
      <c r="AU131" s="316">
        <v>0</v>
      </c>
      <c r="AV131" s="129">
        <v>0</v>
      </c>
      <c r="AW131" s="129">
        <v>0</v>
      </c>
      <c r="AX131" s="129">
        <v>0</v>
      </c>
      <c r="AY131" s="129">
        <v>0</v>
      </c>
      <c r="AZ131" s="129">
        <v>0</v>
      </c>
      <c r="BA131" s="129">
        <v>0</v>
      </c>
      <c r="BB131" s="129">
        <v>0</v>
      </c>
      <c r="BC131" s="129">
        <v>0</v>
      </c>
      <c r="BD131" s="129">
        <v>0</v>
      </c>
      <c r="BE131" s="129">
        <v>0</v>
      </c>
      <c r="BF131" s="129">
        <v>0</v>
      </c>
      <c r="BG131" s="130">
        <v>0</v>
      </c>
      <c r="BH131" s="130">
        <v>0</v>
      </c>
      <c r="BI131" s="130">
        <v>0</v>
      </c>
      <c r="BJ131" s="130">
        <v>0</v>
      </c>
      <c r="BK131" s="130">
        <v>0</v>
      </c>
    </row>
    <row r="132" spans="1:63">
      <c r="A132">
        <f t="shared" si="1"/>
        <v>129</v>
      </c>
      <c r="B132" t="s">
        <v>114</v>
      </c>
      <c r="C132" t="str">
        <f>INDEX(EPD_Measures,13)</f>
        <v>Non-hazardous waste generated</v>
      </c>
      <c r="D132" t="str">
        <f>INDEX(EPD_Calc_Units,13)</f>
        <v>kg</v>
      </c>
      <c r="E132" s="123" t="e">
        <f>NA()</f>
        <v>#N/A</v>
      </c>
      <c r="F132" s="123" t="e">
        <f>NA()</f>
        <v>#N/A</v>
      </c>
      <c r="G132" s="123">
        <v>0</v>
      </c>
      <c r="H132" s="123">
        <v>0</v>
      </c>
      <c r="I132" s="123">
        <v>0</v>
      </c>
      <c r="J132" s="123">
        <v>0</v>
      </c>
      <c r="K132" s="123"/>
      <c r="L132" s="123"/>
      <c r="M132" s="123">
        <v>0</v>
      </c>
      <c r="N132" s="123">
        <v>0</v>
      </c>
      <c r="O132" s="123">
        <v>0</v>
      </c>
      <c r="P132" s="123">
        <f>'Supplemental LCA Data'!$AC$57</f>
        <v>0</v>
      </c>
      <c r="Q132" s="123">
        <f>'Supplemental LCA Data'!$AD$57</f>
        <v>0</v>
      </c>
      <c r="R132" s="123">
        <f>'Supplemental LCA Data'!$AE$57</f>
        <v>0</v>
      </c>
      <c r="S132" s="123">
        <f>'Supplemental LCA Data'!$AF$57</f>
        <v>0</v>
      </c>
      <c r="T132" s="123">
        <f>'Supplemental LCA Data'!$AG$57</f>
        <v>0</v>
      </c>
      <c r="U132" s="123">
        <f>'Supplemental LCA Data'!$AH$57</f>
        <v>0</v>
      </c>
      <c r="V132" s="123"/>
      <c r="W132" s="123"/>
      <c r="X132" s="123"/>
      <c r="Y132" s="123"/>
      <c r="Z132" s="123"/>
      <c r="AA132" s="123"/>
      <c r="AB132" s="123"/>
      <c r="AC132" s="123"/>
      <c r="AD132" s="123"/>
      <c r="AE132" s="123"/>
      <c r="AF132" s="123"/>
      <c r="AG132" s="123"/>
      <c r="AH132" s="123"/>
      <c r="AI132" s="123"/>
      <c r="AJ132" s="123"/>
      <c r="AK132" s="123"/>
      <c r="AL132" s="123"/>
      <c r="AM132" s="123">
        <v>0</v>
      </c>
      <c r="AN132" s="123">
        <v>0</v>
      </c>
      <c r="AO132" s="123">
        <v>0</v>
      </c>
      <c r="AP132" s="316">
        <v>0</v>
      </c>
      <c r="AQ132" s="316">
        <v>0</v>
      </c>
      <c r="AR132" s="316">
        <v>0</v>
      </c>
      <c r="AS132" s="316">
        <v>0</v>
      </c>
      <c r="AT132" s="316">
        <v>0</v>
      </c>
      <c r="AU132" s="316">
        <v>0</v>
      </c>
      <c r="AV132" s="129">
        <v>0</v>
      </c>
      <c r="AW132" s="129"/>
      <c r="AX132" s="129"/>
      <c r="AY132" s="129"/>
      <c r="AZ132" s="129"/>
      <c r="BA132" s="129">
        <v>0</v>
      </c>
      <c r="BB132" s="129">
        <v>0</v>
      </c>
      <c r="BC132" s="129">
        <v>0</v>
      </c>
      <c r="BD132" s="129">
        <v>0</v>
      </c>
      <c r="BE132" s="129">
        <v>0</v>
      </c>
      <c r="BF132" s="129">
        <v>0</v>
      </c>
      <c r="BG132" s="130">
        <v>0</v>
      </c>
      <c r="BH132" s="130">
        <v>0</v>
      </c>
      <c r="BI132" s="130">
        <v>0</v>
      </c>
      <c r="BJ132" s="130">
        <v>0</v>
      </c>
      <c r="BK132" s="130">
        <v>0</v>
      </c>
    </row>
    <row r="133" spans="1:63">
      <c r="A133">
        <f t="shared" si="1"/>
        <v>130</v>
      </c>
      <c r="B133" t="s">
        <v>114</v>
      </c>
      <c r="C133" t="str">
        <f>INDEX(EPD_Measures,14)</f>
        <v>Hazardous waste generated</v>
      </c>
      <c r="D133" t="str">
        <f>INDEX(EPD_Calc_Units,14)</f>
        <v>kg</v>
      </c>
      <c r="E133" s="123" t="e">
        <f>NA()</f>
        <v>#N/A</v>
      </c>
      <c r="F133" s="123" t="e">
        <f>NA()</f>
        <v>#N/A</v>
      </c>
      <c r="G133" s="123">
        <v>0</v>
      </c>
      <c r="H133" s="123">
        <v>0</v>
      </c>
      <c r="I133" s="123">
        <v>0</v>
      </c>
      <c r="J133" s="123">
        <v>0</v>
      </c>
      <c r="K133" s="123"/>
      <c r="L133" s="123"/>
      <c r="M133" s="123">
        <v>0</v>
      </c>
      <c r="N133" s="123">
        <v>0</v>
      </c>
      <c r="O133" s="123">
        <v>0</v>
      </c>
      <c r="P133" s="123">
        <f>'Supplemental LCA Data'!$AC$58</f>
        <v>0</v>
      </c>
      <c r="Q133" s="123">
        <f>'Supplemental LCA Data'!$AD$58</f>
        <v>0</v>
      </c>
      <c r="R133" s="123">
        <f>'Supplemental LCA Data'!$AE$58</f>
        <v>0</v>
      </c>
      <c r="S133" s="123">
        <f>'Supplemental LCA Data'!$AF$58</f>
        <v>0</v>
      </c>
      <c r="T133" s="123">
        <f>'Supplemental LCA Data'!$AG$58</f>
        <v>0</v>
      </c>
      <c r="U133" s="123">
        <f>'Supplemental LCA Data'!$AH$58</f>
        <v>0</v>
      </c>
      <c r="V133" s="123"/>
      <c r="W133" s="123"/>
      <c r="X133" s="123"/>
      <c r="Y133" s="123"/>
      <c r="Z133" s="123"/>
      <c r="AA133" s="123"/>
      <c r="AB133" s="123"/>
      <c r="AC133" s="123"/>
      <c r="AD133" s="123"/>
      <c r="AE133" s="123"/>
      <c r="AF133" s="123"/>
      <c r="AG133" s="123"/>
      <c r="AH133" s="123"/>
      <c r="AI133" s="123"/>
      <c r="AJ133" s="123"/>
      <c r="AK133" s="123"/>
      <c r="AL133" s="123"/>
      <c r="AM133" s="123">
        <v>0</v>
      </c>
      <c r="AN133" s="123">
        <v>0</v>
      </c>
      <c r="AO133" s="123">
        <v>0</v>
      </c>
      <c r="AP133" s="316">
        <v>0</v>
      </c>
      <c r="AQ133" s="316">
        <v>0</v>
      </c>
      <c r="AR133" s="316">
        <v>0</v>
      </c>
      <c r="AS133" s="316">
        <v>0</v>
      </c>
      <c r="AT133" s="316">
        <v>0</v>
      </c>
      <c r="AU133" s="316">
        <v>0</v>
      </c>
      <c r="AV133" s="129">
        <v>0</v>
      </c>
      <c r="AW133" s="129"/>
      <c r="AX133" s="129"/>
      <c r="AY133" s="129"/>
      <c r="AZ133" s="129"/>
      <c r="BA133" s="129">
        <v>0</v>
      </c>
      <c r="BB133" s="129">
        <v>0</v>
      </c>
      <c r="BC133" s="129">
        <v>0</v>
      </c>
      <c r="BD133" s="129">
        <v>0</v>
      </c>
      <c r="BE133" s="129">
        <v>0</v>
      </c>
      <c r="BF133" s="129">
        <v>0</v>
      </c>
      <c r="BG133" s="130">
        <v>0</v>
      </c>
      <c r="BH133" s="130">
        <v>0</v>
      </c>
      <c r="BI133" s="130">
        <v>0</v>
      </c>
      <c r="BJ133" s="130">
        <v>0</v>
      </c>
      <c r="BK133" s="130">
        <v>0</v>
      </c>
    </row>
    <row r="134" spans="1:63">
      <c r="A134" s="112">
        <f t="shared" si="1"/>
        <v>131</v>
      </c>
      <c r="B134" s="112" t="s">
        <v>115</v>
      </c>
      <c r="C134" s="112" t="str">
        <f>INDEX(EPD_Measures,1)</f>
        <v>Global warming potential (GWP)</v>
      </c>
      <c r="D134" s="112" t="str">
        <f>INDEX(EPD_Calc_Units,1)</f>
        <v>kg</v>
      </c>
      <c r="E134" s="123">
        <v>0.90510505100000005</v>
      </c>
      <c r="F134" s="123">
        <f>E134*'Supplemental LCA Data'!$E$49</f>
        <v>0.80983083510526321</v>
      </c>
      <c r="G134" s="123">
        <v>2.2759999999999998E-3</v>
      </c>
      <c r="H134" s="123">
        <v>2.7929999999999999E-3</v>
      </c>
      <c r="I134" s="123">
        <v>2.2267049999999998E-3</v>
      </c>
      <c r="J134" s="123">
        <v>2.7929999999999999E-3</v>
      </c>
      <c r="K134" s="123">
        <v>0</v>
      </c>
      <c r="L134" s="123">
        <v>0</v>
      </c>
      <c r="M134" s="123">
        <v>0</v>
      </c>
      <c r="N134" s="123">
        <v>0</v>
      </c>
      <c r="O134" s="123">
        <v>0</v>
      </c>
      <c r="P134" s="123">
        <f>'Supplemental LCA Data'!$AC$45</f>
        <v>0.10406360712476165</v>
      </c>
      <c r="Q134" s="123">
        <f>'Supplemental LCA Data'!$AD$45</f>
        <v>0.22949974224587316</v>
      </c>
      <c r="R134" s="123">
        <f>'Supplemental LCA Data'!$AE$45</f>
        <v>1.2625032020663256</v>
      </c>
      <c r="S134" s="123">
        <f>'Supplemental LCA Data'!$AF$45</f>
        <v>0.76998593521882752</v>
      </c>
      <c r="T134" s="123">
        <f>'Supplemental LCA Data'!$AG$45</f>
        <v>0.22949974224587316</v>
      </c>
      <c r="U134" s="123">
        <f>'Supplemental LCA Data'!$AH$45</f>
        <v>0.51911044578033227</v>
      </c>
      <c r="V134" s="123">
        <v>2.9429471121354829</v>
      </c>
      <c r="W134" s="123">
        <f>'Supplemental LCA Data'!$B$71/1000</f>
        <v>0.89195544554366246</v>
      </c>
      <c r="X134" s="123">
        <f>'Supplemental LCA Data'!$C$71/1000</f>
        <v>1.0380563118652284</v>
      </c>
      <c r="Y134" s="123">
        <f>'Supplemental LCA Data'!$D$71/1000</f>
        <v>1.5012328955993122</v>
      </c>
      <c r="Z134" s="123">
        <f t="shared" si="3"/>
        <v>0.98115099009802875</v>
      </c>
      <c r="AA134" s="123">
        <v>0</v>
      </c>
      <c r="AB134" s="123">
        <v>0</v>
      </c>
      <c r="AC134" s="123">
        <f t="shared" si="2"/>
        <v>0.89195544554366246</v>
      </c>
      <c r="AD134" s="123">
        <v>0</v>
      </c>
      <c r="AE134" s="123">
        <v>0</v>
      </c>
      <c r="AF134" s="123">
        <v>0</v>
      </c>
      <c r="AG134" s="123">
        <v>3.3162413704963716</v>
      </c>
      <c r="AH134" s="123">
        <v>9.0789952164299699</v>
      </c>
      <c r="AI134" s="123">
        <v>0.2453477255455345</v>
      </c>
      <c r="AJ134" s="123">
        <v>0.3279493299762562</v>
      </c>
      <c r="AK134" s="123">
        <v>4.6408478655656005</v>
      </c>
      <c r="AL134" s="123">
        <v>0.92461248966214149</v>
      </c>
      <c r="AM134" s="123">
        <v>0</v>
      </c>
      <c r="AN134" s="123">
        <v>0</v>
      </c>
      <c r="AO134" s="123">
        <v>0</v>
      </c>
      <c r="AP134" s="316">
        <v>0</v>
      </c>
      <c r="AQ134" s="316">
        <v>0</v>
      </c>
      <c r="AR134" s="316">
        <v>0</v>
      </c>
      <c r="AS134" s="316">
        <v>0</v>
      </c>
      <c r="AT134" s="316">
        <v>0</v>
      </c>
      <c r="AU134" s="316">
        <v>0</v>
      </c>
      <c r="AV134" s="129">
        <v>8.2580020000000004E-3</v>
      </c>
      <c r="AW134" s="129">
        <v>0</v>
      </c>
      <c r="AX134" s="129">
        <v>0</v>
      </c>
      <c r="AY134" s="129">
        <v>0</v>
      </c>
      <c r="AZ134" s="129">
        <v>0</v>
      </c>
      <c r="BA134" s="129">
        <v>4.5765858E-2</v>
      </c>
      <c r="BB134" s="129">
        <v>2.529973</v>
      </c>
      <c r="BC134" s="129">
        <v>2.4438970000000002</v>
      </c>
      <c r="BD134" s="129">
        <v>3.1787649999999998</v>
      </c>
      <c r="BE134" s="129">
        <v>3.7603420000000001</v>
      </c>
      <c r="BF134" s="129">
        <v>2.0422280000000002</v>
      </c>
      <c r="BG134" s="130">
        <v>9.2743999999999993E-2</v>
      </c>
      <c r="BH134" s="130">
        <v>7.3523000000000005E-2</v>
      </c>
      <c r="BI134" s="130">
        <v>2.2027999999999999E-2</v>
      </c>
      <c r="BJ134" s="130">
        <v>1.8526999999999998E-2</v>
      </c>
      <c r="BK134" s="130">
        <v>3.3079999999999998E-2</v>
      </c>
    </row>
    <row r="135" spans="1:63">
      <c r="A135">
        <f t="shared" si="1"/>
        <v>132</v>
      </c>
      <c r="B135" t="s">
        <v>115</v>
      </c>
      <c r="C135" t="str">
        <f>INDEX(EPD_Measures,2)</f>
        <v>Acidification potential</v>
      </c>
      <c r="D135" t="str">
        <f>INDEX(EPD_Calc_Units,2)</f>
        <v>kg</v>
      </c>
      <c r="E135" s="123">
        <v>3.5790610000000001E-3</v>
      </c>
      <c r="F135" s="123">
        <f>E135*'Supplemental LCA Data'!$E$52</f>
        <v>3.2298843170731704E-3</v>
      </c>
      <c r="G135" s="123">
        <v>3.0899999999999999E-5</v>
      </c>
      <c r="H135" s="123">
        <v>3.6300000000000001E-5</v>
      </c>
      <c r="I135" s="123">
        <v>3.0588800000000001E-5</v>
      </c>
      <c r="J135" s="123">
        <v>3.6300000000000001E-5</v>
      </c>
      <c r="K135" s="123"/>
      <c r="L135" s="123"/>
      <c r="M135" s="123">
        <v>0</v>
      </c>
      <c r="N135" s="123">
        <v>0</v>
      </c>
      <c r="O135" s="123">
        <v>0</v>
      </c>
      <c r="P135" s="123">
        <f>'Supplemental LCA Data'!$AC$46</f>
        <v>5.7703135192831948E-4</v>
      </c>
      <c r="Q135" s="123">
        <f>'Supplemental LCA Data'!$AD$46</f>
        <v>1.2139986365417917E-3</v>
      </c>
      <c r="R135" s="123">
        <f>'Supplemental LCA Data'!$AE$46</f>
        <v>4.7483946670140312E-3</v>
      </c>
      <c r="S135" s="123">
        <f>'Supplemental LCA Data'!$AF$46</f>
        <v>3.9528555604969102</v>
      </c>
      <c r="T135" s="123">
        <f>'Supplemental LCA Data'!$AG$46</f>
        <v>1.2139986365417917E-3</v>
      </c>
      <c r="U135" s="123">
        <f>'Supplemental LCA Data'!$AH$46</f>
        <v>0.79212179675778727</v>
      </c>
      <c r="V135" s="123"/>
      <c r="W135" s="123"/>
      <c r="X135" s="123"/>
      <c r="Y135" s="123"/>
      <c r="Z135" s="123"/>
      <c r="AA135" s="123"/>
      <c r="AB135" s="123"/>
      <c r="AC135" s="123"/>
      <c r="AD135" s="123"/>
      <c r="AE135" s="123"/>
      <c r="AF135" s="123"/>
      <c r="AG135" s="123"/>
      <c r="AH135" s="123"/>
      <c r="AI135" s="123"/>
      <c r="AJ135" s="123"/>
      <c r="AK135" s="123"/>
      <c r="AL135" s="123"/>
      <c r="AM135" s="123">
        <v>0</v>
      </c>
      <c r="AN135" s="123">
        <v>0</v>
      </c>
      <c r="AO135" s="123">
        <v>0</v>
      </c>
      <c r="AP135" s="316">
        <v>0</v>
      </c>
      <c r="AQ135" s="316">
        <v>0</v>
      </c>
      <c r="AR135" s="316">
        <v>0</v>
      </c>
      <c r="AS135" s="316">
        <v>0</v>
      </c>
      <c r="AT135" s="316">
        <v>0</v>
      </c>
      <c r="AU135" s="316">
        <v>0</v>
      </c>
      <c r="AV135" s="129">
        <v>4.4070499999999998E-5</v>
      </c>
      <c r="AW135" s="129"/>
      <c r="AX135" s="129"/>
      <c r="AY135" s="129"/>
      <c r="AZ135" s="129"/>
      <c r="BA135" s="129">
        <v>8.3965400000000001E-4</v>
      </c>
      <c r="BB135" s="129">
        <v>2.6606000000000001E-2</v>
      </c>
      <c r="BC135" s="129">
        <v>2.0861000000000001E-2</v>
      </c>
      <c r="BD135" s="129">
        <v>5.646E-3</v>
      </c>
      <c r="BE135" s="129">
        <v>8.8570000000000003E-3</v>
      </c>
      <c r="BF135" s="129">
        <v>4.045E-3</v>
      </c>
      <c r="BG135" s="130">
        <v>4.6900000000000002E-4</v>
      </c>
      <c r="BH135" s="130">
        <v>3.2299999999999999E-4</v>
      </c>
      <c r="BI135" s="130">
        <v>3.7199999999999999E-4</v>
      </c>
      <c r="BJ135" s="130">
        <v>3.2299999999999999E-4</v>
      </c>
      <c r="BK135" s="130">
        <v>2.8299999999999999E-4</v>
      </c>
    </row>
    <row r="136" spans="1:63">
      <c r="A136">
        <f t="shared" si="1"/>
        <v>133</v>
      </c>
      <c r="B136" t="s">
        <v>115</v>
      </c>
      <c r="C136" t="str">
        <f>INDEX(EPD_Measures,3)</f>
        <v>Eutrophication potential</v>
      </c>
      <c r="D136" t="str">
        <f>INDEX(EPD_Calc_Units,3)</f>
        <v>kg</v>
      </c>
      <c r="E136" s="123">
        <v>1.19517E-4</v>
      </c>
      <c r="F136" s="123">
        <f>E136*'Supplemental LCA Data'!$E$53</f>
        <v>1.1032338461538462E-4</v>
      </c>
      <c r="G136" s="123">
        <v>1.8300000000000001E-6</v>
      </c>
      <c r="H136" s="123">
        <v>2.4499999999999998E-6</v>
      </c>
      <c r="I136" s="123">
        <v>1.82518E-6</v>
      </c>
      <c r="J136" s="123">
        <v>2.4499999999999998E-6</v>
      </c>
      <c r="K136" s="123"/>
      <c r="L136" s="123"/>
      <c r="M136" s="123">
        <v>0</v>
      </c>
      <c r="N136" s="123">
        <v>0</v>
      </c>
      <c r="O136" s="123">
        <v>0</v>
      </c>
      <c r="P136" s="123">
        <f>'Supplemental LCA Data'!$AC$47</f>
        <v>1.9624831959085375E-4</v>
      </c>
      <c r="Q136" s="123">
        <f>'Supplemental LCA Data'!$AD$47</f>
        <v>4.226795252829316E-5</v>
      </c>
      <c r="R136" s="123">
        <f>'Supplemental LCA Data'!$AE$47</f>
        <v>8.7898401280121123E-4</v>
      </c>
      <c r="S136" s="123">
        <f>'Supplemental LCA Data'!$AF$47</f>
        <v>0.24926944204227258</v>
      </c>
      <c r="T136" s="123">
        <f>'Supplemental LCA Data'!$AG$47</f>
        <v>4.226795252829316E-5</v>
      </c>
      <c r="U136" s="123">
        <f>'Supplemental LCA Data'!$AH$47</f>
        <v>5.0085842055944255E-2</v>
      </c>
      <c r="V136" s="123"/>
      <c r="W136" s="123"/>
      <c r="X136" s="123"/>
      <c r="Y136" s="123"/>
      <c r="Z136" s="123"/>
      <c r="AA136" s="123"/>
      <c r="AB136" s="123"/>
      <c r="AC136" s="123"/>
      <c r="AD136" s="123"/>
      <c r="AE136" s="123"/>
      <c r="AF136" s="123"/>
      <c r="AG136" s="123"/>
      <c r="AH136" s="123"/>
      <c r="AI136" s="123"/>
      <c r="AJ136" s="123"/>
      <c r="AK136" s="123"/>
      <c r="AL136" s="123"/>
      <c r="AM136" s="123">
        <v>0</v>
      </c>
      <c r="AN136" s="123">
        <v>0</v>
      </c>
      <c r="AO136" s="123">
        <v>0</v>
      </c>
      <c r="AP136" s="316">
        <v>0</v>
      </c>
      <c r="AQ136" s="316">
        <v>0</v>
      </c>
      <c r="AR136" s="316">
        <v>0</v>
      </c>
      <c r="AS136" s="316">
        <v>0</v>
      </c>
      <c r="AT136" s="316">
        <v>0</v>
      </c>
      <c r="AU136" s="316">
        <v>0</v>
      </c>
      <c r="AV136" s="129">
        <v>1.0601799999999999E-6</v>
      </c>
      <c r="AW136" s="129"/>
      <c r="AX136" s="129"/>
      <c r="AY136" s="129"/>
      <c r="AZ136" s="129"/>
      <c r="BA136" s="129">
        <v>4.0302700000000003E-5</v>
      </c>
      <c r="BB136" s="129">
        <v>1.722E-3</v>
      </c>
      <c r="BC136" s="129">
        <v>2.05E-4</v>
      </c>
      <c r="BD136" s="129">
        <v>3.9599999999999998E-4</v>
      </c>
      <c r="BE136" s="129">
        <v>6.0300000000000002E-4</v>
      </c>
      <c r="BF136" s="129">
        <v>2.8299999999999999E-4</v>
      </c>
      <c r="BG136" s="130">
        <v>3.0800000000000003E-5</v>
      </c>
      <c r="BH136" s="130">
        <v>2.1500000000000001E-5</v>
      </c>
      <c r="BI136" s="130">
        <v>2.3799999999999999E-5</v>
      </c>
      <c r="BJ136" s="130">
        <v>2.0699999999999998E-5</v>
      </c>
      <c r="BK136" s="130">
        <v>1.8300000000000001E-5</v>
      </c>
    </row>
    <row r="137" spans="1:63">
      <c r="A137">
        <f t="shared" si="1"/>
        <v>134</v>
      </c>
      <c r="B137" t="s">
        <v>115</v>
      </c>
      <c r="C137" t="str">
        <f>INDEX(EPD_Measures,4)</f>
        <v>Smog creation potential</v>
      </c>
      <c r="D137" t="str">
        <f>INDEX(EPD_Calc_Units,4)</f>
        <v>kg</v>
      </c>
      <c r="E137" s="123">
        <v>4.3573646000000001E-2</v>
      </c>
      <c r="F137" s="123">
        <f>E137*'Supplemental LCA Data'!$E$55</f>
        <v>3.9034724541666663E-2</v>
      </c>
      <c r="G137" s="123">
        <v>9.7099999999999997E-4</v>
      </c>
      <c r="H137" s="123">
        <v>1.142E-3</v>
      </c>
      <c r="I137" s="123">
        <v>9.68489E-4</v>
      </c>
      <c r="J137" s="123">
        <v>1.142E-3</v>
      </c>
      <c r="K137" s="123"/>
      <c r="L137" s="123"/>
      <c r="M137" s="123">
        <v>0</v>
      </c>
      <c r="N137" s="123">
        <v>0</v>
      </c>
      <c r="O137" s="123">
        <v>0</v>
      </c>
      <c r="P137" s="123">
        <f>'Supplemental LCA Data'!$AC$48</f>
        <v>8.7017595456788718E-3</v>
      </c>
      <c r="Q137" s="123">
        <f>'Supplemental LCA Data'!$AD$48</f>
        <v>1.3524104726696053E-2</v>
      </c>
      <c r="R137" s="123">
        <f>'Supplemental LCA Data'!$AE$48</f>
        <v>5.7241581200289861E-2</v>
      </c>
      <c r="S137" s="123">
        <f>'Supplemental LCA Data'!$AF$48</f>
        <v>43.192743848068233</v>
      </c>
      <c r="T137" s="123">
        <f>'Supplemental LCA Data'!$AG$48</f>
        <v>1.3524104726696053E-2</v>
      </c>
      <c r="U137" s="123">
        <f>'Supplemental LCA Data'!$AH$48</f>
        <v>8.6571470796535195</v>
      </c>
      <c r="V137" s="123"/>
      <c r="W137" s="123"/>
      <c r="X137" s="123"/>
      <c r="Y137" s="123"/>
      <c r="Z137" s="123"/>
      <c r="AA137" s="123"/>
      <c r="AB137" s="123"/>
      <c r="AC137" s="123"/>
      <c r="AD137" s="123"/>
      <c r="AE137" s="123"/>
      <c r="AF137" s="123"/>
      <c r="AG137" s="123"/>
      <c r="AH137" s="123"/>
      <c r="AI137" s="123"/>
      <c r="AJ137" s="123"/>
      <c r="AK137" s="123"/>
      <c r="AL137" s="123"/>
      <c r="AM137" s="123">
        <v>0</v>
      </c>
      <c r="AN137" s="123">
        <v>0</v>
      </c>
      <c r="AO137" s="123">
        <v>0</v>
      </c>
      <c r="AP137" s="316">
        <v>0</v>
      </c>
      <c r="AQ137" s="316">
        <v>0</v>
      </c>
      <c r="AR137" s="316">
        <v>0</v>
      </c>
      <c r="AS137" s="316">
        <v>0</v>
      </c>
      <c r="AT137" s="316">
        <v>0</v>
      </c>
      <c r="AU137" s="316">
        <v>0</v>
      </c>
      <c r="AV137" s="129">
        <v>4.3635800000000003E-4</v>
      </c>
      <c r="AW137" s="129"/>
      <c r="AX137" s="129"/>
      <c r="AY137" s="129"/>
      <c r="AZ137" s="129"/>
      <c r="BA137" s="129">
        <v>0.241503051</v>
      </c>
      <c r="BB137" s="129">
        <v>0.90166400000000002</v>
      </c>
      <c r="BC137" s="129">
        <v>5.2539000000000002E-2</v>
      </c>
      <c r="BD137" s="129">
        <v>0.13974</v>
      </c>
      <c r="BE137" s="129">
        <v>0.24854699999999999</v>
      </c>
      <c r="BF137" s="129">
        <v>0.10738499999999999</v>
      </c>
      <c r="BG137" s="130">
        <v>1.5133000000000001E-2</v>
      </c>
      <c r="BH137" s="130">
        <v>1.0231000000000001E-2</v>
      </c>
      <c r="BI137" s="130">
        <v>1.2799E-2</v>
      </c>
      <c r="BJ137" s="130">
        <v>1.1180000000000001E-2</v>
      </c>
      <c r="BK137" s="130">
        <v>9.5029999999999993E-3</v>
      </c>
    </row>
    <row r="138" spans="1:63">
      <c r="A138">
        <f t="shared" si="1"/>
        <v>135</v>
      </c>
      <c r="B138" t="s">
        <v>115</v>
      </c>
      <c r="C138" t="str">
        <f>INDEX(EPD_Measures,5)</f>
        <v>Ozone depletion potential</v>
      </c>
      <c r="D138" t="str">
        <f>INDEX(EPD_Calc_Units,5)</f>
        <v>kg</v>
      </c>
      <c r="E138" s="123">
        <v>9.7437700000000002E-12</v>
      </c>
      <c r="F138" s="123">
        <f>E138*'Supplemental LCA Data'!$E$56</f>
        <v>8.5036538181818166E-12</v>
      </c>
      <c r="G138" s="123">
        <v>9.4099999999999998E-14</v>
      </c>
      <c r="H138" s="123">
        <v>9.67E-11</v>
      </c>
      <c r="I138" s="123">
        <v>9.1836700000000004E-14</v>
      </c>
      <c r="J138" s="123">
        <v>9.67E-11</v>
      </c>
      <c r="K138" s="123"/>
      <c r="L138" s="123"/>
      <c r="M138" s="123">
        <v>0</v>
      </c>
      <c r="N138" s="123">
        <v>0</v>
      </c>
      <c r="O138" s="123">
        <v>0</v>
      </c>
      <c r="P138" s="123">
        <f>'Supplemental LCA Data'!$AC$49</f>
        <v>4.817994588850506E-10</v>
      </c>
      <c r="Q138" s="123">
        <f>'Supplemental LCA Data'!$AD$49</f>
        <v>0</v>
      </c>
      <c r="R138" s="123">
        <f>'Supplemental LCA Data'!$AE$49</f>
        <v>2.4089972944252421E-9</v>
      </c>
      <c r="S138" s="123">
        <f>'Supplemental LCA Data'!$AF$49</f>
        <v>3.2599963386576577E-9</v>
      </c>
      <c r="T138" s="123">
        <f>'Supplemental LCA Data'!$AG$49</f>
        <v>0</v>
      </c>
      <c r="U138" s="123">
        <f>'Supplemental LCA Data'!$AH$49</f>
        <v>1.2301586183935901E-9</v>
      </c>
      <c r="V138" s="123"/>
      <c r="W138" s="123"/>
      <c r="X138" s="123"/>
      <c r="Y138" s="123"/>
      <c r="Z138" s="123"/>
      <c r="AA138" s="123"/>
      <c r="AB138" s="123"/>
      <c r="AC138" s="123"/>
      <c r="AD138" s="123"/>
      <c r="AE138" s="123"/>
      <c r="AF138" s="123"/>
      <c r="AG138" s="123"/>
      <c r="AH138" s="123"/>
      <c r="AI138" s="123"/>
      <c r="AJ138" s="123"/>
      <c r="AK138" s="123"/>
      <c r="AL138" s="123"/>
      <c r="AM138" s="123">
        <v>0</v>
      </c>
      <c r="AN138" s="123">
        <v>0</v>
      </c>
      <c r="AO138" s="123">
        <v>0</v>
      </c>
      <c r="AP138" s="316">
        <v>0</v>
      </c>
      <c r="AQ138" s="316">
        <v>0</v>
      </c>
      <c r="AR138" s="316">
        <v>0</v>
      </c>
      <c r="AS138" s="316">
        <v>0</v>
      </c>
      <c r="AT138" s="316">
        <v>0</v>
      </c>
      <c r="AU138" s="316">
        <v>0</v>
      </c>
      <c r="AV138" s="129">
        <v>3.7480900000000002E-13</v>
      </c>
      <c r="AW138" s="129"/>
      <c r="AX138" s="129"/>
      <c r="AY138" s="129"/>
      <c r="AZ138" s="129"/>
      <c r="BA138" s="129">
        <v>9.58911E-14</v>
      </c>
      <c r="BB138" s="129">
        <v>1.16E-10</v>
      </c>
      <c r="BC138" s="129">
        <v>1.6799999999999999E-12</v>
      </c>
      <c r="BD138" s="129">
        <v>1.2999999999999999E-10</v>
      </c>
      <c r="BE138" s="129">
        <v>1.41E-10</v>
      </c>
      <c r="BF138" s="129">
        <v>8.1099999999999997E-11</v>
      </c>
      <c r="BG138" s="130">
        <v>3.5300000000000001E-12</v>
      </c>
      <c r="BH138" s="130">
        <v>3.1599999999999999E-12</v>
      </c>
      <c r="BI138" s="130">
        <v>8.4099999999999995E-13</v>
      </c>
      <c r="BJ138" s="130">
        <v>6.9599999999999996E-13</v>
      </c>
      <c r="BK138" s="130">
        <v>1.2499999999999999E-12</v>
      </c>
    </row>
    <row r="139" spans="1:63">
      <c r="A139">
        <f t="shared" si="1"/>
        <v>136</v>
      </c>
      <c r="B139" t="s">
        <v>115</v>
      </c>
      <c r="C139" t="str">
        <f>INDEX(EPD_Measures,6)</f>
        <v>Total primary energy consumption</v>
      </c>
      <c r="D139" t="str">
        <f>INDEX(EPD_Calc_Units,6)</f>
        <v>MJ</v>
      </c>
      <c r="E139" s="123">
        <v>6.0244970530000002</v>
      </c>
      <c r="F139" s="123">
        <f>E139*'Supplemental LCA Data'!$E$50</f>
        <v>5.4784701297673708</v>
      </c>
      <c r="G139" s="123">
        <v>6.8908999999999998E-2</v>
      </c>
      <c r="H139" s="123">
        <v>5.3235999999999999E-2</v>
      </c>
      <c r="I139" s="123">
        <v>4.4777233E-2</v>
      </c>
      <c r="J139" s="123">
        <v>5.3235999999999999E-2</v>
      </c>
      <c r="K139" s="123">
        <v>0</v>
      </c>
      <c r="L139" s="123">
        <v>0</v>
      </c>
      <c r="M139" s="123">
        <v>0</v>
      </c>
      <c r="N139" s="123">
        <v>0</v>
      </c>
      <c r="O139" s="123">
        <v>0</v>
      </c>
      <c r="P139" s="123">
        <f>'Supplemental LCA Data'!$AC$50</f>
        <v>2.099997641465547</v>
      </c>
      <c r="Q139" s="123">
        <f>'Supplemental LCA Data'!$AD$50</f>
        <v>4.5999948336864307</v>
      </c>
      <c r="R139" s="123">
        <f>'Supplemental LCA Data'!$AE$50</f>
        <v>22.799974393054555</v>
      </c>
      <c r="S139" s="123">
        <f>'Supplemental LCA Data'!$AF$50</f>
        <v>18.299979447056902</v>
      </c>
      <c r="T139" s="123">
        <f>'Supplemental LCA Data'!$AG$50</f>
        <v>4.5999948336864307</v>
      </c>
      <c r="U139" s="123">
        <f>'Supplemental LCA Data'!$AH$50</f>
        <v>10.479988229789974</v>
      </c>
      <c r="V139" s="123">
        <v>57.506173091793869</v>
      </c>
      <c r="W139" s="123">
        <f>'Supplemental LCA Data'!$B$72/1000</f>
        <v>17.379305548594214</v>
      </c>
      <c r="X139" s="123">
        <f>'Supplemental LCA Data'!$C$72/1000</f>
        <v>21.115558668452628</v>
      </c>
      <c r="Y139" s="123">
        <f>'Supplemental LCA Data'!$D$72/1000</f>
        <v>25.458767950129285</v>
      </c>
      <c r="Z139" s="123">
        <f t="shared" si="3"/>
        <v>19.117236103453639</v>
      </c>
      <c r="AA139" s="123">
        <v>0</v>
      </c>
      <c r="AB139" s="123">
        <v>0</v>
      </c>
      <c r="AC139" s="123">
        <f t="shared" si="2"/>
        <v>17.379305548594214</v>
      </c>
      <c r="AD139" s="123">
        <v>0</v>
      </c>
      <c r="AE139" s="123">
        <v>0</v>
      </c>
      <c r="AF139" s="123">
        <v>0</v>
      </c>
      <c r="AG139" s="123">
        <v>111.41336281293017</v>
      </c>
      <c r="AH139" s="123">
        <v>96.934631722060175</v>
      </c>
      <c r="AI139" s="123">
        <v>3.4310468673118439</v>
      </c>
      <c r="AJ139" s="123">
        <v>7.079849022399789</v>
      </c>
      <c r="AK139" s="123">
        <v>88.609789579499989</v>
      </c>
      <c r="AL139" s="123">
        <v>75.869011043824344</v>
      </c>
      <c r="AM139" s="123">
        <v>0</v>
      </c>
      <c r="AN139" s="123">
        <v>0</v>
      </c>
      <c r="AO139" s="123">
        <v>0</v>
      </c>
      <c r="AP139" s="316">
        <v>0</v>
      </c>
      <c r="AQ139" s="316">
        <v>0</v>
      </c>
      <c r="AR139" s="316">
        <v>0</v>
      </c>
      <c r="AS139" s="316">
        <v>0</v>
      </c>
      <c r="AT139" s="316">
        <v>0</v>
      </c>
      <c r="AU139" s="316">
        <v>0</v>
      </c>
      <c r="AV139" s="129">
        <v>4.0219103220000001</v>
      </c>
      <c r="AW139" s="129">
        <v>3.6</v>
      </c>
      <c r="AX139" s="129">
        <v>3.6</v>
      </c>
      <c r="AY139" s="129">
        <v>3.6</v>
      </c>
      <c r="AZ139" s="129">
        <v>3.6</v>
      </c>
      <c r="BA139" s="129">
        <v>3.4579025999999999E-2</v>
      </c>
      <c r="BB139" s="129">
        <v>41.990099999999998</v>
      </c>
      <c r="BC139" s="129">
        <v>43.209249999999997</v>
      </c>
      <c r="BD139" s="129">
        <v>46.983649999999997</v>
      </c>
      <c r="BE139" s="129">
        <v>51.126690000000004</v>
      </c>
      <c r="BF139" s="129">
        <v>29.343319999999999</v>
      </c>
      <c r="BG139" s="130">
        <v>1.2783040000000001</v>
      </c>
      <c r="BH139" s="130">
        <v>1.14236</v>
      </c>
      <c r="BI139" s="130">
        <v>0.30436299999999999</v>
      </c>
      <c r="BJ139" s="130">
        <v>0.25176399999999999</v>
      </c>
      <c r="BK139" s="130">
        <v>0.45051000000000002</v>
      </c>
    </row>
    <row r="140" spans="1:63">
      <c r="A140">
        <f t="shared" si="1"/>
        <v>137</v>
      </c>
      <c r="B140" t="s">
        <v>115</v>
      </c>
      <c r="C140" t="str">
        <f>INDEX(EPD_Measures,7)</f>
        <v>Nonrenewable energy resources</v>
      </c>
      <c r="D140" t="str">
        <f>INDEX(EPD_Calc_Units,7)</f>
        <v>MJ</v>
      </c>
      <c r="E140" s="123">
        <v>5.4599079870000002</v>
      </c>
      <c r="F140" s="123">
        <f>E140*'Supplemental LCA Data'!$E$51</f>
        <v>4.954844728234451</v>
      </c>
      <c r="G140" s="123">
        <v>3.6034999999999998E-2</v>
      </c>
      <c r="H140" s="123">
        <v>4.2266999999999999E-2</v>
      </c>
      <c r="I140" s="123">
        <v>3.3819254999999999E-2</v>
      </c>
      <c r="J140" s="123">
        <v>4.2266999999999999E-2</v>
      </c>
      <c r="K140" s="123"/>
      <c r="L140" s="123"/>
      <c r="M140" s="123">
        <v>0</v>
      </c>
      <c r="N140" s="123">
        <v>0</v>
      </c>
      <c r="O140" s="123">
        <v>0</v>
      </c>
      <c r="P140" s="123">
        <f>'Supplemental LCA Data'!$AC$51</f>
        <v>2.099997641465547</v>
      </c>
      <c r="Q140" s="123">
        <f>'Supplemental LCA Data'!$AD$51</f>
        <v>4.5999948336864307</v>
      </c>
      <c r="R140" s="123">
        <f>'Supplemental LCA Data'!$AE$51</f>
        <v>22.799974393054555</v>
      </c>
      <c r="S140" s="123">
        <f>'Supplemental LCA Data'!$AF$51</f>
        <v>18.299979447056902</v>
      </c>
      <c r="T140" s="123">
        <f>'Supplemental LCA Data'!$AG$51</f>
        <v>4.5999948336864307</v>
      </c>
      <c r="U140" s="123">
        <f>'Supplemental LCA Data'!$AH$51</f>
        <v>10.479988229789974</v>
      </c>
      <c r="V140" s="123"/>
      <c r="W140" s="123"/>
      <c r="X140" s="123"/>
      <c r="Y140" s="123"/>
      <c r="Z140" s="123"/>
      <c r="AA140" s="123"/>
      <c r="AB140" s="123"/>
      <c r="AC140" s="123"/>
      <c r="AD140" s="123"/>
      <c r="AE140" s="123"/>
      <c r="AF140" s="123"/>
      <c r="AG140" s="123"/>
      <c r="AH140" s="123"/>
      <c r="AI140" s="123"/>
      <c r="AJ140" s="123"/>
      <c r="AK140" s="123"/>
      <c r="AL140" s="123"/>
      <c r="AM140" s="123">
        <v>0</v>
      </c>
      <c r="AN140" s="123">
        <v>0</v>
      </c>
      <c r="AO140" s="123">
        <v>0</v>
      </c>
      <c r="AP140" s="316">
        <v>0</v>
      </c>
      <c r="AQ140" s="316">
        <v>0</v>
      </c>
      <c r="AR140" s="316">
        <v>0</v>
      </c>
      <c r="AS140" s="316">
        <v>0</v>
      </c>
      <c r="AT140" s="316">
        <v>0</v>
      </c>
      <c r="AU140" s="316">
        <v>0</v>
      </c>
      <c r="AV140" s="129">
        <v>0.36925086600000001</v>
      </c>
      <c r="AW140" s="129"/>
      <c r="AX140" s="129"/>
      <c r="AY140" s="129"/>
      <c r="AZ140" s="129"/>
      <c r="BA140" s="129">
        <v>3.4579025999999999E-2</v>
      </c>
      <c r="BB140" s="129">
        <v>41.929009999999998</v>
      </c>
      <c r="BC140" s="129">
        <v>43.189610000000002</v>
      </c>
      <c r="BD140" s="129">
        <v>46.915320000000001</v>
      </c>
      <c r="BE140" s="129">
        <v>51.052590000000002</v>
      </c>
      <c r="BF140" s="129">
        <v>29.300560000000001</v>
      </c>
      <c r="BG140" s="130">
        <v>1.276451</v>
      </c>
      <c r="BH140" s="130">
        <v>1.1407039999999999</v>
      </c>
      <c r="BI140" s="130">
        <v>0.303921</v>
      </c>
      <c r="BJ140" s="130">
        <v>0.25139899999999998</v>
      </c>
      <c r="BK140" s="130">
        <v>0.44985700000000001</v>
      </c>
    </row>
    <row r="141" spans="1:63">
      <c r="A141">
        <f t="shared" si="1"/>
        <v>138</v>
      </c>
      <c r="B141" t="s">
        <v>115</v>
      </c>
      <c r="C141" t="str">
        <f>INDEX(EPD_Measures,8)</f>
        <v>Renewable energy resources</v>
      </c>
      <c r="D141" t="str">
        <f>INDEX(EPD_Calc_Units,8)</f>
        <v>MJ</v>
      </c>
      <c r="E141" s="123">
        <v>0.56458906600000003</v>
      </c>
      <c r="F141" s="123">
        <f>E141*'Supplemental LCA Data'!$E$57</f>
        <v>0.51236232624242439</v>
      </c>
      <c r="G141" s="123">
        <v>3.2874E-2</v>
      </c>
      <c r="H141" s="123">
        <v>1.0969E-2</v>
      </c>
      <c r="I141" s="123">
        <v>1.0957978E-2</v>
      </c>
      <c r="J141" s="123">
        <v>1.0969E-2</v>
      </c>
      <c r="K141" s="123"/>
      <c r="L141" s="123"/>
      <c r="M141" s="123">
        <v>0</v>
      </c>
      <c r="N141" s="123">
        <v>0</v>
      </c>
      <c r="O141" s="123">
        <v>0</v>
      </c>
      <c r="P141" s="123">
        <f>'Supplemental LCA Data'!$AC$52</f>
        <v>0</v>
      </c>
      <c r="Q141" s="123">
        <f>'Supplemental LCA Data'!$AD$52</f>
        <v>0</v>
      </c>
      <c r="R141" s="123">
        <f>'Supplemental LCA Data'!$AE$52</f>
        <v>0</v>
      </c>
      <c r="S141" s="123">
        <f>'Supplemental LCA Data'!$AF$52</f>
        <v>0</v>
      </c>
      <c r="T141" s="123">
        <f>'Supplemental LCA Data'!$AG$52</f>
        <v>0</v>
      </c>
      <c r="U141" s="123">
        <f>'Supplemental LCA Data'!$AH$52</f>
        <v>0</v>
      </c>
      <c r="V141" s="123"/>
      <c r="W141" s="123"/>
      <c r="X141" s="123"/>
      <c r="Y141" s="123"/>
      <c r="Z141" s="123"/>
      <c r="AA141" s="123"/>
      <c r="AB141" s="123"/>
      <c r="AC141" s="123"/>
      <c r="AD141" s="123"/>
      <c r="AE141" s="123"/>
      <c r="AF141" s="123"/>
      <c r="AG141" s="123"/>
      <c r="AH141" s="123"/>
      <c r="AI141" s="123"/>
      <c r="AJ141" s="123"/>
      <c r="AK141" s="123"/>
      <c r="AL141" s="123"/>
      <c r="AM141" s="123">
        <v>0</v>
      </c>
      <c r="AN141" s="123">
        <v>0</v>
      </c>
      <c r="AO141" s="123">
        <v>0</v>
      </c>
      <c r="AP141" s="316">
        <v>0</v>
      </c>
      <c r="AQ141" s="316">
        <v>0</v>
      </c>
      <c r="AR141" s="316">
        <v>0</v>
      </c>
      <c r="AS141" s="316">
        <v>0</v>
      </c>
      <c r="AT141" s="316">
        <v>0</v>
      </c>
      <c r="AU141" s="316">
        <v>0</v>
      </c>
      <c r="AV141" s="129">
        <v>3.6526594559999999</v>
      </c>
      <c r="AW141" s="129"/>
      <c r="AX141" s="129"/>
      <c r="AY141" s="129"/>
      <c r="AZ141" s="129"/>
      <c r="BA141" s="129">
        <v>0</v>
      </c>
      <c r="BB141" s="129">
        <v>6.1093000000000001E-2</v>
      </c>
      <c r="BC141" s="129">
        <v>1.9647000000000001E-2</v>
      </c>
      <c r="BD141" s="129">
        <v>6.8331000000000003E-2</v>
      </c>
      <c r="BE141" s="129">
        <v>7.4106000000000005E-2</v>
      </c>
      <c r="BF141" s="129">
        <v>4.2762000000000001E-2</v>
      </c>
      <c r="BG141" s="130">
        <v>1.853E-3</v>
      </c>
      <c r="BH141" s="130">
        <v>1.6559999999999999E-3</v>
      </c>
      <c r="BI141" s="130">
        <v>4.4099999999999999E-4</v>
      </c>
      <c r="BJ141" s="130">
        <v>3.6499999999999998E-4</v>
      </c>
      <c r="BK141" s="130">
        <v>6.5300000000000004E-4</v>
      </c>
    </row>
    <row r="142" spans="1:63">
      <c r="A142">
        <f t="shared" si="1"/>
        <v>139</v>
      </c>
      <c r="B142" t="s">
        <v>115</v>
      </c>
      <c r="C142" t="str">
        <f>INDEX(EPD_Measures,9)</f>
        <v>Material resources consumption</v>
      </c>
      <c r="D142" t="str">
        <f>INDEX(EPD_Calc_Units,9)</f>
        <v>kg</v>
      </c>
      <c r="E142" s="123">
        <v>1.6540299999999999</v>
      </c>
      <c r="F142" s="123">
        <f>E142*'Supplemental LCA Data'!$E$58</f>
        <v>1.6540299999999999</v>
      </c>
      <c r="G142" s="123">
        <v>1.0000015600000001</v>
      </c>
      <c r="H142" s="123">
        <v>1.0000021111778816</v>
      </c>
      <c r="I142" s="123">
        <v>1.0000015600000001</v>
      </c>
      <c r="J142" s="123">
        <v>1.0000021111778816</v>
      </c>
      <c r="K142" s="123"/>
      <c r="L142" s="123"/>
      <c r="M142" s="123">
        <v>0</v>
      </c>
      <c r="N142" s="123">
        <v>0</v>
      </c>
      <c r="O142" s="123">
        <v>0</v>
      </c>
      <c r="P142" s="123">
        <f>'Supplemental LCA Data'!$AC$53</f>
        <v>0</v>
      </c>
      <c r="Q142" s="123">
        <f>'Supplemental LCA Data'!$AD$53</f>
        <v>0</v>
      </c>
      <c r="R142" s="123">
        <f>'Supplemental LCA Data'!$AE$53</f>
        <v>0</v>
      </c>
      <c r="S142" s="123">
        <f>'Supplemental LCA Data'!$AF$53</f>
        <v>0</v>
      </c>
      <c r="T142" s="123">
        <f>'Supplemental LCA Data'!$AG$53</f>
        <v>0</v>
      </c>
      <c r="U142" s="123">
        <f>'Supplemental LCA Data'!$AH$53</f>
        <v>0</v>
      </c>
      <c r="V142" s="123"/>
      <c r="W142" s="123"/>
      <c r="X142" s="123"/>
      <c r="Y142" s="123"/>
      <c r="Z142" s="123"/>
      <c r="AA142" s="123"/>
      <c r="AB142" s="123"/>
      <c r="AC142" s="123"/>
      <c r="AD142" s="123"/>
      <c r="AE142" s="123"/>
      <c r="AF142" s="123"/>
      <c r="AG142" s="123"/>
      <c r="AH142" s="123"/>
      <c r="AI142" s="123"/>
      <c r="AJ142" s="123"/>
      <c r="AK142" s="123"/>
      <c r="AL142" s="123"/>
      <c r="AM142" s="123">
        <v>0</v>
      </c>
      <c r="AN142" s="123">
        <v>0</v>
      </c>
      <c r="AO142" s="123">
        <v>0</v>
      </c>
      <c r="AP142" s="316">
        <v>0</v>
      </c>
      <c r="AQ142" s="316">
        <v>0</v>
      </c>
      <c r="AR142" s="316">
        <v>0</v>
      </c>
      <c r="AS142" s="316">
        <v>0</v>
      </c>
      <c r="AT142" s="316">
        <v>0</v>
      </c>
      <c r="AU142" s="316">
        <v>0</v>
      </c>
      <c r="AV142" s="129">
        <v>0</v>
      </c>
      <c r="AW142" s="129"/>
      <c r="AX142" s="129"/>
      <c r="AY142" s="129"/>
      <c r="AZ142" s="129"/>
      <c r="BA142" s="129">
        <v>0.84323164500000003</v>
      </c>
      <c r="BB142" s="129">
        <v>0</v>
      </c>
      <c r="BC142" s="129">
        <v>0</v>
      </c>
      <c r="BD142" s="129">
        <v>0</v>
      </c>
      <c r="BE142" s="129">
        <v>0</v>
      </c>
      <c r="BF142" s="129">
        <v>0</v>
      </c>
      <c r="BG142" s="130">
        <v>0</v>
      </c>
      <c r="BH142" s="130">
        <v>0</v>
      </c>
      <c r="BI142" s="130">
        <v>0</v>
      </c>
      <c r="BJ142" s="130">
        <v>0</v>
      </c>
      <c r="BK142" s="130">
        <v>0</v>
      </c>
    </row>
    <row r="143" spans="1:63">
      <c r="A143">
        <f t="shared" si="1"/>
        <v>140</v>
      </c>
      <c r="B143" t="s">
        <v>115</v>
      </c>
      <c r="C143" t="str">
        <f>INDEX(EPD_Measures,10)</f>
        <v>Nonrenewable material resources</v>
      </c>
      <c r="D143" t="str">
        <f>INDEX(EPD_Calc_Units,10)</f>
        <v>kg</v>
      </c>
      <c r="E143" s="123">
        <v>1.6540299999999999</v>
      </c>
      <c r="F143" s="123">
        <f>E143*'Supplemental LCA Data'!$E$59</f>
        <v>1.6540299999999999</v>
      </c>
      <c r="G143" s="123">
        <v>1</v>
      </c>
      <c r="H143" s="123">
        <v>1.0000001919173316</v>
      </c>
      <c r="I143" s="123">
        <v>1</v>
      </c>
      <c r="J143" s="123">
        <v>1.0000001919173316</v>
      </c>
      <c r="K143" s="123"/>
      <c r="L143" s="123"/>
      <c r="M143" s="123">
        <v>0</v>
      </c>
      <c r="N143" s="123">
        <v>0</v>
      </c>
      <c r="O143" s="123">
        <v>0</v>
      </c>
      <c r="P143" s="123">
        <f>'Supplemental LCA Data'!$AC$54</f>
        <v>0</v>
      </c>
      <c r="Q143" s="123">
        <f>'Supplemental LCA Data'!$AD$54</f>
        <v>0</v>
      </c>
      <c r="R143" s="123">
        <f>'Supplemental LCA Data'!$AE$54</f>
        <v>0</v>
      </c>
      <c r="S143" s="123">
        <f>'Supplemental LCA Data'!$AF$54</f>
        <v>0</v>
      </c>
      <c r="T143" s="123">
        <f>'Supplemental LCA Data'!$AG$54</f>
        <v>0</v>
      </c>
      <c r="U143" s="123">
        <f>'Supplemental LCA Data'!$AH$54</f>
        <v>0</v>
      </c>
      <c r="V143" s="123"/>
      <c r="W143" s="123"/>
      <c r="X143" s="123"/>
      <c r="Y143" s="123"/>
      <c r="Z143" s="123"/>
      <c r="AA143" s="123"/>
      <c r="AB143" s="123"/>
      <c r="AC143" s="123"/>
      <c r="AD143" s="123"/>
      <c r="AE143" s="123"/>
      <c r="AF143" s="123"/>
      <c r="AG143" s="123"/>
      <c r="AH143" s="123"/>
      <c r="AI143" s="123"/>
      <c r="AJ143" s="123"/>
      <c r="AK143" s="123"/>
      <c r="AL143" s="123"/>
      <c r="AM143" s="123">
        <v>0</v>
      </c>
      <c r="AN143" s="123">
        <v>0</v>
      </c>
      <c r="AO143" s="123">
        <v>0</v>
      </c>
      <c r="AP143" s="316">
        <v>0</v>
      </c>
      <c r="AQ143" s="316">
        <v>0</v>
      </c>
      <c r="AR143" s="316">
        <v>0</v>
      </c>
      <c r="AS143" s="316">
        <v>0</v>
      </c>
      <c r="AT143" s="316">
        <v>0</v>
      </c>
      <c r="AU143" s="316">
        <v>0</v>
      </c>
      <c r="AV143" s="129">
        <v>0</v>
      </c>
      <c r="AW143" s="129"/>
      <c r="AX143" s="129"/>
      <c r="AY143" s="129"/>
      <c r="AZ143" s="129"/>
      <c r="BA143" s="129">
        <v>0</v>
      </c>
      <c r="BB143" s="129">
        <v>0</v>
      </c>
      <c r="BC143" s="129">
        <v>0</v>
      </c>
      <c r="BD143" s="129">
        <v>0</v>
      </c>
      <c r="BE143" s="129">
        <v>0</v>
      </c>
      <c r="BF143" s="129">
        <v>0</v>
      </c>
      <c r="BG143" s="130">
        <v>0</v>
      </c>
      <c r="BH143" s="130">
        <v>0</v>
      </c>
      <c r="BI143" s="130">
        <v>0</v>
      </c>
      <c r="BJ143" s="130">
        <v>0</v>
      </c>
      <c r="BK143" s="130">
        <v>0</v>
      </c>
    </row>
    <row r="144" spans="1:63">
      <c r="A144">
        <f t="shared" si="1"/>
        <v>141</v>
      </c>
      <c r="B144" t="s">
        <v>115</v>
      </c>
      <c r="C144" t="str">
        <f>INDEX(EPD_Measures,11)</f>
        <v>Renewable material resources</v>
      </c>
      <c r="D144" t="str">
        <f>INDEX(EPD_Calc_Units,11)</f>
        <v>kg</v>
      </c>
      <c r="E144" s="123">
        <v>0</v>
      </c>
      <c r="F144" s="123">
        <f>E144*'Supplemental LCA Data'!$E$60</f>
        <v>0</v>
      </c>
      <c r="G144" s="123">
        <v>1.5600000000000001E-6</v>
      </c>
      <c r="H144" s="123">
        <v>1.9192605499999998E-6</v>
      </c>
      <c r="I144" s="123">
        <v>1.5600000000000001E-6</v>
      </c>
      <c r="J144" s="123">
        <v>1.9192605499999998E-6</v>
      </c>
      <c r="K144" s="123"/>
      <c r="L144" s="123"/>
      <c r="M144" s="123">
        <v>0</v>
      </c>
      <c r="N144" s="123">
        <v>0</v>
      </c>
      <c r="O144" s="123">
        <v>0</v>
      </c>
      <c r="P144" s="123">
        <f>'Supplemental LCA Data'!$AC$55</f>
        <v>0</v>
      </c>
      <c r="Q144" s="123">
        <f>'Supplemental LCA Data'!$AD$55</f>
        <v>0</v>
      </c>
      <c r="R144" s="123">
        <f>'Supplemental LCA Data'!$AE$55</f>
        <v>0</v>
      </c>
      <c r="S144" s="123">
        <f>'Supplemental LCA Data'!$AF$55</f>
        <v>0</v>
      </c>
      <c r="T144" s="123">
        <f>'Supplemental LCA Data'!$AG$55</f>
        <v>0</v>
      </c>
      <c r="U144" s="123">
        <f>'Supplemental LCA Data'!$AH$55</f>
        <v>0</v>
      </c>
      <c r="V144" s="123"/>
      <c r="W144" s="123"/>
      <c r="X144" s="123"/>
      <c r="Y144" s="123"/>
      <c r="Z144" s="123"/>
      <c r="AA144" s="123"/>
      <c r="AB144" s="123"/>
      <c r="AC144" s="123"/>
      <c r="AD144" s="123"/>
      <c r="AE144" s="123"/>
      <c r="AF144" s="123"/>
      <c r="AG144" s="123"/>
      <c r="AH144" s="123"/>
      <c r="AI144" s="123"/>
      <c r="AJ144" s="123"/>
      <c r="AK144" s="123"/>
      <c r="AL144" s="123"/>
      <c r="AM144" s="123">
        <v>0</v>
      </c>
      <c r="AN144" s="123">
        <v>0</v>
      </c>
      <c r="AO144" s="123">
        <v>0</v>
      </c>
      <c r="AP144" s="316">
        <v>0</v>
      </c>
      <c r="AQ144" s="316">
        <v>0</v>
      </c>
      <c r="AR144" s="316">
        <v>0</v>
      </c>
      <c r="AS144" s="316">
        <v>0</v>
      </c>
      <c r="AT144" s="316">
        <v>0</v>
      </c>
      <c r="AU144" s="316">
        <v>0</v>
      </c>
      <c r="AV144" s="129">
        <v>0</v>
      </c>
      <c r="AW144" s="129"/>
      <c r="AX144" s="129"/>
      <c r="AY144" s="129"/>
      <c r="AZ144" s="129"/>
      <c r="BA144" s="129">
        <v>0.84323164500000003</v>
      </c>
      <c r="BB144" s="129">
        <v>0</v>
      </c>
      <c r="BC144" s="129">
        <v>0</v>
      </c>
      <c r="BD144" s="129">
        <v>0</v>
      </c>
      <c r="BE144" s="129">
        <v>0</v>
      </c>
      <c r="BF144" s="129">
        <v>0</v>
      </c>
      <c r="BG144" s="130">
        <v>0</v>
      </c>
      <c r="BH144" s="130">
        <v>0</v>
      </c>
      <c r="BI144" s="130">
        <v>0</v>
      </c>
      <c r="BJ144" s="130">
        <v>0</v>
      </c>
      <c r="BK144" s="130">
        <v>0</v>
      </c>
    </row>
    <row r="145" spans="1:63">
      <c r="A145">
        <f t="shared" si="1"/>
        <v>142</v>
      </c>
      <c r="B145" t="s">
        <v>115</v>
      </c>
      <c r="C145" t="str">
        <f>INDEX(EPD_Measures,12)</f>
        <v>Net Fresh Water</v>
      </c>
      <c r="D145" t="str">
        <f>INDEX(EPD_Calc_Units,12)</f>
        <v>m3</v>
      </c>
      <c r="E145" s="123">
        <v>9.7039999999999995E-4</v>
      </c>
      <c r="F145" s="123">
        <f>E145*'Supplemental LCA Data'!$E$61</f>
        <v>8.7336E-4</v>
      </c>
      <c r="G145" s="123">
        <f>$G$1+0</f>
        <v>6.7500000000000004E-4</v>
      </c>
      <c r="H145" s="123">
        <f>$G$1+0.000000717</f>
        <v>6.7571700000000005E-4</v>
      </c>
      <c r="I145" s="123">
        <f>$G$1+0</f>
        <v>6.7500000000000004E-4</v>
      </c>
      <c r="J145" s="123">
        <f>$G$1+0.000000717</f>
        <v>6.7571700000000005E-4</v>
      </c>
      <c r="K145" s="123">
        <v>0</v>
      </c>
      <c r="L145" s="123">
        <v>0</v>
      </c>
      <c r="M145" s="123">
        <v>0</v>
      </c>
      <c r="N145" s="123">
        <v>0</v>
      </c>
      <c r="O145" s="123">
        <v>0</v>
      </c>
      <c r="P145" s="123">
        <f>'Supplemental LCA Data'!$AC$56</f>
        <v>0</v>
      </c>
      <c r="Q145" s="123">
        <f>'Supplemental LCA Data'!$AD$56</f>
        <v>0</v>
      </c>
      <c r="R145" s="123">
        <f>'Supplemental LCA Data'!$AE$56</f>
        <v>0</v>
      </c>
      <c r="S145" s="123">
        <f>'Supplemental LCA Data'!$AF$56</f>
        <v>0</v>
      </c>
      <c r="T145" s="123">
        <f>'Supplemental LCA Data'!$AG$56</f>
        <v>0</v>
      </c>
      <c r="U145" s="123">
        <f>'Supplemental LCA Data'!$AH$56</f>
        <v>0</v>
      </c>
      <c r="V145" s="123">
        <v>0.11500386618134965</v>
      </c>
      <c r="W145" s="123">
        <f>'Supplemental LCA Data'!$B$73/1000/1000</f>
        <v>1.3732079207907059E-2</v>
      </c>
      <c r="X145" s="123">
        <f>'Supplemental LCA Data'!$C$73/1000/1000</f>
        <v>1.389655434006113E-2</v>
      </c>
      <c r="Y145" s="123">
        <f>'Supplemental LCA Data'!$D$73/1000/1000</f>
        <v>1.4675578391799121E-2</v>
      </c>
      <c r="Z145" s="123">
        <f t="shared" si="3"/>
        <v>1.5105287128697766E-2</v>
      </c>
      <c r="AA145" s="123">
        <v>0</v>
      </c>
      <c r="AB145" s="123">
        <v>0</v>
      </c>
      <c r="AC145" s="123">
        <f t="shared" si="2"/>
        <v>1.3732079207907059E-2</v>
      </c>
      <c r="AD145" s="123">
        <v>0</v>
      </c>
      <c r="AE145" s="123">
        <v>0</v>
      </c>
      <c r="AF145" s="123">
        <v>0</v>
      </c>
      <c r="AG145" s="123">
        <v>6.6615854003756548E-4</v>
      </c>
      <c r="AH145" s="123">
        <v>8.5599624991234465E-3</v>
      </c>
      <c r="AI145" s="123">
        <v>3.5226266152208971E-4</v>
      </c>
      <c r="AJ145" s="123">
        <v>3.9507938615937904E-3</v>
      </c>
      <c r="AK145" s="123">
        <v>7.4033158500000001E-2</v>
      </c>
      <c r="AL145" s="123">
        <v>0</v>
      </c>
      <c r="AM145" s="123">
        <v>0</v>
      </c>
      <c r="AN145" s="123">
        <v>0</v>
      </c>
      <c r="AO145" s="123">
        <v>0</v>
      </c>
      <c r="AP145" s="316">
        <v>0</v>
      </c>
      <c r="AQ145" s="316">
        <v>0</v>
      </c>
      <c r="AR145" s="316">
        <v>0</v>
      </c>
      <c r="AS145" s="316">
        <v>0</v>
      </c>
      <c r="AT145" s="316">
        <v>0</v>
      </c>
      <c r="AU145" s="316">
        <v>0</v>
      </c>
      <c r="AV145" s="129">
        <v>0</v>
      </c>
      <c r="AW145" s="129">
        <v>0</v>
      </c>
      <c r="AX145" s="129">
        <v>0</v>
      </c>
      <c r="AY145" s="129">
        <v>0</v>
      </c>
      <c r="AZ145" s="129">
        <v>0</v>
      </c>
      <c r="BA145" s="129">
        <v>0</v>
      </c>
      <c r="BB145" s="129">
        <v>0</v>
      </c>
      <c r="BC145" s="129">
        <v>0</v>
      </c>
      <c r="BD145" s="129">
        <v>0</v>
      </c>
      <c r="BE145" s="129">
        <v>0</v>
      </c>
      <c r="BF145" s="129">
        <v>0</v>
      </c>
      <c r="BG145" s="130">
        <v>0</v>
      </c>
      <c r="BH145" s="130">
        <v>0</v>
      </c>
      <c r="BI145" s="130">
        <v>0</v>
      </c>
      <c r="BJ145" s="130">
        <v>0</v>
      </c>
      <c r="BK145" s="130">
        <v>0</v>
      </c>
    </row>
    <row r="146" spans="1:63">
      <c r="A146">
        <f t="shared" si="1"/>
        <v>143</v>
      </c>
      <c r="B146" t="s">
        <v>115</v>
      </c>
      <c r="C146" t="str">
        <f>INDEX(EPD_Measures,13)</f>
        <v>Non-hazardous waste generated</v>
      </c>
      <c r="D146" t="str">
        <f>INDEX(EPD_Calc_Units,13)</f>
        <v>kg</v>
      </c>
      <c r="E146" s="123">
        <v>5.1000000000000004E-3</v>
      </c>
      <c r="F146" s="123">
        <f>E146*'Supplemental LCA Data'!$E$62</f>
        <v>5.1000000000000004E-3</v>
      </c>
      <c r="G146" s="123">
        <v>0</v>
      </c>
      <c r="H146" s="123">
        <v>0</v>
      </c>
      <c r="I146" s="123">
        <v>0</v>
      </c>
      <c r="J146" s="123">
        <v>0</v>
      </c>
      <c r="K146" s="123"/>
      <c r="L146" s="123"/>
      <c r="M146" s="123">
        <v>0</v>
      </c>
      <c r="N146" s="123">
        <v>0</v>
      </c>
      <c r="O146" s="123">
        <v>0</v>
      </c>
      <c r="P146" s="123">
        <f>'Supplemental LCA Data'!$AC$57</f>
        <v>0</v>
      </c>
      <c r="Q146" s="123">
        <f>'Supplemental LCA Data'!$AD$57</f>
        <v>0</v>
      </c>
      <c r="R146" s="123">
        <f>'Supplemental LCA Data'!$AE$57</f>
        <v>0</v>
      </c>
      <c r="S146" s="123">
        <f>'Supplemental LCA Data'!$AF$57</f>
        <v>0</v>
      </c>
      <c r="T146" s="123">
        <f>'Supplemental LCA Data'!$AG$57</f>
        <v>0</v>
      </c>
      <c r="U146" s="123">
        <f>'Supplemental LCA Data'!$AH$57</f>
        <v>0</v>
      </c>
      <c r="V146" s="123"/>
      <c r="W146" s="123"/>
      <c r="X146" s="123"/>
      <c r="Y146" s="123"/>
      <c r="Z146" s="123"/>
      <c r="AA146" s="123"/>
      <c r="AB146" s="123"/>
      <c r="AC146" s="123"/>
      <c r="AD146" s="123"/>
      <c r="AE146" s="123"/>
      <c r="AF146" s="123"/>
      <c r="AG146" s="123"/>
      <c r="AH146" s="123"/>
      <c r="AI146" s="123"/>
      <c r="AJ146" s="123"/>
      <c r="AK146" s="123"/>
      <c r="AL146" s="123"/>
      <c r="AM146" s="123">
        <v>0</v>
      </c>
      <c r="AN146" s="123">
        <v>0</v>
      </c>
      <c r="AO146" s="123">
        <v>0</v>
      </c>
      <c r="AP146" s="316">
        <v>0</v>
      </c>
      <c r="AQ146" s="316">
        <v>0</v>
      </c>
      <c r="AR146" s="316">
        <v>0</v>
      </c>
      <c r="AS146" s="316">
        <v>0</v>
      </c>
      <c r="AT146" s="316">
        <v>0</v>
      </c>
      <c r="AU146" s="316">
        <v>0</v>
      </c>
      <c r="AV146" s="129">
        <v>0</v>
      </c>
      <c r="AW146" s="129"/>
      <c r="AX146" s="129"/>
      <c r="AY146" s="129"/>
      <c r="AZ146" s="129"/>
      <c r="BA146" s="129">
        <v>0</v>
      </c>
      <c r="BB146" s="129">
        <v>0</v>
      </c>
      <c r="BC146" s="129">
        <v>0</v>
      </c>
      <c r="BD146" s="129">
        <v>0</v>
      </c>
      <c r="BE146" s="129">
        <v>0</v>
      </c>
      <c r="BF146" s="129">
        <v>0</v>
      </c>
      <c r="BG146" s="130">
        <v>0</v>
      </c>
      <c r="BH146" s="130">
        <v>0</v>
      </c>
      <c r="BI146" s="130">
        <v>0</v>
      </c>
      <c r="BJ146" s="130">
        <v>0</v>
      </c>
      <c r="BK146" s="130">
        <v>0</v>
      </c>
    </row>
    <row r="147" spans="1:63">
      <c r="A147">
        <f t="shared" si="1"/>
        <v>144</v>
      </c>
      <c r="B147" t="s">
        <v>115</v>
      </c>
      <c r="C147" t="str">
        <f>INDEX(EPD_Measures,14)</f>
        <v>Hazardous waste generated</v>
      </c>
      <c r="D147" t="str">
        <f>INDEX(EPD_Calc_Units,14)</f>
        <v>kg</v>
      </c>
      <c r="E147" s="123">
        <v>0</v>
      </c>
      <c r="F147" s="123">
        <f>E147*'Supplemental LCA Data'!$E$63</f>
        <v>0</v>
      </c>
      <c r="G147" s="123">
        <v>0</v>
      </c>
      <c r="H147" s="123">
        <v>0</v>
      </c>
      <c r="I147" s="123">
        <v>0</v>
      </c>
      <c r="J147" s="123">
        <v>0</v>
      </c>
      <c r="K147" s="123"/>
      <c r="L147" s="123"/>
      <c r="M147" s="123">
        <v>0</v>
      </c>
      <c r="N147" s="123">
        <v>0</v>
      </c>
      <c r="O147" s="123">
        <v>0</v>
      </c>
      <c r="P147" s="123">
        <f>'Supplemental LCA Data'!$AC$58</f>
        <v>0</v>
      </c>
      <c r="Q147" s="123">
        <f>'Supplemental LCA Data'!$AD$58</f>
        <v>0</v>
      </c>
      <c r="R147" s="123">
        <f>'Supplemental LCA Data'!$AE$58</f>
        <v>0</v>
      </c>
      <c r="S147" s="123">
        <f>'Supplemental LCA Data'!$AF$58</f>
        <v>0</v>
      </c>
      <c r="T147" s="123">
        <f>'Supplemental LCA Data'!$AG$58</f>
        <v>0</v>
      </c>
      <c r="U147" s="123">
        <f>'Supplemental LCA Data'!$AH$58</f>
        <v>0</v>
      </c>
      <c r="V147" s="123"/>
      <c r="W147" s="123"/>
      <c r="X147" s="123"/>
      <c r="Y147" s="123"/>
      <c r="Z147" s="123"/>
      <c r="AA147" s="123"/>
      <c r="AB147" s="123"/>
      <c r="AC147" s="123"/>
      <c r="AD147" s="123"/>
      <c r="AE147" s="123"/>
      <c r="AF147" s="123"/>
      <c r="AG147" s="123"/>
      <c r="AH147" s="123"/>
      <c r="AI147" s="123"/>
      <c r="AJ147" s="123"/>
      <c r="AK147" s="123"/>
      <c r="AL147" s="123"/>
      <c r="AM147" s="123">
        <v>0</v>
      </c>
      <c r="AN147" s="123">
        <v>0</v>
      </c>
      <c r="AO147" s="123">
        <v>0</v>
      </c>
      <c r="AP147" s="316">
        <v>0</v>
      </c>
      <c r="AQ147" s="316">
        <v>0</v>
      </c>
      <c r="AR147" s="316">
        <v>0</v>
      </c>
      <c r="AS147" s="316">
        <v>0</v>
      </c>
      <c r="AT147" s="316">
        <v>0</v>
      </c>
      <c r="AU147" s="316">
        <v>0</v>
      </c>
      <c r="AV147" s="129">
        <v>0</v>
      </c>
      <c r="AW147" s="129"/>
      <c r="AX147" s="129"/>
      <c r="AY147" s="129"/>
      <c r="AZ147" s="129"/>
      <c r="BA147" s="129">
        <v>0</v>
      </c>
      <c r="BB147" s="129">
        <v>0</v>
      </c>
      <c r="BC147" s="129">
        <v>0</v>
      </c>
      <c r="BD147" s="129">
        <v>0</v>
      </c>
      <c r="BE147" s="129">
        <v>0</v>
      </c>
      <c r="BF147" s="129">
        <v>0</v>
      </c>
      <c r="BG147" s="130">
        <v>0</v>
      </c>
      <c r="BH147" s="130">
        <v>0</v>
      </c>
      <c r="BI147" s="130">
        <v>0</v>
      </c>
      <c r="BJ147" s="130">
        <v>0</v>
      </c>
      <c r="BK147" s="130">
        <v>0</v>
      </c>
    </row>
    <row r="148" spans="1:63">
      <c r="A148" s="112">
        <f t="shared" si="1"/>
        <v>145</v>
      </c>
      <c r="B148" s="112" t="s">
        <v>108</v>
      </c>
      <c r="C148" s="112" t="str">
        <f>INDEX(EPD_Measures,1)</f>
        <v>Global warming potential (GWP)</v>
      </c>
      <c r="D148" s="112" t="str">
        <f>INDEX(EPD_Calc_Units,1)</f>
        <v>kg</v>
      </c>
      <c r="E148" s="123" t="e">
        <f>NA()</f>
        <v>#N/A</v>
      </c>
      <c r="F148" s="123" t="e">
        <f>NA()</f>
        <v>#N/A</v>
      </c>
      <c r="G148" s="123">
        <v>1.0383E-2</v>
      </c>
      <c r="H148" s="123">
        <v>5.496E-3</v>
      </c>
      <c r="I148" s="123">
        <v>4.9288639999999998E-3</v>
      </c>
      <c r="J148" s="123">
        <v>5.496E-3</v>
      </c>
      <c r="K148" s="123">
        <v>0</v>
      </c>
      <c r="L148" s="123">
        <v>0</v>
      </c>
      <c r="M148" s="123">
        <v>0</v>
      </c>
      <c r="N148" s="123">
        <v>0</v>
      </c>
      <c r="O148" s="123">
        <v>0</v>
      </c>
      <c r="P148" s="123">
        <f>'Supplemental LCA Data'!$AC$45</f>
        <v>0.10406360712476165</v>
      </c>
      <c r="Q148" s="123">
        <f>'Supplemental LCA Data'!$AD$45</f>
        <v>0.22949974224587316</v>
      </c>
      <c r="R148" s="123">
        <f>'Supplemental LCA Data'!$AE$45</f>
        <v>1.2625032020663256</v>
      </c>
      <c r="S148" s="123">
        <f>'Supplemental LCA Data'!$AF$45</f>
        <v>0.76998593521882752</v>
      </c>
      <c r="T148" s="123">
        <f>'Supplemental LCA Data'!$AG$45</f>
        <v>0.22949974224587316</v>
      </c>
      <c r="U148" s="123">
        <f>'Supplemental LCA Data'!$AH$45</f>
        <v>0.51911044578033227</v>
      </c>
      <c r="V148" s="123">
        <v>2.9429471121354829</v>
      </c>
      <c r="W148" s="123">
        <f>'Supplemental LCA Data'!$B$71/1000</f>
        <v>0.89195544554366246</v>
      </c>
      <c r="X148" s="123">
        <f>'Supplemental LCA Data'!$C$71/1000</f>
        <v>1.0380563118652284</v>
      </c>
      <c r="Y148" s="123">
        <f>'Supplemental LCA Data'!$D$71/1000</f>
        <v>1.5012328955993122</v>
      </c>
      <c r="Z148" s="123">
        <f t="shared" si="3"/>
        <v>0.98115099009802875</v>
      </c>
      <c r="AA148" s="123">
        <v>0</v>
      </c>
      <c r="AB148" s="123">
        <v>0</v>
      </c>
      <c r="AC148" s="123">
        <f t="shared" si="2"/>
        <v>0.89195544554366246</v>
      </c>
      <c r="AD148" s="123">
        <v>0</v>
      </c>
      <c r="AE148" s="123">
        <v>0</v>
      </c>
      <c r="AF148" s="123">
        <v>0</v>
      </c>
      <c r="AG148" s="123">
        <v>3.3162413704963716</v>
      </c>
      <c r="AH148" s="123">
        <v>9.0789952164299699</v>
      </c>
      <c r="AI148" s="123">
        <v>0.2453477255455345</v>
      </c>
      <c r="AJ148" s="123">
        <v>0.3279493299762562</v>
      </c>
      <c r="AK148" s="123">
        <v>4.6408478655656005</v>
      </c>
      <c r="AL148" s="123">
        <v>0.92461248966214149</v>
      </c>
      <c r="AM148" s="123">
        <v>0</v>
      </c>
      <c r="AN148" s="123">
        <v>0</v>
      </c>
      <c r="AO148" s="123">
        <v>0</v>
      </c>
      <c r="AP148" s="316">
        <v>0</v>
      </c>
      <c r="AQ148" s="316">
        <v>0</v>
      </c>
      <c r="AR148" s="316">
        <v>0</v>
      </c>
      <c r="AS148" s="316">
        <v>0</v>
      </c>
      <c r="AT148" s="316">
        <v>0</v>
      </c>
      <c r="AU148" s="316">
        <v>0</v>
      </c>
      <c r="AV148" s="129">
        <v>0.90897756699999999</v>
      </c>
      <c r="AW148" s="129">
        <v>0</v>
      </c>
      <c r="AX148" s="129">
        <v>0</v>
      </c>
      <c r="AY148" s="129">
        <v>0</v>
      </c>
      <c r="AZ148" s="129">
        <v>0</v>
      </c>
      <c r="BA148" s="129">
        <v>4.5765858E-2</v>
      </c>
      <c r="BB148" s="129">
        <v>2.529973</v>
      </c>
      <c r="BC148" s="129">
        <v>2.4438970000000002</v>
      </c>
      <c r="BD148" s="129">
        <v>3.1787649999999998</v>
      </c>
      <c r="BE148" s="129">
        <v>3.7603420000000001</v>
      </c>
      <c r="BF148" s="129">
        <v>2.0422280000000002</v>
      </c>
      <c r="BG148" s="130">
        <v>9.2743999999999993E-2</v>
      </c>
      <c r="BH148" s="130">
        <v>7.3523000000000005E-2</v>
      </c>
      <c r="BI148" s="130">
        <v>2.2027999999999999E-2</v>
      </c>
      <c r="BJ148" s="130">
        <v>1.8526999999999998E-2</v>
      </c>
      <c r="BK148" s="130">
        <v>3.3079999999999998E-2</v>
      </c>
    </row>
    <row r="149" spans="1:63">
      <c r="A149">
        <f t="shared" si="1"/>
        <v>146</v>
      </c>
      <c r="B149" t="s">
        <v>108</v>
      </c>
      <c r="C149" t="str">
        <f>INDEX(EPD_Measures,2)</f>
        <v>Acidification potential</v>
      </c>
      <c r="D149" t="str">
        <f>INDEX(EPD_Calc_Units,2)</f>
        <v>kg</v>
      </c>
      <c r="E149" s="123" t="e">
        <f>NA()</f>
        <v>#N/A</v>
      </c>
      <c r="F149" s="123" t="e">
        <f>NA()</f>
        <v>#N/A</v>
      </c>
      <c r="G149" s="123">
        <v>8.5799999999999998E-5</v>
      </c>
      <c r="H149" s="123">
        <v>5.4599999999999999E-5</v>
      </c>
      <c r="I149" s="123">
        <v>4.88957E-5</v>
      </c>
      <c r="J149" s="123">
        <v>5.4599999999999999E-5</v>
      </c>
      <c r="K149" s="123"/>
      <c r="L149" s="123"/>
      <c r="M149" s="123">
        <v>0</v>
      </c>
      <c r="N149" s="123">
        <v>0</v>
      </c>
      <c r="O149" s="123">
        <v>0</v>
      </c>
      <c r="P149" s="123">
        <f>'Supplemental LCA Data'!$AC$46</f>
        <v>5.7703135192831948E-4</v>
      </c>
      <c r="Q149" s="123">
        <f>'Supplemental LCA Data'!$AD$46</f>
        <v>1.2139986365417917E-3</v>
      </c>
      <c r="R149" s="123">
        <f>'Supplemental LCA Data'!$AE$46</f>
        <v>4.7483946670140312E-3</v>
      </c>
      <c r="S149" s="123">
        <f>'Supplemental LCA Data'!$AF$46</f>
        <v>3.9528555604969102</v>
      </c>
      <c r="T149" s="123">
        <f>'Supplemental LCA Data'!$AG$46</f>
        <v>1.2139986365417917E-3</v>
      </c>
      <c r="U149" s="123">
        <f>'Supplemental LCA Data'!$AH$46</f>
        <v>0.79212179675778727</v>
      </c>
      <c r="V149" s="123"/>
      <c r="W149" s="123"/>
      <c r="X149" s="123"/>
      <c r="Y149" s="123"/>
      <c r="Z149" s="123"/>
      <c r="AA149" s="123"/>
      <c r="AB149" s="123"/>
      <c r="AC149" s="123"/>
      <c r="AD149" s="123"/>
      <c r="AE149" s="123"/>
      <c r="AF149" s="123"/>
      <c r="AG149" s="123"/>
      <c r="AH149" s="123"/>
      <c r="AI149" s="123"/>
      <c r="AJ149" s="123"/>
      <c r="AK149" s="123"/>
      <c r="AL149" s="123"/>
      <c r="AM149" s="123">
        <v>0</v>
      </c>
      <c r="AN149" s="123">
        <v>0</v>
      </c>
      <c r="AO149" s="123">
        <v>0</v>
      </c>
      <c r="AP149" s="316">
        <v>0</v>
      </c>
      <c r="AQ149" s="316">
        <v>0</v>
      </c>
      <c r="AR149" s="316">
        <v>0</v>
      </c>
      <c r="AS149" s="316">
        <v>0</v>
      </c>
      <c r="AT149" s="316">
        <v>0</v>
      </c>
      <c r="AU149" s="316">
        <v>0</v>
      </c>
      <c r="AV149" s="129">
        <v>6.1463949999999998E-3</v>
      </c>
      <c r="AW149" s="129"/>
      <c r="AX149" s="129"/>
      <c r="AY149" s="129"/>
      <c r="AZ149" s="129"/>
      <c r="BA149" s="129">
        <v>8.3965400000000001E-4</v>
      </c>
      <c r="BB149" s="129">
        <v>2.6606000000000001E-2</v>
      </c>
      <c r="BC149" s="129">
        <v>2.0861000000000001E-2</v>
      </c>
      <c r="BD149" s="129">
        <v>5.646E-3</v>
      </c>
      <c r="BE149" s="129">
        <v>8.8570000000000003E-3</v>
      </c>
      <c r="BF149" s="129">
        <v>4.045E-3</v>
      </c>
      <c r="BG149" s="130">
        <v>4.6900000000000002E-4</v>
      </c>
      <c r="BH149" s="130">
        <v>3.2299999999999999E-4</v>
      </c>
      <c r="BI149" s="130">
        <v>3.7199999999999999E-4</v>
      </c>
      <c r="BJ149" s="130">
        <v>3.2299999999999999E-4</v>
      </c>
      <c r="BK149" s="130">
        <v>2.8299999999999999E-4</v>
      </c>
    </row>
    <row r="150" spans="1:63">
      <c r="A150">
        <f t="shared" si="1"/>
        <v>147</v>
      </c>
      <c r="B150" t="s">
        <v>108</v>
      </c>
      <c r="C150" t="str">
        <f>INDEX(EPD_Measures,3)</f>
        <v>Eutrophication potential</v>
      </c>
      <c r="D150" t="str">
        <f>INDEX(EPD_Calc_Units,3)</f>
        <v>kg</v>
      </c>
      <c r="E150" s="123" t="e">
        <f>NA()</f>
        <v>#N/A</v>
      </c>
      <c r="F150" s="123" t="e">
        <f>NA()</f>
        <v>#N/A</v>
      </c>
      <c r="G150" s="123">
        <v>2.8899999999999999E-6</v>
      </c>
      <c r="H150" s="123">
        <v>2.7999999999999999E-6</v>
      </c>
      <c r="I150" s="123">
        <v>2.1769400000000001E-6</v>
      </c>
      <c r="J150" s="123">
        <v>2.7999999999999999E-6</v>
      </c>
      <c r="K150" s="123"/>
      <c r="L150" s="123"/>
      <c r="M150" s="123">
        <v>0</v>
      </c>
      <c r="N150" s="123">
        <v>0</v>
      </c>
      <c r="O150" s="123">
        <v>0</v>
      </c>
      <c r="P150" s="123">
        <f>'Supplemental LCA Data'!$AC$47</f>
        <v>1.9624831959085375E-4</v>
      </c>
      <c r="Q150" s="123">
        <f>'Supplemental LCA Data'!$AD$47</f>
        <v>4.226795252829316E-5</v>
      </c>
      <c r="R150" s="123">
        <f>'Supplemental LCA Data'!$AE$47</f>
        <v>8.7898401280121123E-4</v>
      </c>
      <c r="S150" s="123">
        <f>'Supplemental LCA Data'!$AF$47</f>
        <v>0.24926944204227258</v>
      </c>
      <c r="T150" s="123">
        <f>'Supplemental LCA Data'!$AG$47</f>
        <v>4.226795252829316E-5</v>
      </c>
      <c r="U150" s="123">
        <f>'Supplemental LCA Data'!$AH$47</f>
        <v>5.0085842055944255E-2</v>
      </c>
      <c r="V150" s="123"/>
      <c r="W150" s="123"/>
      <c r="X150" s="123"/>
      <c r="Y150" s="123"/>
      <c r="Z150" s="123"/>
      <c r="AA150" s="123"/>
      <c r="AB150" s="123"/>
      <c r="AC150" s="123"/>
      <c r="AD150" s="123"/>
      <c r="AE150" s="123"/>
      <c r="AF150" s="123"/>
      <c r="AG150" s="123"/>
      <c r="AH150" s="123"/>
      <c r="AI150" s="123"/>
      <c r="AJ150" s="123"/>
      <c r="AK150" s="123"/>
      <c r="AL150" s="123"/>
      <c r="AM150" s="123">
        <v>0</v>
      </c>
      <c r="AN150" s="123">
        <v>0</v>
      </c>
      <c r="AO150" s="123">
        <v>0</v>
      </c>
      <c r="AP150" s="316">
        <v>0</v>
      </c>
      <c r="AQ150" s="316">
        <v>0</v>
      </c>
      <c r="AR150" s="316">
        <v>0</v>
      </c>
      <c r="AS150" s="316">
        <v>0</v>
      </c>
      <c r="AT150" s="316">
        <v>0</v>
      </c>
      <c r="AU150" s="316">
        <v>0</v>
      </c>
      <c r="AV150" s="129">
        <v>1.1831400000000001E-4</v>
      </c>
      <c r="AW150" s="129"/>
      <c r="AX150" s="129"/>
      <c r="AY150" s="129"/>
      <c r="AZ150" s="129"/>
      <c r="BA150" s="129">
        <v>4.0302700000000003E-5</v>
      </c>
      <c r="BB150" s="129">
        <v>1.722E-3</v>
      </c>
      <c r="BC150" s="129">
        <v>2.05E-4</v>
      </c>
      <c r="BD150" s="129">
        <v>3.9599999999999998E-4</v>
      </c>
      <c r="BE150" s="129">
        <v>6.0300000000000002E-4</v>
      </c>
      <c r="BF150" s="129">
        <v>2.8299999999999999E-4</v>
      </c>
      <c r="BG150" s="130">
        <v>3.0800000000000003E-5</v>
      </c>
      <c r="BH150" s="130">
        <v>2.1500000000000001E-5</v>
      </c>
      <c r="BI150" s="130">
        <v>2.3799999999999999E-5</v>
      </c>
      <c r="BJ150" s="130">
        <v>2.0699999999999998E-5</v>
      </c>
      <c r="BK150" s="130">
        <v>1.8300000000000001E-5</v>
      </c>
    </row>
    <row r="151" spans="1:63">
      <c r="A151">
        <f t="shared" si="1"/>
        <v>148</v>
      </c>
      <c r="B151" t="s">
        <v>108</v>
      </c>
      <c r="C151" t="str">
        <f>INDEX(EPD_Measures,4)</f>
        <v>Smog creation potential</v>
      </c>
      <c r="D151" t="str">
        <f>INDEX(EPD_Calc_Units,4)</f>
        <v>kg</v>
      </c>
      <c r="E151" s="123" t="e">
        <f>NA()</f>
        <v>#N/A</v>
      </c>
      <c r="F151" s="123" t="e">
        <f>NA()</f>
        <v>#N/A</v>
      </c>
      <c r="G151" s="123">
        <v>1.495E-3</v>
      </c>
      <c r="H151" s="123">
        <v>1.317E-3</v>
      </c>
      <c r="I151" s="123">
        <v>1.1429649999999999E-3</v>
      </c>
      <c r="J151" s="123">
        <v>1.317E-3</v>
      </c>
      <c r="K151" s="123"/>
      <c r="L151" s="123"/>
      <c r="M151" s="123">
        <v>0</v>
      </c>
      <c r="N151" s="123">
        <v>0</v>
      </c>
      <c r="O151" s="123">
        <v>0</v>
      </c>
      <c r="P151" s="123">
        <f>'Supplemental LCA Data'!$AC$48</f>
        <v>8.7017595456788718E-3</v>
      </c>
      <c r="Q151" s="123">
        <f>'Supplemental LCA Data'!$AD$48</f>
        <v>1.3524104726696053E-2</v>
      </c>
      <c r="R151" s="123">
        <f>'Supplemental LCA Data'!$AE$48</f>
        <v>5.7241581200289861E-2</v>
      </c>
      <c r="S151" s="123">
        <f>'Supplemental LCA Data'!$AF$48</f>
        <v>43.192743848068233</v>
      </c>
      <c r="T151" s="123">
        <f>'Supplemental LCA Data'!$AG$48</f>
        <v>1.3524104726696053E-2</v>
      </c>
      <c r="U151" s="123">
        <f>'Supplemental LCA Data'!$AH$48</f>
        <v>8.6571470796535195</v>
      </c>
      <c r="V151" s="123"/>
      <c r="W151" s="123"/>
      <c r="X151" s="123"/>
      <c r="Y151" s="123"/>
      <c r="Z151" s="123"/>
      <c r="AA151" s="123"/>
      <c r="AB151" s="123"/>
      <c r="AC151" s="123"/>
      <c r="AD151" s="123"/>
      <c r="AE151" s="123"/>
      <c r="AF151" s="123"/>
      <c r="AG151" s="123"/>
      <c r="AH151" s="123"/>
      <c r="AI151" s="123"/>
      <c r="AJ151" s="123"/>
      <c r="AK151" s="123"/>
      <c r="AL151" s="123"/>
      <c r="AM151" s="123">
        <v>0</v>
      </c>
      <c r="AN151" s="123">
        <v>0</v>
      </c>
      <c r="AO151" s="123">
        <v>0</v>
      </c>
      <c r="AP151" s="316">
        <v>0</v>
      </c>
      <c r="AQ151" s="316">
        <v>0</v>
      </c>
      <c r="AR151" s="316">
        <v>0</v>
      </c>
      <c r="AS151" s="316">
        <v>0</v>
      </c>
      <c r="AT151" s="316">
        <v>0</v>
      </c>
      <c r="AU151" s="316">
        <v>0</v>
      </c>
      <c r="AV151" s="129">
        <v>5.8594915999999997E-2</v>
      </c>
      <c r="AW151" s="129"/>
      <c r="AX151" s="129"/>
      <c r="AY151" s="129"/>
      <c r="AZ151" s="129"/>
      <c r="BA151" s="129">
        <v>0.241503051</v>
      </c>
      <c r="BB151" s="129">
        <v>0.90166400000000002</v>
      </c>
      <c r="BC151" s="129">
        <v>5.2539000000000002E-2</v>
      </c>
      <c r="BD151" s="129">
        <v>0.13974</v>
      </c>
      <c r="BE151" s="129">
        <v>0.24854699999999999</v>
      </c>
      <c r="BF151" s="129">
        <v>0.10738499999999999</v>
      </c>
      <c r="BG151" s="130">
        <v>1.5133000000000001E-2</v>
      </c>
      <c r="BH151" s="130">
        <v>1.0231000000000001E-2</v>
      </c>
      <c r="BI151" s="130">
        <v>1.2799E-2</v>
      </c>
      <c r="BJ151" s="130">
        <v>1.1180000000000001E-2</v>
      </c>
      <c r="BK151" s="130">
        <v>9.5029999999999993E-3</v>
      </c>
    </row>
    <row r="152" spans="1:63">
      <c r="A152">
        <f t="shared" si="1"/>
        <v>149</v>
      </c>
      <c r="B152" t="s">
        <v>108</v>
      </c>
      <c r="C152" t="str">
        <f>INDEX(EPD_Measures,5)</f>
        <v>Ozone depletion potential</v>
      </c>
      <c r="D152" t="str">
        <f>INDEX(EPD_Calc_Units,5)</f>
        <v>kg</v>
      </c>
      <c r="E152" s="123" t="e">
        <f>NA()</f>
        <v>#N/A</v>
      </c>
      <c r="F152" s="123" t="e">
        <f>NA()</f>
        <v>#N/A</v>
      </c>
      <c r="G152" s="123">
        <v>2.85E-13</v>
      </c>
      <c r="H152" s="123">
        <v>9.6800000000000004E-11</v>
      </c>
      <c r="I152" s="123">
        <v>1.5547799999999999E-13</v>
      </c>
      <c r="J152" s="123">
        <v>9.6800000000000004E-11</v>
      </c>
      <c r="K152" s="123"/>
      <c r="L152" s="123"/>
      <c r="M152" s="123">
        <v>0</v>
      </c>
      <c r="N152" s="123">
        <v>0</v>
      </c>
      <c r="O152" s="123">
        <v>0</v>
      </c>
      <c r="P152" s="123">
        <f>'Supplemental LCA Data'!$AC$49</f>
        <v>4.817994588850506E-10</v>
      </c>
      <c r="Q152" s="123">
        <f>'Supplemental LCA Data'!$AD$49</f>
        <v>0</v>
      </c>
      <c r="R152" s="123">
        <f>'Supplemental LCA Data'!$AE$49</f>
        <v>2.4089972944252421E-9</v>
      </c>
      <c r="S152" s="123">
        <f>'Supplemental LCA Data'!$AF$49</f>
        <v>3.2599963386576577E-9</v>
      </c>
      <c r="T152" s="123">
        <f>'Supplemental LCA Data'!$AG$49</f>
        <v>0</v>
      </c>
      <c r="U152" s="123">
        <f>'Supplemental LCA Data'!$AH$49</f>
        <v>1.2301586183935901E-9</v>
      </c>
      <c r="V152" s="123"/>
      <c r="W152" s="123"/>
      <c r="X152" s="123"/>
      <c r="Y152" s="123"/>
      <c r="Z152" s="123"/>
      <c r="AA152" s="123"/>
      <c r="AB152" s="123"/>
      <c r="AC152" s="123"/>
      <c r="AD152" s="123"/>
      <c r="AE152" s="123"/>
      <c r="AF152" s="123"/>
      <c r="AG152" s="123"/>
      <c r="AH152" s="123"/>
      <c r="AI152" s="123"/>
      <c r="AJ152" s="123"/>
      <c r="AK152" s="123"/>
      <c r="AL152" s="123"/>
      <c r="AM152" s="123">
        <v>0</v>
      </c>
      <c r="AN152" s="123">
        <v>0</v>
      </c>
      <c r="AO152" s="123">
        <v>0</v>
      </c>
      <c r="AP152" s="316">
        <v>0</v>
      </c>
      <c r="AQ152" s="316">
        <v>0</v>
      </c>
      <c r="AR152" s="316">
        <v>0</v>
      </c>
      <c r="AS152" s="316">
        <v>0</v>
      </c>
      <c r="AT152" s="316">
        <v>0</v>
      </c>
      <c r="AU152" s="316">
        <v>0</v>
      </c>
      <c r="AV152" s="129">
        <v>2.1588699999999999E-11</v>
      </c>
      <c r="AW152" s="129"/>
      <c r="AX152" s="129"/>
      <c r="AY152" s="129"/>
      <c r="AZ152" s="129"/>
      <c r="BA152" s="129">
        <v>9.58911E-14</v>
      </c>
      <c r="BB152" s="129">
        <v>1.16E-10</v>
      </c>
      <c r="BC152" s="129">
        <v>1.6799999999999999E-12</v>
      </c>
      <c r="BD152" s="129">
        <v>1.2999999999999999E-10</v>
      </c>
      <c r="BE152" s="129">
        <v>1.41E-10</v>
      </c>
      <c r="BF152" s="129">
        <v>8.1099999999999997E-11</v>
      </c>
      <c r="BG152" s="130">
        <v>3.5300000000000001E-12</v>
      </c>
      <c r="BH152" s="130">
        <v>3.1599999999999999E-12</v>
      </c>
      <c r="BI152" s="130">
        <v>8.4099999999999995E-13</v>
      </c>
      <c r="BJ152" s="130">
        <v>6.9599999999999996E-13</v>
      </c>
      <c r="BK152" s="130">
        <v>1.2499999999999999E-12</v>
      </c>
    </row>
    <row r="153" spans="1:63">
      <c r="A153">
        <f t="shared" si="1"/>
        <v>150</v>
      </c>
      <c r="B153" t="s">
        <v>108</v>
      </c>
      <c r="C153" t="str">
        <f>INDEX(EPD_Measures,6)</f>
        <v>Total primary energy consumption</v>
      </c>
      <c r="D153" t="str">
        <f>INDEX(EPD_Calc_Units,6)</f>
        <v>MJ</v>
      </c>
      <c r="E153" s="123" t="e">
        <f>NA()</f>
        <v>#N/A</v>
      </c>
      <c r="F153" s="123" t="e">
        <f>NA()</f>
        <v>#N/A</v>
      </c>
      <c r="G153" s="123">
        <v>0.17855699999999999</v>
      </c>
      <c r="H153" s="123">
        <v>8.978499999999999E-2</v>
      </c>
      <c r="I153" s="123">
        <v>8.1326665999999992E-2</v>
      </c>
      <c r="J153" s="123">
        <v>8.978499999999999E-2</v>
      </c>
      <c r="K153" s="123">
        <v>0</v>
      </c>
      <c r="L153" s="123">
        <v>0</v>
      </c>
      <c r="M153" s="123">
        <v>0</v>
      </c>
      <c r="N153" s="123">
        <v>0</v>
      </c>
      <c r="O153" s="123">
        <v>0</v>
      </c>
      <c r="P153" s="123">
        <f>'Supplemental LCA Data'!$AC$50</f>
        <v>2.099997641465547</v>
      </c>
      <c r="Q153" s="123">
        <f>'Supplemental LCA Data'!$AD$50</f>
        <v>4.5999948336864307</v>
      </c>
      <c r="R153" s="123">
        <f>'Supplemental LCA Data'!$AE$50</f>
        <v>22.799974393054555</v>
      </c>
      <c r="S153" s="123">
        <f>'Supplemental LCA Data'!$AF$50</f>
        <v>18.299979447056902</v>
      </c>
      <c r="T153" s="123">
        <f>'Supplemental LCA Data'!$AG$50</f>
        <v>4.5999948336864307</v>
      </c>
      <c r="U153" s="123">
        <f>'Supplemental LCA Data'!$AH$50</f>
        <v>10.479988229789974</v>
      </c>
      <c r="V153" s="123">
        <v>57.506173091793869</v>
      </c>
      <c r="W153" s="123">
        <f>'Supplemental LCA Data'!$B$72/1000</f>
        <v>17.379305548594214</v>
      </c>
      <c r="X153" s="123">
        <f>'Supplemental LCA Data'!$C$72/1000</f>
        <v>21.115558668452628</v>
      </c>
      <c r="Y153" s="123">
        <f>'Supplemental LCA Data'!$D$72/1000</f>
        <v>25.458767950129285</v>
      </c>
      <c r="Z153" s="123">
        <f t="shared" si="3"/>
        <v>19.117236103453639</v>
      </c>
      <c r="AA153" s="123">
        <v>0</v>
      </c>
      <c r="AB153" s="123">
        <v>0</v>
      </c>
      <c r="AC153" s="123">
        <f t="shared" si="2"/>
        <v>17.379305548594214</v>
      </c>
      <c r="AD153" s="123">
        <v>0</v>
      </c>
      <c r="AE153" s="123">
        <v>0</v>
      </c>
      <c r="AF153" s="123">
        <v>0</v>
      </c>
      <c r="AG153" s="123">
        <v>111.41336281293017</v>
      </c>
      <c r="AH153" s="123">
        <v>96.934631722060175</v>
      </c>
      <c r="AI153" s="123">
        <v>3.4310468673118439</v>
      </c>
      <c r="AJ153" s="123">
        <v>7.079849022399789</v>
      </c>
      <c r="AK153" s="123">
        <v>88.609789579499989</v>
      </c>
      <c r="AL153" s="123">
        <v>75.869011043824344</v>
      </c>
      <c r="AM153" s="123">
        <v>0</v>
      </c>
      <c r="AN153" s="123">
        <v>0</v>
      </c>
      <c r="AO153" s="123">
        <v>0</v>
      </c>
      <c r="AP153" s="316">
        <v>0</v>
      </c>
      <c r="AQ153" s="316">
        <v>0</v>
      </c>
      <c r="AR153" s="316">
        <v>0</v>
      </c>
      <c r="AS153" s="316">
        <v>0</v>
      </c>
      <c r="AT153" s="316">
        <v>0</v>
      </c>
      <c r="AU153" s="316">
        <v>0</v>
      </c>
      <c r="AV153" s="129">
        <v>16.20505464</v>
      </c>
      <c r="AW153" s="129">
        <v>3.6</v>
      </c>
      <c r="AX153" s="129">
        <v>3.6</v>
      </c>
      <c r="AY153" s="129">
        <v>3.6</v>
      </c>
      <c r="AZ153" s="129">
        <v>3.6</v>
      </c>
      <c r="BA153" s="129">
        <v>3.4579025999999999E-2</v>
      </c>
      <c r="BB153" s="129">
        <v>41.990099999999998</v>
      </c>
      <c r="BC153" s="129">
        <v>43.209249999999997</v>
      </c>
      <c r="BD153" s="129">
        <v>46.983649999999997</v>
      </c>
      <c r="BE153" s="129">
        <v>51.126690000000004</v>
      </c>
      <c r="BF153" s="129">
        <v>29.343319999999999</v>
      </c>
      <c r="BG153" s="130">
        <v>1.2783040000000001</v>
      </c>
      <c r="BH153" s="130">
        <v>1.14236</v>
      </c>
      <c r="BI153" s="130">
        <v>0.30436299999999999</v>
      </c>
      <c r="BJ153" s="130">
        <v>0.25176399999999999</v>
      </c>
      <c r="BK153" s="130">
        <v>0.45051000000000002</v>
      </c>
    </row>
    <row r="154" spans="1:63">
      <c r="A154">
        <f t="shared" si="1"/>
        <v>151</v>
      </c>
      <c r="B154" t="s">
        <v>108</v>
      </c>
      <c r="C154" t="str">
        <f>INDEX(EPD_Measures,7)</f>
        <v>Nonrenewable energy resources</v>
      </c>
      <c r="D154" t="str">
        <f>INDEX(EPD_Calc_Units,7)</f>
        <v>MJ</v>
      </c>
      <c r="E154" s="123" t="e">
        <f>NA()</f>
        <v>#N/A</v>
      </c>
      <c r="F154" s="123" t="e">
        <f>NA()</f>
        <v>#N/A</v>
      </c>
      <c r="G154" s="123">
        <v>0.17103299999999999</v>
      </c>
      <c r="H154" s="123">
        <v>8.7265999999999996E-2</v>
      </c>
      <c r="I154" s="123">
        <v>7.8818686999999998E-2</v>
      </c>
      <c r="J154" s="123">
        <v>8.7265999999999996E-2</v>
      </c>
      <c r="K154" s="123"/>
      <c r="L154" s="123"/>
      <c r="M154" s="123">
        <v>0</v>
      </c>
      <c r="N154" s="123">
        <v>0</v>
      </c>
      <c r="O154" s="123">
        <v>0</v>
      </c>
      <c r="P154" s="123">
        <f>'Supplemental LCA Data'!$AC$51</f>
        <v>2.099997641465547</v>
      </c>
      <c r="Q154" s="123">
        <f>'Supplemental LCA Data'!$AD$51</f>
        <v>4.5999948336864307</v>
      </c>
      <c r="R154" s="123">
        <f>'Supplemental LCA Data'!$AE$51</f>
        <v>22.799974393054555</v>
      </c>
      <c r="S154" s="123">
        <f>'Supplemental LCA Data'!$AF$51</f>
        <v>18.299979447056902</v>
      </c>
      <c r="T154" s="123">
        <f>'Supplemental LCA Data'!$AG$51</f>
        <v>4.5999948336864307</v>
      </c>
      <c r="U154" s="123">
        <f>'Supplemental LCA Data'!$AH$51</f>
        <v>10.479988229789974</v>
      </c>
      <c r="V154" s="123"/>
      <c r="W154" s="123"/>
      <c r="X154" s="123"/>
      <c r="Y154" s="123"/>
      <c r="Z154" s="123"/>
      <c r="AA154" s="123"/>
      <c r="AB154" s="123"/>
      <c r="AC154" s="123"/>
      <c r="AD154" s="123"/>
      <c r="AE154" s="123"/>
      <c r="AF154" s="123"/>
      <c r="AG154" s="123"/>
      <c r="AH154" s="123"/>
      <c r="AI154" s="123"/>
      <c r="AJ154" s="123"/>
      <c r="AK154" s="123"/>
      <c r="AL154" s="123"/>
      <c r="AM154" s="123">
        <v>0</v>
      </c>
      <c r="AN154" s="123">
        <v>0</v>
      </c>
      <c r="AO154" s="123">
        <v>0</v>
      </c>
      <c r="AP154" s="316">
        <v>0</v>
      </c>
      <c r="AQ154" s="316">
        <v>0</v>
      </c>
      <c r="AR154" s="316">
        <v>0</v>
      </c>
      <c r="AS154" s="316">
        <v>0</v>
      </c>
      <c r="AT154" s="316">
        <v>0</v>
      </c>
      <c r="AU154" s="316">
        <v>0</v>
      </c>
      <c r="AV154" s="129">
        <v>15.369061759999999</v>
      </c>
      <c r="AW154" s="129"/>
      <c r="AX154" s="129"/>
      <c r="AY154" s="129"/>
      <c r="AZ154" s="129"/>
      <c r="BA154" s="129">
        <v>3.4579025999999999E-2</v>
      </c>
      <c r="BB154" s="129">
        <v>41.929009999999998</v>
      </c>
      <c r="BC154" s="129">
        <v>43.189610000000002</v>
      </c>
      <c r="BD154" s="129">
        <v>46.915320000000001</v>
      </c>
      <c r="BE154" s="129">
        <v>51.052590000000002</v>
      </c>
      <c r="BF154" s="129">
        <v>29.300560000000001</v>
      </c>
      <c r="BG154" s="130">
        <v>1.276451</v>
      </c>
      <c r="BH154" s="130">
        <v>1.1407039999999999</v>
      </c>
      <c r="BI154" s="130">
        <v>0.303921</v>
      </c>
      <c r="BJ154" s="130">
        <v>0.25139899999999998</v>
      </c>
      <c r="BK154" s="130">
        <v>0.44985700000000001</v>
      </c>
    </row>
    <row r="155" spans="1:63">
      <c r="A155">
        <f t="shared" si="1"/>
        <v>152</v>
      </c>
      <c r="B155" t="s">
        <v>108</v>
      </c>
      <c r="C155" t="str">
        <f>INDEX(EPD_Measures,8)</f>
        <v>Renewable energy resources</v>
      </c>
      <c r="D155" t="str">
        <f>INDEX(EPD_Calc_Units,8)</f>
        <v>MJ</v>
      </c>
      <c r="E155" s="123" t="e">
        <f>NA()</f>
        <v>#N/A</v>
      </c>
      <c r="F155" s="123" t="e">
        <f>NA()</f>
        <v>#N/A</v>
      </c>
      <c r="G155" s="123">
        <v>7.5240000000000003E-3</v>
      </c>
      <c r="H155" s="123">
        <v>2.519E-3</v>
      </c>
      <c r="I155" s="123">
        <v>2.507979E-3</v>
      </c>
      <c r="J155" s="123">
        <v>2.519E-3</v>
      </c>
      <c r="K155" s="123"/>
      <c r="L155" s="123"/>
      <c r="M155" s="123">
        <v>0</v>
      </c>
      <c r="N155" s="123">
        <v>0</v>
      </c>
      <c r="O155" s="123">
        <v>0</v>
      </c>
      <c r="P155" s="123">
        <f>'Supplemental LCA Data'!$AC$52</f>
        <v>0</v>
      </c>
      <c r="Q155" s="123">
        <f>'Supplemental LCA Data'!$AD$52</f>
        <v>0</v>
      </c>
      <c r="R155" s="123">
        <f>'Supplemental LCA Data'!$AE$52</f>
        <v>0</v>
      </c>
      <c r="S155" s="123">
        <f>'Supplemental LCA Data'!$AF$52</f>
        <v>0</v>
      </c>
      <c r="T155" s="123">
        <f>'Supplemental LCA Data'!$AG$52</f>
        <v>0</v>
      </c>
      <c r="U155" s="123">
        <f>'Supplemental LCA Data'!$AH$52</f>
        <v>0</v>
      </c>
      <c r="V155" s="123"/>
      <c r="W155" s="123"/>
      <c r="X155" s="123"/>
      <c r="Y155" s="123"/>
      <c r="Z155" s="123"/>
      <c r="AA155" s="123"/>
      <c r="AB155" s="123"/>
      <c r="AC155" s="123"/>
      <c r="AD155" s="123"/>
      <c r="AE155" s="123"/>
      <c r="AF155" s="123"/>
      <c r="AG155" s="123"/>
      <c r="AH155" s="123"/>
      <c r="AI155" s="123"/>
      <c r="AJ155" s="123"/>
      <c r="AK155" s="123"/>
      <c r="AL155" s="123"/>
      <c r="AM155" s="123">
        <v>0</v>
      </c>
      <c r="AN155" s="123">
        <v>0</v>
      </c>
      <c r="AO155" s="123">
        <v>0</v>
      </c>
      <c r="AP155" s="316">
        <v>0</v>
      </c>
      <c r="AQ155" s="316">
        <v>0</v>
      </c>
      <c r="AR155" s="316">
        <v>0</v>
      </c>
      <c r="AS155" s="316">
        <v>0</v>
      </c>
      <c r="AT155" s="316">
        <v>0</v>
      </c>
      <c r="AU155" s="316">
        <v>0</v>
      </c>
      <c r="AV155" s="129">
        <v>0.83599287700000002</v>
      </c>
      <c r="AW155" s="129"/>
      <c r="AX155" s="129"/>
      <c r="AY155" s="129"/>
      <c r="AZ155" s="129"/>
      <c r="BA155" s="129">
        <v>0</v>
      </c>
      <c r="BB155" s="129">
        <v>6.1093000000000001E-2</v>
      </c>
      <c r="BC155" s="129">
        <v>1.9647000000000001E-2</v>
      </c>
      <c r="BD155" s="129">
        <v>6.8331000000000003E-2</v>
      </c>
      <c r="BE155" s="129">
        <v>7.4106000000000005E-2</v>
      </c>
      <c r="BF155" s="129">
        <v>4.2762000000000001E-2</v>
      </c>
      <c r="BG155" s="130">
        <v>1.853E-3</v>
      </c>
      <c r="BH155" s="130">
        <v>1.6559999999999999E-3</v>
      </c>
      <c r="BI155" s="130">
        <v>4.4099999999999999E-4</v>
      </c>
      <c r="BJ155" s="130">
        <v>3.6499999999999998E-4</v>
      </c>
      <c r="BK155" s="130">
        <v>6.5300000000000004E-4</v>
      </c>
    </row>
    <row r="156" spans="1:63">
      <c r="A156">
        <f t="shared" si="1"/>
        <v>153</v>
      </c>
      <c r="B156" t="s">
        <v>108</v>
      </c>
      <c r="C156" t="str">
        <f>INDEX(EPD_Measures,9)</f>
        <v>Material resources consumption</v>
      </c>
      <c r="D156" t="str">
        <f>INDEX(EPD_Calc_Units,9)</f>
        <v>kg</v>
      </c>
      <c r="E156" s="123" t="e">
        <f>NA()</f>
        <v>#N/A</v>
      </c>
      <c r="F156" s="123" t="e">
        <f>NA()</f>
        <v>#N/A</v>
      </c>
      <c r="G156" s="123">
        <v>1.0000015600000001</v>
      </c>
      <c r="H156" s="123">
        <v>1.0000021111778816</v>
      </c>
      <c r="I156" s="123">
        <v>1.0000015600000001</v>
      </c>
      <c r="J156" s="123">
        <v>1.0000021111778816</v>
      </c>
      <c r="K156" s="123"/>
      <c r="L156" s="123"/>
      <c r="M156" s="123">
        <v>0</v>
      </c>
      <c r="N156" s="123">
        <v>0</v>
      </c>
      <c r="O156" s="123">
        <v>0</v>
      </c>
      <c r="P156" s="123">
        <f>'Supplemental LCA Data'!$AC$53</f>
        <v>0</v>
      </c>
      <c r="Q156" s="123">
        <f>'Supplemental LCA Data'!$AD$53</f>
        <v>0</v>
      </c>
      <c r="R156" s="123">
        <f>'Supplemental LCA Data'!$AE$53</f>
        <v>0</v>
      </c>
      <c r="S156" s="123">
        <f>'Supplemental LCA Data'!$AF$53</f>
        <v>0</v>
      </c>
      <c r="T156" s="123">
        <f>'Supplemental LCA Data'!$AG$53</f>
        <v>0</v>
      </c>
      <c r="U156" s="123">
        <f>'Supplemental LCA Data'!$AH$53</f>
        <v>0</v>
      </c>
      <c r="V156" s="123"/>
      <c r="W156" s="123"/>
      <c r="X156" s="123"/>
      <c r="Y156" s="123"/>
      <c r="Z156" s="123"/>
      <c r="AA156" s="123"/>
      <c r="AB156" s="123"/>
      <c r="AC156" s="123"/>
      <c r="AD156" s="123"/>
      <c r="AE156" s="123"/>
      <c r="AF156" s="123"/>
      <c r="AG156" s="123"/>
      <c r="AH156" s="123"/>
      <c r="AI156" s="123"/>
      <c r="AJ156" s="123"/>
      <c r="AK156" s="123"/>
      <c r="AL156" s="123"/>
      <c r="AM156" s="123">
        <v>0</v>
      </c>
      <c r="AN156" s="123">
        <v>0</v>
      </c>
      <c r="AO156" s="123">
        <v>0</v>
      </c>
      <c r="AP156" s="316">
        <v>0</v>
      </c>
      <c r="AQ156" s="316">
        <v>0</v>
      </c>
      <c r="AR156" s="316">
        <v>0</v>
      </c>
      <c r="AS156" s="316">
        <v>0</v>
      </c>
      <c r="AT156" s="316">
        <v>0</v>
      </c>
      <c r="AU156" s="316">
        <v>0</v>
      </c>
      <c r="AV156" s="129">
        <v>0</v>
      </c>
      <c r="AW156" s="129"/>
      <c r="AX156" s="129"/>
      <c r="AY156" s="129"/>
      <c r="AZ156" s="129"/>
      <c r="BA156" s="129">
        <v>0.84323164500000003</v>
      </c>
      <c r="BB156" s="129">
        <v>0</v>
      </c>
      <c r="BC156" s="129">
        <v>0</v>
      </c>
      <c r="BD156" s="129">
        <v>0</v>
      </c>
      <c r="BE156" s="129">
        <v>0</v>
      </c>
      <c r="BF156" s="129">
        <v>0</v>
      </c>
      <c r="BG156" s="130">
        <v>0</v>
      </c>
      <c r="BH156" s="130">
        <v>0</v>
      </c>
      <c r="BI156" s="130">
        <v>0</v>
      </c>
      <c r="BJ156" s="130">
        <v>0</v>
      </c>
      <c r="BK156" s="130">
        <v>0</v>
      </c>
    </row>
    <row r="157" spans="1:63">
      <c r="A157">
        <f t="shared" si="1"/>
        <v>154</v>
      </c>
      <c r="B157" t="s">
        <v>108</v>
      </c>
      <c r="C157" t="str">
        <f>INDEX(EPD_Measures,10)</f>
        <v>Nonrenewable material resources</v>
      </c>
      <c r="D157" t="str">
        <f>INDEX(EPD_Calc_Units,10)</f>
        <v>kg</v>
      </c>
      <c r="E157" s="123" t="e">
        <f>NA()</f>
        <v>#N/A</v>
      </c>
      <c r="F157" s="123" t="e">
        <f>NA()</f>
        <v>#N/A</v>
      </c>
      <c r="G157" s="123">
        <v>1</v>
      </c>
      <c r="H157" s="123">
        <v>1.0000001919173316</v>
      </c>
      <c r="I157" s="123">
        <v>1</v>
      </c>
      <c r="J157" s="123">
        <v>1.0000001919173316</v>
      </c>
      <c r="K157" s="123"/>
      <c r="L157" s="123"/>
      <c r="M157" s="123">
        <v>0</v>
      </c>
      <c r="N157" s="123">
        <v>0</v>
      </c>
      <c r="O157" s="123">
        <v>0</v>
      </c>
      <c r="P157" s="123">
        <f>'Supplemental LCA Data'!$AC$54</f>
        <v>0</v>
      </c>
      <c r="Q157" s="123">
        <f>'Supplemental LCA Data'!$AD$54</f>
        <v>0</v>
      </c>
      <c r="R157" s="123">
        <f>'Supplemental LCA Data'!$AE$54</f>
        <v>0</v>
      </c>
      <c r="S157" s="123">
        <f>'Supplemental LCA Data'!$AF$54</f>
        <v>0</v>
      </c>
      <c r="T157" s="123">
        <f>'Supplemental LCA Data'!$AG$54</f>
        <v>0</v>
      </c>
      <c r="U157" s="123">
        <f>'Supplemental LCA Data'!$AH$54</f>
        <v>0</v>
      </c>
      <c r="V157" s="123"/>
      <c r="W157" s="123"/>
      <c r="X157" s="123"/>
      <c r="Y157" s="123"/>
      <c r="Z157" s="123"/>
      <c r="AA157" s="123"/>
      <c r="AB157" s="123"/>
      <c r="AC157" s="123"/>
      <c r="AD157" s="123"/>
      <c r="AE157" s="123"/>
      <c r="AF157" s="123"/>
      <c r="AG157" s="123"/>
      <c r="AH157" s="123"/>
      <c r="AI157" s="123"/>
      <c r="AJ157" s="123"/>
      <c r="AK157" s="123"/>
      <c r="AL157" s="123"/>
      <c r="AM157" s="123">
        <v>0</v>
      </c>
      <c r="AN157" s="123">
        <v>0</v>
      </c>
      <c r="AO157" s="123">
        <v>0</v>
      </c>
      <c r="AP157" s="316">
        <v>0</v>
      </c>
      <c r="AQ157" s="316">
        <v>0</v>
      </c>
      <c r="AR157" s="316">
        <v>0</v>
      </c>
      <c r="AS157" s="316">
        <v>0</v>
      </c>
      <c r="AT157" s="316">
        <v>0</v>
      </c>
      <c r="AU157" s="316">
        <v>0</v>
      </c>
      <c r="AV157" s="129">
        <v>0</v>
      </c>
      <c r="AW157" s="129"/>
      <c r="AX157" s="129"/>
      <c r="AY157" s="129"/>
      <c r="AZ157" s="129"/>
      <c r="BA157" s="129">
        <v>0</v>
      </c>
      <c r="BB157" s="129">
        <v>0</v>
      </c>
      <c r="BC157" s="129">
        <v>0</v>
      </c>
      <c r="BD157" s="129">
        <v>0</v>
      </c>
      <c r="BE157" s="129">
        <v>0</v>
      </c>
      <c r="BF157" s="129">
        <v>0</v>
      </c>
      <c r="BG157" s="130">
        <v>0</v>
      </c>
      <c r="BH157" s="130">
        <v>0</v>
      </c>
      <c r="BI157" s="130">
        <v>0</v>
      </c>
      <c r="BJ157" s="130">
        <v>0</v>
      </c>
      <c r="BK157" s="130">
        <v>0</v>
      </c>
    </row>
    <row r="158" spans="1:63">
      <c r="A158">
        <f t="shared" si="1"/>
        <v>155</v>
      </c>
      <c r="B158" t="s">
        <v>108</v>
      </c>
      <c r="C158" t="str">
        <f>INDEX(EPD_Measures,11)</f>
        <v>Renewable material resources</v>
      </c>
      <c r="D158" t="str">
        <f>INDEX(EPD_Calc_Units,11)</f>
        <v>kg</v>
      </c>
      <c r="E158" s="123" t="e">
        <f>NA()</f>
        <v>#N/A</v>
      </c>
      <c r="F158" s="123" t="e">
        <f>NA()</f>
        <v>#N/A</v>
      </c>
      <c r="G158" s="123">
        <v>1.5600000000000001E-6</v>
      </c>
      <c r="H158" s="123">
        <v>1.9192605499999998E-6</v>
      </c>
      <c r="I158" s="123">
        <v>1.5600000000000001E-6</v>
      </c>
      <c r="J158" s="123">
        <v>1.9192605499999998E-6</v>
      </c>
      <c r="K158" s="123"/>
      <c r="L158" s="123"/>
      <c r="M158" s="123">
        <v>0</v>
      </c>
      <c r="N158" s="123">
        <v>0</v>
      </c>
      <c r="O158" s="123">
        <v>0</v>
      </c>
      <c r="P158" s="123">
        <f>'Supplemental LCA Data'!$AC$55</f>
        <v>0</v>
      </c>
      <c r="Q158" s="123">
        <f>'Supplemental LCA Data'!$AD$55</f>
        <v>0</v>
      </c>
      <c r="R158" s="123">
        <f>'Supplemental LCA Data'!$AE$55</f>
        <v>0</v>
      </c>
      <c r="S158" s="123">
        <f>'Supplemental LCA Data'!$AF$55</f>
        <v>0</v>
      </c>
      <c r="T158" s="123">
        <f>'Supplemental LCA Data'!$AG$55</f>
        <v>0</v>
      </c>
      <c r="U158" s="123">
        <f>'Supplemental LCA Data'!$AH$55</f>
        <v>0</v>
      </c>
      <c r="V158" s="123"/>
      <c r="W158" s="123"/>
      <c r="X158" s="123"/>
      <c r="Y158" s="123"/>
      <c r="Z158" s="123"/>
      <c r="AA158" s="123"/>
      <c r="AB158" s="123"/>
      <c r="AC158" s="123"/>
      <c r="AD158" s="123"/>
      <c r="AE158" s="123"/>
      <c r="AF158" s="123"/>
      <c r="AG158" s="123"/>
      <c r="AH158" s="123"/>
      <c r="AI158" s="123"/>
      <c r="AJ158" s="123"/>
      <c r="AK158" s="123"/>
      <c r="AL158" s="123"/>
      <c r="AM158" s="123">
        <v>0</v>
      </c>
      <c r="AN158" s="123">
        <v>0</v>
      </c>
      <c r="AO158" s="123">
        <v>0</v>
      </c>
      <c r="AP158" s="316">
        <v>0</v>
      </c>
      <c r="AQ158" s="316">
        <v>0</v>
      </c>
      <c r="AR158" s="316">
        <v>0</v>
      </c>
      <c r="AS158" s="316">
        <v>0</v>
      </c>
      <c r="AT158" s="316">
        <v>0</v>
      </c>
      <c r="AU158" s="316">
        <v>0</v>
      </c>
      <c r="AV158" s="129">
        <v>0</v>
      </c>
      <c r="AW158" s="129"/>
      <c r="AX158" s="129"/>
      <c r="AY158" s="129"/>
      <c r="AZ158" s="129"/>
      <c r="BA158" s="129">
        <v>0.84323164500000003</v>
      </c>
      <c r="BB158" s="129">
        <v>0</v>
      </c>
      <c r="BC158" s="129">
        <v>0</v>
      </c>
      <c r="BD158" s="129">
        <v>0</v>
      </c>
      <c r="BE158" s="129">
        <v>0</v>
      </c>
      <c r="BF158" s="129">
        <v>0</v>
      </c>
      <c r="BG158" s="130">
        <v>0</v>
      </c>
      <c r="BH158" s="130">
        <v>0</v>
      </c>
      <c r="BI158" s="130">
        <v>0</v>
      </c>
      <c r="BJ158" s="130">
        <v>0</v>
      </c>
      <c r="BK158" s="130">
        <v>0</v>
      </c>
    </row>
    <row r="159" spans="1:63">
      <c r="A159">
        <f t="shared" si="1"/>
        <v>156</v>
      </c>
      <c r="B159" t="s">
        <v>108</v>
      </c>
      <c r="C159" t="str">
        <f>INDEX(EPD_Measures,12)</f>
        <v>Net Fresh Water</v>
      </c>
      <c r="D159" t="str">
        <f>INDEX(EPD_Calc_Units,12)</f>
        <v>m3</v>
      </c>
      <c r="E159" s="123" t="e">
        <f>NA()</f>
        <v>#N/A</v>
      </c>
      <c r="F159" s="123" t="e">
        <f>NA()</f>
        <v>#N/A</v>
      </c>
      <c r="G159" s="123">
        <f>$G$1+0</f>
        <v>6.7500000000000004E-4</v>
      </c>
      <c r="H159" s="123">
        <f>$G$1+0.000000717</f>
        <v>6.7571700000000005E-4</v>
      </c>
      <c r="I159" s="123">
        <f>$G$1+0</f>
        <v>6.7500000000000004E-4</v>
      </c>
      <c r="J159" s="123">
        <f>$G$1+0.000000717</f>
        <v>6.7571700000000005E-4</v>
      </c>
      <c r="K159" s="123">
        <v>0</v>
      </c>
      <c r="L159" s="123">
        <v>0</v>
      </c>
      <c r="M159" s="123">
        <v>0</v>
      </c>
      <c r="N159" s="123">
        <v>0</v>
      </c>
      <c r="O159" s="123">
        <v>0</v>
      </c>
      <c r="P159" s="123">
        <f>'Supplemental LCA Data'!$AC$56</f>
        <v>0</v>
      </c>
      <c r="Q159" s="123">
        <f>'Supplemental LCA Data'!$AD$56</f>
        <v>0</v>
      </c>
      <c r="R159" s="123">
        <f>'Supplemental LCA Data'!$AE$56</f>
        <v>0</v>
      </c>
      <c r="S159" s="123">
        <f>'Supplemental LCA Data'!$AF$56</f>
        <v>0</v>
      </c>
      <c r="T159" s="123">
        <f>'Supplemental LCA Data'!$AG$56</f>
        <v>0</v>
      </c>
      <c r="U159" s="123">
        <f>'Supplemental LCA Data'!$AH$56</f>
        <v>0</v>
      </c>
      <c r="V159" s="123">
        <v>0.11500386618134965</v>
      </c>
      <c r="W159" s="123">
        <f>'Supplemental LCA Data'!$B$73/1000/1000</f>
        <v>1.3732079207907059E-2</v>
      </c>
      <c r="X159" s="123">
        <f>'Supplemental LCA Data'!$C$73/1000/1000</f>
        <v>1.389655434006113E-2</v>
      </c>
      <c r="Y159" s="123">
        <f>'Supplemental LCA Data'!$D$73/1000/1000</f>
        <v>1.4675578391799121E-2</v>
      </c>
      <c r="Z159" s="123">
        <f t="shared" si="3"/>
        <v>1.5105287128697766E-2</v>
      </c>
      <c r="AA159" s="123">
        <v>0</v>
      </c>
      <c r="AB159" s="123">
        <v>0</v>
      </c>
      <c r="AC159" s="123">
        <f t="shared" si="2"/>
        <v>1.3732079207907059E-2</v>
      </c>
      <c r="AD159" s="123">
        <v>0</v>
      </c>
      <c r="AE159" s="123">
        <v>0</v>
      </c>
      <c r="AF159" s="123">
        <v>0</v>
      </c>
      <c r="AG159" s="123">
        <v>6.6615854003756548E-4</v>
      </c>
      <c r="AH159" s="123">
        <v>8.5599624991234465E-3</v>
      </c>
      <c r="AI159" s="123">
        <v>3.5226266152208971E-4</v>
      </c>
      <c r="AJ159" s="123">
        <v>3.9507938615937904E-3</v>
      </c>
      <c r="AK159" s="123">
        <v>7.4033158500000001E-2</v>
      </c>
      <c r="AL159" s="123">
        <v>0</v>
      </c>
      <c r="AM159" s="123">
        <v>0</v>
      </c>
      <c r="AN159" s="123">
        <v>0</v>
      </c>
      <c r="AO159" s="123">
        <v>0</v>
      </c>
      <c r="AP159" s="316">
        <v>0</v>
      </c>
      <c r="AQ159" s="316">
        <v>0</v>
      </c>
      <c r="AR159" s="316">
        <v>0</v>
      </c>
      <c r="AS159" s="316">
        <v>0</v>
      </c>
      <c r="AT159" s="316">
        <v>0</v>
      </c>
      <c r="AU159" s="316">
        <v>0</v>
      </c>
      <c r="AV159" s="129">
        <v>0</v>
      </c>
      <c r="AW159" s="129">
        <v>0</v>
      </c>
      <c r="AX159" s="129">
        <v>0</v>
      </c>
      <c r="AY159" s="129">
        <v>0</v>
      </c>
      <c r="AZ159" s="129">
        <v>0</v>
      </c>
      <c r="BA159" s="129">
        <v>0</v>
      </c>
      <c r="BB159" s="129">
        <v>0</v>
      </c>
      <c r="BC159" s="129">
        <v>0</v>
      </c>
      <c r="BD159" s="129">
        <v>0</v>
      </c>
      <c r="BE159" s="129">
        <v>0</v>
      </c>
      <c r="BF159" s="129">
        <v>0</v>
      </c>
      <c r="BG159" s="130">
        <v>0</v>
      </c>
      <c r="BH159" s="130">
        <v>0</v>
      </c>
      <c r="BI159" s="130">
        <v>0</v>
      </c>
      <c r="BJ159" s="130">
        <v>0</v>
      </c>
      <c r="BK159" s="130">
        <v>0</v>
      </c>
    </row>
    <row r="160" spans="1:63">
      <c r="A160">
        <f t="shared" si="1"/>
        <v>157</v>
      </c>
      <c r="B160" t="s">
        <v>108</v>
      </c>
      <c r="C160" t="str">
        <f>INDEX(EPD_Measures,13)</f>
        <v>Non-hazardous waste generated</v>
      </c>
      <c r="D160" t="str">
        <f>INDEX(EPD_Calc_Units,13)</f>
        <v>kg</v>
      </c>
      <c r="E160" s="123" t="e">
        <f>NA()</f>
        <v>#N/A</v>
      </c>
      <c r="F160" s="123" t="e">
        <f>NA()</f>
        <v>#N/A</v>
      </c>
      <c r="G160" s="123">
        <v>0</v>
      </c>
      <c r="H160" s="123">
        <v>0</v>
      </c>
      <c r="I160" s="123">
        <v>0</v>
      </c>
      <c r="J160" s="123">
        <v>0</v>
      </c>
      <c r="K160" s="123"/>
      <c r="L160" s="123"/>
      <c r="M160" s="123">
        <v>0</v>
      </c>
      <c r="N160" s="123">
        <v>0</v>
      </c>
      <c r="O160" s="123">
        <v>0</v>
      </c>
      <c r="P160" s="123">
        <f>'Supplemental LCA Data'!$AC$57</f>
        <v>0</v>
      </c>
      <c r="Q160" s="123">
        <f>'Supplemental LCA Data'!$AD$57</f>
        <v>0</v>
      </c>
      <c r="R160" s="123">
        <f>'Supplemental LCA Data'!$AE$57</f>
        <v>0</v>
      </c>
      <c r="S160" s="123">
        <f>'Supplemental LCA Data'!$AF$57</f>
        <v>0</v>
      </c>
      <c r="T160" s="123">
        <f>'Supplemental LCA Data'!$AG$57</f>
        <v>0</v>
      </c>
      <c r="U160" s="123">
        <f>'Supplemental LCA Data'!$AH$57</f>
        <v>0</v>
      </c>
      <c r="V160" s="123"/>
      <c r="W160" s="123"/>
      <c r="X160" s="123"/>
      <c r="Y160" s="123"/>
      <c r="Z160" s="123"/>
      <c r="AA160" s="123"/>
      <c r="AB160" s="123"/>
      <c r="AC160" s="123"/>
      <c r="AD160" s="123"/>
      <c r="AE160" s="123"/>
      <c r="AF160" s="123"/>
      <c r="AG160" s="123"/>
      <c r="AH160" s="123"/>
      <c r="AI160" s="123"/>
      <c r="AJ160" s="123"/>
      <c r="AK160" s="123"/>
      <c r="AL160" s="123"/>
      <c r="AM160" s="123">
        <v>0</v>
      </c>
      <c r="AN160" s="123">
        <v>0</v>
      </c>
      <c r="AO160" s="123">
        <v>0</v>
      </c>
      <c r="AP160" s="316">
        <v>0</v>
      </c>
      <c r="AQ160" s="316">
        <v>0</v>
      </c>
      <c r="AR160" s="316">
        <v>0</v>
      </c>
      <c r="AS160" s="316">
        <v>0</v>
      </c>
      <c r="AT160" s="316">
        <v>0</v>
      </c>
      <c r="AU160" s="316">
        <v>0</v>
      </c>
      <c r="AV160" s="129">
        <v>0</v>
      </c>
      <c r="AW160" s="129"/>
      <c r="AX160" s="129"/>
      <c r="AY160" s="129"/>
      <c r="AZ160" s="129"/>
      <c r="BA160" s="129">
        <v>0</v>
      </c>
      <c r="BB160" s="129">
        <v>0</v>
      </c>
      <c r="BC160" s="129">
        <v>0</v>
      </c>
      <c r="BD160" s="129">
        <v>0</v>
      </c>
      <c r="BE160" s="129">
        <v>0</v>
      </c>
      <c r="BF160" s="129">
        <v>0</v>
      </c>
      <c r="BG160" s="130">
        <v>0</v>
      </c>
      <c r="BH160" s="130">
        <v>0</v>
      </c>
      <c r="BI160" s="130">
        <v>0</v>
      </c>
      <c r="BJ160" s="130">
        <v>0</v>
      </c>
      <c r="BK160" s="130">
        <v>0</v>
      </c>
    </row>
    <row r="161" spans="1:63">
      <c r="A161">
        <f t="shared" si="1"/>
        <v>158</v>
      </c>
      <c r="B161" t="s">
        <v>108</v>
      </c>
      <c r="C161" t="str">
        <f>INDEX(EPD_Measures,14)</f>
        <v>Hazardous waste generated</v>
      </c>
      <c r="D161" t="str">
        <f>INDEX(EPD_Calc_Units,14)</f>
        <v>kg</v>
      </c>
      <c r="E161" s="123" t="e">
        <f>NA()</f>
        <v>#N/A</v>
      </c>
      <c r="F161" s="123" t="e">
        <f>NA()</f>
        <v>#N/A</v>
      </c>
      <c r="G161" s="123">
        <v>0</v>
      </c>
      <c r="H161" s="123">
        <v>0</v>
      </c>
      <c r="I161" s="123">
        <v>0</v>
      </c>
      <c r="J161" s="123">
        <v>0</v>
      </c>
      <c r="K161" s="123"/>
      <c r="L161" s="123"/>
      <c r="M161" s="123">
        <v>0</v>
      </c>
      <c r="N161" s="123">
        <v>0</v>
      </c>
      <c r="O161" s="123">
        <v>0</v>
      </c>
      <c r="P161" s="123">
        <f>'Supplemental LCA Data'!$AC$58</f>
        <v>0</v>
      </c>
      <c r="Q161" s="123">
        <f>'Supplemental LCA Data'!$AD$58</f>
        <v>0</v>
      </c>
      <c r="R161" s="123">
        <f>'Supplemental LCA Data'!$AE$58</f>
        <v>0</v>
      </c>
      <c r="S161" s="123">
        <f>'Supplemental LCA Data'!$AF$58</f>
        <v>0</v>
      </c>
      <c r="T161" s="123">
        <f>'Supplemental LCA Data'!$AG$58</f>
        <v>0</v>
      </c>
      <c r="U161" s="123">
        <f>'Supplemental LCA Data'!$AH$58</f>
        <v>0</v>
      </c>
      <c r="V161" s="123"/>
      <c r="W161" s="123"/>
      <c r="X161" s="123"/>
      <c r="Y161" s="123"/>
      <c r="Z161" s="123"/>
      <c r="AA161" s="123"/>
      <c r="AB161" s="123"/>
      <c r="AC161" s="123"/>
      <c r="AD161" s="123"/>
      <c r="AE161" s="123"/>
      <c r="AF161" s="123"/>
      <c r="AG161" s="123"/>
      <c r="AH161" s="123"/>
      <c r="AI161" s="123"/>
      <c r="AJ161" s="123"/>
      <c r="AK161" s="123"/>
      <c r="AL161" s="123"/>
      <c r="AM161" s="123">
        <v>0</v>
      </c>
      <c r="AN161" s="123">
        <v>0</v>
      </c>
      <c r="AO161" s="123">
        <v>0</v>
      </c>
      <c r="AP161" s="316">
        <v>0</v>
      </c>
      <c r="AQ161" s="316">
        <v>0</v>
      </c>
      <c r="AR161" s="316">
        <v>0</v>
      </c>
      <c r="AS161" s="316">
        <v>0</v>
      </c>
      <c r="AT161" s="316">
        <v>0</v>
      </c>
      <c r="AU161" s="316">
        <v>0</v>
      </c>
      <c r="AV161" s="129">
        <v>0</v>
      </c>
      <c r="AW161" s="129"/>
      <c r="AX161" s="129"/>
      <c r="AY161" s="129"/>
      <c r="AZ161" s="129"/>
      <c r="BA161" s="129">
        <v>0</v>
      </c>
      <c r="BB161" s="129">
        <v>0</v>
      </c>
      <c r="BC161" s="129">
        <v>0</v>
      </c>
      <c r="BD161" s="129">
        <v>0</v>
      </c>
      <c r="BE161" s="129">
        <v>0</v>
      </c>
      <c r="BF161" s="129">
        <v>0</v>
      </c>
      <c r="BG161" s="130">
        <v>0</v>
      </c>
      <c r="BH161" s="130">
        <v>0</v>
      </c>
      <c r="BI161" s="130">
        <v>0</v>
      </c>
      <c r="BJ161" s="130">
        <v>0</v>
      </c>
      <c r="BK161" s="130">
        <v>0</v>
      </c>
    </row>
    <row r="162" spans="1:63">
      <c r="A162" s="112">
        <f t="shared" si="1"/>
        <v>159</v>
      </c>
      <c r="B162" s="112" t="s">
        <v>17</v>
      </c>
      <c r="C162" s="112" t="str">
        <f>INDEX(EPD_Measures,1)</f>
        <v>Global warming potential (GWP)</v>
      </c>
      <c r="D162" s="112" t="str">
        <f>INDEX(EPD_Calc_Units,1)</f>
        <v>kg</v>
      </c>
      <c r="E162" s="123">
        <v>1.353734558</v>
      </c>
      <c r="F162" s="123">
        <f>E162*'Supplemental LCA Data'!$E$49</f>
        <v>1.2112361834736842</v>
      </c>
      <c r="G162" s="123">
        <v>8.1770000000000002E-3</v>
      </c>
      <c r="H162" s="123">
        <v>4.7600000000000003E-3</v>
      </c>
      <c r="I162" s="123">
        <v>4.1937679999999996E-3</v>
      </c>
      <c r="J162" s="123">
        <v>4.7600000000000003E-3</v>
      </c>
      <c r="K162" s="123">
        <v>0</v>
      </c>
      <c r="L162" s="123">
        <v>0</v>
      </c>
      <c r="M162" s="123">
        <v>0</v>
      </c>
      <c r="N162" s="123">
        <v>0</v>
      </c>
      <c r="O162" s="123">
        <v>0</v>
      </c>
      <c r="P162" s="123">
        <f>'Supplemental LCA Data'!$AC$45</f>
        <v>0.10406360712476165</v>
      </c>
      <c r="Q162" s="123">
        <f>'Supplemental LCA Data'!$AD$45</f>
        <v>0.22949974224587316</v>
      </c>
      <c r="R162" s="123">
        <f>'Supplemental LCA Data'!$AE$45</f>
        <v>1.2625032020663256</v>
      </c>
      <c r="S162" s="123">
        <f>'Supplemental LCA Data'!$AF$45</f>
        <v>0.76998593521882752</v>
      </c>
      <c r="T162" s="123">
        <f>'Supplemental LCA Data'!$AG$45</f>
        <v>0.22949974224587316</v>
      </c>
      <c r="U162" s="123">
        <f>'Supplemental LCA Data'!$AH$45</f>
        <v>0.51911044578033227</v>
      </c>
      <c r="V162" s="123">
        <v>2.9429471121354829</v>
      </c>
      <c r="W162" s="123">
        <f>'Supplemental LCA Data'!$E$71/1000</f>
        <v>0.89195544554366246</v>
      </c>
      <c r="X162" s="123">
        <f>'Supplemental LCA Data'!$F$71/1000</f>
        <v>1.1312138489469654</v>
      </c>
      <c r="Y162" s="123">
        <f>'Supplemental LCA Data'!$G$71/1000</f>
        <v>1.5012328955993122</v>
      </c>
      <c r="Z162" s="123">
        <f t="shared" si="3"/>
        <v>0.98115099009802875</v>
      </c>
      <c r="AA162" s="123">
        <v>0</v>
      </c>
      <c r="AB162" s="123">
        <v>0</v>
      </c>
      <c r="AC162" s="123">
        <f t="shared" si="2"/>
        <v>0.89195544554366246</v>
      </c>
      <c r="AD162" s="123">
        <v>0</v>
      </c>
      <c r="AE162" s="123">
        <v>0</v>
      </c>
      <c r="AF162" s="123">
        <v>0</v>
      </c>
      <c r="AG162" s="123">
        <v>3.3162413704963716</v>
      </c>
      <c r="AH162" s="123">
        <v>9.0789952164299699</v>
      </c>
      <c r="AI162" s="123">
        <v>0.2453477255455345</v>
      </c>
      <c r="AJ162" s="123">
        <v>0.3279493299762562</v>
      </c>
      <c r="AK162" s="123">
        <v>4.6408478655656005</v>
      </c>
      <c r="AL162" s="123">
        <v>0.92461248966214149</v>
      </c>
      <c r="AM162" s="123">
        <v>0</v>
      </c>
      <c r="AN162" s="123">
        <v>0</v>
      </c>
      <c r="AO162" s="123">
        <v>0</v>
      </c>
      <c r="AP162" s="316">
        <v>0</v>
      </c>
      <c r="AQ162" s="316">
        <v>0</v>
      </c>
      <c r="AR162" s="316">
        <v>0</v>
      </c>
      <c r="AS162" s="316">
        <v>0</v>
      </c>
      <c r="AT162" s="316">
        <v>0</v>
      </c>
      <c r="AU162" s="316">
        <v>0</v>
      </c>
      <c r="AV162" s="129">
        <v>0.66394582599999996</v>
      </c>
      <c r="AW162" s="129">
        <v>0</v>
      </c>
      <c r="AX162" s="129">
        <v>0</v>
      </c>
      <c r="AY162" s="129">
        <v>0</v>
      </c>
      <c r="AZ162" s="129">
        <v>0</v>
      </c>
      <c r="BA162" s="129">
        <v>4.5765858E-2</v>
      </c>
      <c r="BB162" s="129">
        <v>2.529973</v>
      </c>
      <c r="BC162" s="129">
        <v>2.4438970000000002</v>
      </c>
      <c r="BD162" s="129">
        <v>3.1787649999999998</v>
      </c>
      <c r="BE162" s="129">
        <v>3.7603420000000001</v>
      </c>
      <c r="BF162" s="129">
        <v>2.0422280000000002</v>
      </c>
      <c r="BG162" s="130">
        <v>9.2743999999999993E-2</v>
      </c>
      <c r="BH162" s="130">
        <v>7.3523000000000005E-2</v>
      </c>
      <c r="BI162" s="130">
        <v>2.2027999999999999E-2</v>
      </c>
      <c r="BJ162" s="130">
        <v>1.8526999999999998E-2</v>
      </c>
      <c r="BK162" s="130">
        <v>3.3079999999999998E-2</v>
      </c>
    </row>
    <row r="163" spans="1:63">
      <c r="A163">
        <f t="shared" si="1"/>
        <v>160</v>
      </c>
      <c r="B163" t="s">
        <v>17</v>
      </c>
      <c r="C163" t="str">
        <f>INDEX(EPD_Measures,2)</f>
        <v>Acidification potential</v>
      </c>
      <c r="D163" t="str">
        <f>INDEX(EPD_Calc_Units,2)</f>
        <v>kg</v>
      </c>
      <c r="E163" s="123">
        <v>6.7547789999999998E-3</v>
      </c>
      <c r="F163" s="123">
        <f>E163*'Supplemental LCA Data'!$E$52</f>
        <v>6.0957761707317063E-3</v>
      </c>
      <c r="G163" s="123">
        <v>8.1000000000000004E-5</v>
      </c>
      <c r="H163" s="123">
        <v>5.3000000000000001E-5</v>
      </c>
      <c r="I163" s="123">
        <v>4.7288900000000001E-5</v>
      </c>
      <c r="J163" s="123">
        <v>5.3000000000000001E-5</v>
      </c>
      <c r="K163" s="123"/>
      <c r="L163" s="123"/>
      <c r="M163" s="123">
        <v>0</v>
      </c>
      <c r="N163" s="123">
        <v>0</v>
      </c>
      <c r="O163" s="123">
        <v>0</v>
      </c>
      <c r="P163" s="123">
        <f>'Supplemental LCA Data'!$AC$46</f>
        <v>5.7703135192831948E-4</v>
      </c>
      <c r="Q163" s="123">
        <f>'Supplemental LCA Data'!$AD$46</f>
        <v>1.2139986365417917E-3</v>
      </c>
      <c r="R163" s="123">
        <f>'Supplemental LCA Data'!$AE$46</f>
        <v>4.7483946670140312E-3</v>
      </c>
      <c r="S163" s="123">
        <f>'Supplemental LCA Data'!$AF$46</f>
        <v>3.9528555604969102</v>
      </c>
      <c r="T163" s="123">
        <f>'Supplemental LCA Data'!$AG$46</f>
        <v>1.2139986365417917E-3</v>
      </c>
      <c r="U163" s="123">
        <f>'Supplemental LCA Data'!$AH$46</f>
        <v>0.79212179675778727</v>
      </c>
      <c r="V163" s="123"/>
      <c r="W163" s="123"/>
      <c r="X163" s="123"/>
      <c r="Y163" s="123"/>
      <c r="Z163" s="123"/>
      <c r="AA163" s="123"/>
      <c r="AB163" s="123"/>
      <c r="AC163" s="123"/>
      <c r="AD163" s="123"/>
      <c r="AE163" s="123"/>
      <c r="AF163" s="123"/>
      <c r="AG163" s="123"/>
      <c r="AH163" s="123"/>
      <c r="AI163" s="123"/>
      <c r="AJ163" s="123"/>
      <c r="AK163" s="123"/>
      <c r="AL163" s="123"/>
      <c r="AM163" s="123">
        <v>0</v>
      </c>
      <c r="AN163" s="123">
        <v>0</v>
      </c>
      <c r="AO163" s="123">
        <v>0</v>
      </c>
      <c r="AP163" s="316">
        <v>0</v>
      </c>
      <c r="AQ163" s="316">
        <v>0</v>
      </c>
      <c r="AR163" s="316">
        <v>0</v>
      </c>
      <c r="AS163" s="316">
        <v>0</v>
      </c>
      <c r="AT163" s="316">
        <v>0</v>
      </c>
      <c r="AU163" s="316">
        <v>0</v>
      </c>
      <c r="AV163" s="129">
        <v>5.6107869999999999E-3</v>
      </c>
      <c r="AW163" s="129"/>
      <c r="AX163" s="129"/>
      <c r="AY163" s="129"/>
      <c r="AZ163" s="129"/>
      <c r="BA163" s="129">
        <v>8.3965400000000001E-4</v>
      </c>
      <c r="BB163" s="129">
        <v>2.6606000000000001E-2</v>
      </c>
      <c r="BC163" s="129">
        <v>2.0861000000000001E-2</v>
      </c>
      <c r="BD163" s="129">
        <v>5.646E-3</v>
      </c>
      <c r="BE163" s="129">
        <v>8.8570000000000003E-3</v>
      </c>
      <c r="BF163" s="129">
        <v>4.045E-3</v>
      </c>
      <c r="BG163" s="130">
        <v>4.6900000000000002E-4</v>
      </c>
      <c r="BH163" s="130">
        <v>3.2299999999999999E-4</v>
      </c>
      <c r="BI163" s="130">
        <v>3.7199999999999999E-4</v>
      </c>
      <c r="BJ163" s="130">
        <v>3.2299999999999999E-4</v>
      </c>
      <c r="BK163" s="130">
        <v>2.8299999999999999E-4</v>
      </c>
    </row>
    <row r="164" spans="1:63">
      <c r="A164">
        <f t="shared" si="1"/>
        <v>161</v>
      </c>
      <c r="B164" t="s">
        <v>17</v>
      </c>
      <c r="C164" t="str">
        <f>INDEX(EPD_Measures,3)</f>
        <v>Eutrophication potential</v>
      </c>
      <c r="D164" t="str">
        <f>INDEX(EPD_Calc_Units,3)</f>
        <v>kg</v>
      </c>
      <c r="E164" s="123">
        <v>1.5777E-4</v>
      </c>
      <c r="F164" s="123">
        <f>E164*'Supplemental LCA Data'!$E$53</f>
        <v>1.4563384615384617E-4</v>
      </c>
      <c r="G164" s="123">
        <v>2.5000000000000002E-6</v>
      </c>
      <c r="H164" s="123">
        <v>2.6699999999999998E-6</v>
      </c>
      <c r="I164" s="123">
        <v>2.0473899999999998E-6</v>
      </c>
      <c r="J164" s="123">
        <v>2.6699999999999998E-6</v>
      </c>
      <c r="K164" s="123"/>
      <c r="L164" s="123"/>
      <c r="M164" s="123">
        <v>0</v>
      </c>
      <c r="N164" s="123">
        <v>0</v>
      </c>
      <c r="O164" s="123">
        <v>0</v>
      </c>
      <c r="P164" s="123">
        <f>'Supplemental LCA Data'!$AC$47</f>
        <v>1.9624831959085375E-4</v>
      </c>
      <c r="Q164" s="123">
        <f>'Supplemental LCA Data'!$AD$47</f>
        <v>4.226795252829316E-5</v>
      </c>
      <c r="R164" s="123">
        <f>'Supplemental LCA Data'!$AE$47</f>
        <v>8.7898401280121123E-4</v>
      </c>
      <c r="S164" s="123">
        <f>'Supplemental LCA Data'!$AF$47</f>
        <v>0.24926944204227258</v>
      </c>
      <c r="T164" s="123">
        <f>'Supplemental LCA Data'!$AG$47</f>
        <v>4.226795252829316E-5</v>
      </c>
      <c r="U164" s="123">
        <f>'Supplemental LCA Data'!$AH$47</f>
        <v>5.0085842055944255E-2</v>
      </c>
      <c r="V164" s="123"/>
      <c r="W164" s="123"/>
      <c r="X164" s="123"/>
      <c r="Y164" s="123"/>
      <c r="Z164" s="123"/>
      <c r="AA164" s="123"/>
      <c r="AB164" s="123"/>
      <c r="AC164" s="123"/>
      <c r="AD164" s="123"/>
      <c r="AE164" s="123"/>
      <c r="AF164" s="123"/>
      <c r="AG164" s="123"/>
      <c r="AH164" s="123"/>
      <c r="AI164" s="123"/>
      <c r="AJ164" s="123"/>
      <c r="AK164" s="123"/>
      <c r="AL164" s="123"/>
      <c r="AM164" s="123">
        <v>0</v>
      </c>
      <c r="AN164" s="123">
        <v>0</v>
      </c>
      <c r="AO164" s="123">
        <v>0</v>
      </c>
      <c r="AP164" s="316">
        <v>0</v>
      </c>
      <c r="AQ164" s="316">
        <v>0</v>
      </c>
      <c r="AR164" s="316">
        <v>0</v>
      </c>
      <c r="AS164" s="316">
        <v>0</v>
      </c>
      <c r="AT164" s="316">
        <v>0</v>
      </c>
      <c r="AU164" s="316">
        <v>0</v>
      </c>
      <c r="AV164" s="129">
        <v>7.5129999999999994E-5</v>
      </c>
      <c r="AW164" s="129"/>
      <c r="AX164" s="129"/>
      <c r="AY164" s="129"/>
      <c r="AZ164" s="129"/>
      <c r="BA164" s="129">
        <v>4.0302700000000003E-5</v>
      </c>
      <c r="BB164" s="129">
        <v>1.722E-3</v>
      </c>
      <c r="BC164" s="129">
        <v>2.05E-4</v>
      </c>
      <c r="BD164" s="129">
        <v>3.9599999999999998E-4</v>
      </c>
      <c r="BE164" s="129">
        <v>6.0300000000000002E-4</v>
      </c>
      <c r="BF164" s="129">
        <v>2.8299999999999999E-4</v>
      </c>
      <c r="BG164" s="130">
        <v>3.0800000000000003E-5</v>
      </c>
      <c r="BH164" s="130">
        <v>2.1500000000000001E-5</v>
      </c>
      <c r="BI164" s="130">
        <v>2.3799999999999999E-5</v>
      </c>
      <c r="BJ164" s="130">
        <v>2.0699999999999998E-5</v>
      </c>
      <c r="BK164" s="130">
        <v>1.8300000000000001E-5</v>
      </c>
    </row>
    <row r="165" spans="1:63">
      <c r="A165">
        <f t="shared" si="1"/>
        <v>162</v>
      </c>
      <c r="B165" t="s">
        <v>17</v>
      </c>
      <c r="C165" t="str">
        <f>INDEX(EPD_Measures,4)</f>
        <v>Smog creation potential</v>
      </c>
      <c r="D165" t="str">
        <f>INDEX(EPD_Calc_Units,4)</f>
        <v>kg</v>
      </c>
      <c r="E165" s="123">
        <v>8.5312525E-2</v>
      </c>
      <c r="F165" s="123">
        <f>E165*'Supplemental LCA Data'!$E$55</f>
        <v>7.6425803645833332E-2</v>
      </c>
      <c r="G165" s="123">
        <v>1.2880000000000001E-3</v>
      </c>
      <c r="H165" s="123">
        <v>1.248E-3</v>
      </c>
      <c r="I165" s="123">
        <v>1.0740400000000001E-3</v>
      </c>
      <c r="J165" s="123">
        <v>1.248E-3</v>
      </c>
      <c r="K165" s="123"/>
      <c r="L165" s="123"/>
      <c r="M165" s="123">
        <v>0</v>
      </c>
      <c r="N165" s="123">
        <v>0</v>
      </c>
      <c r="O165" s="123">
        <v>0</v>
      </c>
      <c r="P165" s="123">
        <f>'Supplemental LCA Data'!$AC$48</f>
        <v>8.7017595456788718E-3</v>
      </c>
      <c r="Q165" s="123">
        <f>'Supplemental LCA Data'!$AD$48</f>
        <v>1.3524104726696053E-2</v>
      </c>
      <c r="R165" s="123">
        <f>'Supplemental LCA Data'!$AE$48</f>
        <v>5.7241581200289861E-2</v>
      </c>
      <c r="S165" s="123">
        <f>'Supplemental LCA Data'!$AF$48</f>
        <v>43.192743848068233</v>
      </c>
      <c r="T165" s="123">
        <f>'Supplemental LCA Data'!$AG$48</f>
        <v>1.3524104726696053E-2</v>
      </c>
      <c r="U165" s="123">
        <f>'Supplemental LCA Data'!$AH$48</f>
        <v>8.6571470796535195</v>
      </c>
      <c r="V165" s="123"/>
      <c r="W165" s="123"/>
      <c r="X165" s="123"/>
      <c r="Y165" s="123"/>
      <c r="Z165" s="123"/>
      <c r="AA165" s="123"/>
      <c r="AB165" s="123"/>
      <c r="AC165" s="123"/>
      <c r="AD165" s="123"/>
      <c r="AE165" s="123"/>
      <c r="AF165" s="123"/>
      <c r="AG165" s="123"/>
      <c r="AH165" s="123"/>
      <c r="AI165" s="123"/>
      <c r="AJ165" s="123"/>
      <c r="AK165" s="123"/>
      <c r="AL165" s="123"/>
      <c r="AM165" s="123">
        <v>0</v>
      </c>
      <c r="AN165" s="123">
        <v>0</v>
      </c>
      <c r="AO165" s="123">
        <v>0</v>
      </c>
      <c r="AP165" s="316">
        <v>0</v>
      </c>
      <c r="AQ165" s="316">
        <v>0</v>
      </c>
      <c r="AR165" s="316">
        <v>0</v>
      </c>
      <c r="AS165" s="316">
        <v>0</v>
      </c>
      <c r="AT165" s="316">
        <v>0</v>
      </c>
      <c r="AU165" s="316">
        <v>0</v>
      </c>
      <c r="AV165" s="129">
        <v>3.5619848000000003E-2</v>
      </c>
      <c r="AW165" s="129"/>
      <c r="AX165" s="129"/>
      <c r="AY165" s="129"/>
      <c r="AZ165" s="129"/>
      <c r="BA165" s="129">
        <v>0.241503051</v>
      </c>
      <c r="BB165" s="129">
        <v>0.90166400000000002</v>
      </c>
      <c r="BC165" s="129">
        <v>5.2539000000000002E-2</v>
      </c>
      <c r="BD165" s="129">
        <v>0.13974</v>
      </c>
      <c r="BE165" s="129">
        <v>0.24854699999999999</v>
      </c>
      <c r="BF165" s="129">
        <v>0.10738499999999999</v>
      </c>
      <c r="BG165" s="130">
        <v>1.5133000000000001E-2</v>
      </c>
      <c r="BH165" s="130">
        <v>1.0231000000000001E-2</v>
      </c>
      <c r="BI165" s="130">
        <v>1.2799E-2</v>
      </c>
      <c r="BJ165" s="130">
        <v>1.1180000000000001E-2</v>
      </c>
      <c r="BK165" s="130">
        <v>9.5029999999999993E-3</v>
      </c>
    </row>
    <row r="166" spans="1:63">
      <c r="A166">
        <f t="shared" si="1"/>
        <v>163</v>
      </c>
      <c r="B166" t="s">
        <v>17</v>
      </c>
      <c r="C166" t="str">
        <f>INDEX(EPD_Measures,5)</f>
        <v>Ozone depletion potential</v>
      </c>
      <c r="D166" t="str">
        <f>INDEX(EPD_Calc_Units,5)</f>
        <v>kg</v>
      </c>
      <c r="E166" s="123">
        <v>1.02177E-8</v>
      </c>
      <c r="F166" s="123">
        <f>E166*'Supplemental LCA Data'!$E$56</f>
        <v>8.9172654545454525E-9</v>
      </c>
      <c r="G166" s="123">
        <v>1.7899999999999999E-13</v>
      </c>
      <c r="H166" s="123">
        <v>9.6800000000000004E-11</v>
      </c>
      <c r="I166" s="123">
        <v>1.20074E-13</v>
      </c>
      <c r="J166" s="123">
        <v>9.6800000000000004E-11</v>
      </c>
      <c r="K166" s="123"/>
      <c r="L166" s="123"/>
      <c r="M166" s="123">
        <v>0</v>
      </c>
      <c r="N166" s="123">
        <v>0</v>
      </c>
      <c r="O166" s="123">
        <v>0</v>
      </c>
      <c r="P166" s="123">
        <f>'Supplemental LCA Data'!$AC$49</f>
        <v>4.817994588850506E-10</v>
      </c>
      <c r="Q166" s="123">
        <f>'Supplemental LCA Data'!$AD$49</f>
        <v>0</v>
      </c>
      <c r="R166" s="123">
        <f>'Supplemental LCA Data'!$AE$49</f>
        <v>2.4089972944252421E-9</v>
      </c>
      <c r="S166" s="123">
        <f>'Supplemental LCA Data'!$AF$49</f>
        <v>3.2599963386576577E-9</v>
      </c>
      <c r="T166" s="123">
        <f>'Supplemental LCA Data'!$AG$49</f>
        <v>0</v>
      </c>
      <c r="U166" s="123">
        <f>'Supplemental LCA Data'!$AH$49</f>
        <v>1.2301586183935901E-9</v>
      </c>
      <c r="V166" s="123"/>
      <c r="W166" s="123"/>
      <c r="X166" s="123"/>
      <c r="Y166" s="123"/>
      <c r="Z166" s="123"/>
      <c r="AA166" s="123"/>
      <c r="AB166" s="123"/>
      <c r="AC166" s="123"/>
      <c r="AD166" s="123"/>
      <c r="AE166" s="123"/>
      <c r="AF166" s="123"/>
      <c r="AG166" s="123"/>
      <c r="AH166" s="123"/>
      <c r="AI166" s="123"/>
      <c r="AJ166" s="123"/>
      <c r="AK166" s="123"/>
      <c r="AL166" s="123"/>
      <c r="AM166" s="123">
        <v>0</v>
      </c>
      <c r="AN166" s="123">
        <v>0</v>
      </c>
      <c r="AO166" s="123">
        <v>0</v>
      </c>
      <c r="AP166" s="316">
        <v>0</v>
      </c>
      <c r="AQ166" s="316">
        <v>0</v>
      </c>
      <c r="AR166" s="316">
        <v>0</v>
      </c>
      <c r="AS166" s="316">
        <v>0</v>
      </c>
      <c r="AT166" s="316">
        <v>0</v>
      </c>
      <c r="AU166" s="316">
        <v>0</v>
      </c>
      <c r="AV166" s="129">
        <v>9.7873199999999999E-12</v>
      </c>
      <c r="AW166" s="129"/>
      <c r="AX166" s="129"/>
      <c r="AY166" s="129"/>
      <c r="AZ166" s="129"/>
      <c r="BA166" s="129">
        <v>9.58911E-14</v>
      </c>
      <c r="BB166" s="129">
        <v>1.16E-10</v>
      </c>
      <c r="BC166" s="129">
        <v>1.6799999999999999E-12</v>
      </c>
      <c r="BD166" s="129">
        <v>1.2999999999999999E-10</v>
      </c>
      <c r="BE166" s="129">
        <v>1.41E-10</v>
      </c>
      <c r="BF166" s="129">
        <v>8.1099999999999997E-11</v>
      </c>
      <c r="BG166" s="130">
        <v>3.5300000000000001E-12</v>
      </c>
      <c r="BH166" s="130">
        <v>3.1599999999999999E-12</v>
      </c>
      <c r="BI166" s="130">
        <v>8.4099999999999995E-13</v>
      </c>
      <c r="BJ166" s="130">
        <v>6.9599999999999996E-13</v>
      </c>
      <c r="BK166" s="130">
        <v>1.2499999999999999E-12</v>
      </c>
    </row>
    <row r="167" spans="1:63">
      <c r="A167">
        <f t="shared" si="1"/>
        <v>164</v>
      </c>
      <c r="B167" t="s">
        <v>17</v>
      </c>
      <c r="C167" t="str">
        <f>INDEX(EPD_Measures,6)</f>
        <v>Total primary energy consumption</v>
      </c>
      <c r="D167" t="str">
        <f>INDEX(EPD_Calc_Units,6)</f>
        <v>MJ</v>
      </c>
      <c r="E167" s="123">
        <v>5.4987431769999997</v>
      </c>
      <c r="F167" s="123">
        <f>E167*'Supplemental LCA Data'!$E$50</f>
        <v>5.0003676624682774</v>
      </c>
      <c r="G167" s="123">
        <v>0.14554899999999998</v>
      </c>
      <c r="H167" s="123">
        <v>7.8782000000000005E-2</v>
      </c>
      <c r="I167" s="123">
        <v>7.0323958999999991E-2</v>
      </c>
      <c r="J167" s="123">
        <v>7.8782000000000005E-2</v>
      </c>
      <c r="K167" s="123">
        <v>0</v>
      </c>
      <c r="L167" s="123">
        <v>0</v>
      </c>
      <c r="M167" s="123">
        <v>0</v>
      </c>
      <c r="N167" s="123">
        <v>0</v>
      </c>
      <c r="O167" s="123">
        <v>0</v>
      </c>
      <c r="P167" s="123">
        <f>'Supplemental LCA Data'!$AC$50</f>
        <v>2.099997641465547</v>
      </c>
      <c r="Q167" s="123">
        <f>'Supplemental LCA Data'!$AD$50</f>
        <v>4.5999948336864307</v>
      </c>
      <c r="R167" s="123">
        <f>'Supplemental LCA Data'!$AE$50</f>
        <v>22.799974393054555</v>
      </c>
      <c r="S167" s="123">
        <f>'Supplemental LCA Data'!$AF$50</f>
        <v>18.299979447056902</v>
      </c>
      <c r="T167" s="123">
        <f>'Supplemental LCA Data'!$AG$50</f>
        <v>4.5999948336864307</v>
      </c>
      <c r="U167" s="123">
        <f>'Supplemental LCA Data'!$AH$50</f>
        <v>10.479988229789974</v>
      </c>
      <c r="V167" s="123">
        <v>57.506173091793869</v>
      </c>
      <c r="W167" s="123">
        <f>'Supplemental LCA Data'!$E$72/1000</f>
        <v>17.379305548594214</v>
      </c>
      <c r="X167" s="123">
        <f>'Supplemental LCA Data'!$F$72/1000</f>
        <v>21.599171010579372</v>
      </c>
      <c r="Y167" s="123">
        <f>'Supplemental LCA Data'!$G$72/1000</f>
        <v>25.866149969431106</v>
      </c>
      <c r="Z167" s="123">
        <f t="shared" si="3"/>
        <v>19.117236103453639</v>
      </c>
      <c r="AA167" s="123">
        <v>0</v>
      </c>
      <c r="AB167" s="123">
        <v>0</v>
      </c>
      <c r="AC167" s="123">
        <f t="shared" si="2"/>
        <v>17.379305548594214</v>
      </c>
      <c r="AD167" s="123">
        <v>0</v>
      </c>
      <c r="AE167" s="123">
        <v>0</v>
      </c>
      <c r="AF167" s="123">
        <v>0</v>
      </c>
      <c r="AG167" s="123">
        <v>111.41336281293017</v>
      </c>
      <c r="AH167" s="123">
        <v>96.934631722060175</v>
      </c>
      <c r="AI167" s="123">
        <v>3.4310468673118439</v>
      </c>
      <c r="AJ167" s="123">
        <v>7.079849022399789</v>
      </c>
      <c r="AK167" s="123">
        <v>88.609789579499989</v>
      </c>
      <c r="AL167" s="123">
        <v>75.869011043824344</v>
      </c>
      <c r="AM167" s="123">
        <v>0</v>
      </c>
      <c r="AN167" s="123">
        <v>0</v>
      </c>
      <c r="AO167" s="123">
        <v>0</v>
      </c>
      <c r="AP167" s="316">
        <v>0</v>
      </c>
      <c r="AQ167" s="316">
        <v>0</v>
      </c>
      <c r="AR167" s="316">
        <v>0</v>
      </c>
      <c r="AS167" s="316">
        <v>0</v>
      </c>
      <c r="AT167" s="316">
        <v>0</v>
      </c>
      <c r="AU167" s="316">
        <v>0</v>
      </c>
      <c r="AV167" s="129">
        <v>12.53748568</v>
      </c>
      <c r="AW167" s="129">
        <v>3.6</v>
      </c>
      <c r="AX167" s="129">
        <v>3.6</v>
      </c>
      <c r="AY167" s="129">
        <v>3.6</v>
      </c>
      <c r="AZ167" s="129">
        <v>3.6</v>
      </c>
      <c r="BA167" s="129">
        <v>3.4579025999999999E-2</v>
      </c>
      <c r="BB167" s="129">
        <v>41.990099999999998</v>
      </c>
      <c r="BC167" s="129">
        <v>43.209249999999997</v>
      </c>
      <c r="BD167" s="129">
        <v>46.983649999999997</v>
      </c>
      <c r="BE167" s="129">
        <v>51.126690000000004</v>
      </c>
      <c r="BF167" s="129">
        <v>29.343319999999999</v>
      </c>
      <c r="BG167" s="130">
        <v>1.2783040000000001</v>
      </c>
      <c r="BH167" s="130">
        <v>1.14236</v>
      </c>
      <c r="BI167" s="130">
        <v>0.30436299999999999</v>
      </c>
      <c r="BJ167" s="130">
        <v>0.25176399999999999</v>
      </c>
      <c r="BK167" s="130">
        <v>0.45051000000000002</v>
      </c>
    </row>
    <row r="168" spans="1:63">
      <c r="A168">
        <f t="shared" si="1"/>
        <v>165</v>
      </c>
      <c r="B168" t="s">
        <v>17</v>
      </c>
      <c r="C168" t="str">
        <f>INDEX(EPD_Measures,7)</f>
        <v>Nonrenewable energy resources</v>
      </c>
      <c r="D168" t="str">
        <f>INDEX(EPD_Calc_Units,7)</f>
        <v>MJ</v>
      </c>
      <c r="E168" s="123">
        <v>5.4281726480000003</v>
      </c>
      <c r="F168" s="123">
        <f>E168*'Supplemental LCA Data'!$E$51</f>
        <v>4.9260450346283902</v>
      </c>
      <c r="G168" s="123">
        <v>0.14115</v>
      </c>
      <c r="H168" s="123">
        <v>7.7304999999999999E-2</v>
      </c>
      <c r="I168" s="123">
        <v>6.8857507999999998E-2</v>
      </c>
      <c r="J168" s="123">
        <v>7.7304999999999999E-2</v>
      </c>
      <c r="K168" s="123"/>
      <c r="L168" s="123"/>
      <c r="M168" s="123">
        <v>0</v>
      </c>
      <c r="N168" s="123">
        <v>0</v>
      </c>
      <c r="O168" s="123">
        <v>0</v>
      </c>
      <c r="P168" s="123">
        <f>'Supplemental LCA Data'!$AC$51</f>
        <v>2.099997641465547</v>
      </c>
      <c r="Q168" s="123">
        <f>'Supplemental LCA Data'!$AD$51</f>
        <v>4.5999948336864307</v>
      </c>
      <c r="R168" s="123">
        <f>'Supplemental LCA Data'!$AE$51</f>
        <v>22.799974393054555</v>
      </c>
      <c r="S168" s="123">
        <f>'Supplemental LCA Data'!$AF$51</f>
        <v>18.299979447056902</v>
      </c>
      <c r="T168" s="123">
        <f>'Supplemental LCA Data'!$AG$51</f>
        <v>4.5999948336864307</v>
      </c>
      <c r="U168" s="123">
        <f>'Supplemental LCA Data'!$AH$51</f>
        <v>10.479988229789974</v>
      </c>
      <c r="V168" s="123"/>
      <c r="W168" s="123"/>
      <c r="X168" s="123"/>
      <c r="Y168" s="123"/>
      <c r="Z168" s="123"/>
      <c r="AA168" s="123"/>
      <c r="AB168" s="123"/>
      <c r="AC168" s="123"/>
      <c r="AD168" s="123"/>
      <c r="AE168" s="123"/>
      <c r="AF168" s="123"/>
      <c r="AG168" s="123"/>
      <c r="AH168" s="123"/>
      <c r="AI168" s="123"/>
      <c r="AJ168" s="123"/>
      <c r="AK168" s="123"/>
      <c r="AL168" s="123"/>
      <c r="AM168" s="123">
        <v>0</v>
      </c>
      <c r="AN168" s="123">
        <v>0</v>
      </c>
      <c r="AO168" s="123">
        <v>0</v>
      </c>
      <c r="AP168" s="316">
        <v>0</v>
      </c>
      <c r="AQ168" s="316">
        <v>0</v>
      </c>
      <c r="AR168" s="316">
        <v>0</v>
      </c>
      <c r="AS168" s="316">
        <v>0</v>
      </c>
      <c r="AT168" s="316">
        <v>0</v>
      </c>
      <c r="AU168" s="316">
        <v>0</v>
      </c>
      <c r="AV168" s="129">
        <v>12.04866855</v>
      </c>
      <c r="AW168" s="129"/>
      <c r="AX168" s="129"/>
      <c r="AY168" s="129"/>
      <c r="AZ168" s="129"/>
      <c r="BA168" s="129">
        <v>3.4579025999999999E-2</v>
      </c>
      <c r="BB168" s="129">
        <v>41.929009999999998</v>
      </c>
      <c r="BC168" s="129">
        <v>43.189610000000002</v>
      </c>
      <c r="BD168" s="129">
        <v>46.915320000000001</v>
      </c>
      <c r="BE168" s="129">
        <v>51.052590000000002</v>
      </c>
      <c r="BF168" s="129">
        <v>29.300560000000001</v>
      </c>
      <c r="BG168" s="130">
        <v>1.276451</v>
      </c>
      <c r="BH168" s="130">
        <v>1.1407039999999999</v>
      </c>
      <c r="BI168" s="130">
        <v>0.303921</v>
      </c>
      <c r="BJ168" s="130">
        <v>0.25139899999999998</v>
      </c>
      <c r="BK168" s="130">
        <v>0.44985700000000001</v>
      </c>
    </row>
    <row r="169" spans="1:63">
      <c r="A169">
        <f t="shared" si="1"/>
        <v>166</v>
      </c>
      <c r="B169" t="s">
        <v>17</v>
      </c>
      <c r="C169" t="str">
        <f>INDEX(EPD_Measures,8)</f>
        <v>Renewable energy resources</v>
      </c>
      <c r="D169" t="str">
        <f>INDEX(EPD_Calc_Units,8)</f>
        <v>MJ</v>
      </c>
      <c r="E169" s="123">
        <v>7.0570529000000007E-2</v>
      </c>
      <c r="F169" s="123">
        <f>E169*'Supplemental LCA Data'!$E$57</f>
        <v>6.4042473685805443E-2</v>
      </c>
      <c r="G169" s="123">
        <v>4.3990000000000001E-3</v>
      </c>
      <c r="H169" s="123">
        <v>1.477E-3</v>
      </c>
      <c r="I169" s="123">
        <v>1.4664509999999999E-3</v>
      </c>
      <c r="J169" s="123">
        <v>1.477E-3</v>
      </c>
      <c r="K169" s="123"/>
      <c r="L169" s="123"/>
      <c r="M169" s="123">
        <v>0</v>
      </c>
      <c r="N169" s="123">
        <v>0</v>
      </c>
      <c r="O169" s="123">
        <v>0</v>
      </c>
      <c r="P169" s="123">
        <f>'Supplemental LCA Data'!$AC$52</f>
        <v>0</v>
      </c>
      <c r="Q169" s="123">
        <f>'Supplemental LCA Data'!$AD$52</f>
        <v>0</v>
      </c>
      <c r="R169" s="123">
        <f>'Supplemental LCA Data'!$AE$52</f>
        <v>0</v>
      </c>
      <c r="S169" s="123">
        <f>'Supplemental LCA Data'!$AF$52</f>
        <v>0</v>
      </c>
      <c r="T169" s="123">
        <f>'Supplemental LCA Data'!$AG$52</f>
        <v>0</v>
      </c>
      <c r="U169" s="123">
        <f>'Supplemental LCA Data'!$AH$52</f>
        <v>0</v>
      </c>
      <c r="V169" s="123"/>
      <c r="W169" s="123"/>
      <c r="X169" s="123"/>
      <c r="Y169" s="123"/>
      <c r="Z169" s="123"/>
      <c r="AA169" s="123"/>
      <c r="AB169" s="123"/>
      <c r="AC169" s="123"/>
      <c r="AD169" s="123"/>
      <c r="AE169" s="123"/>
      <c r="AF169" s="123"/>
      <c r="AG169" s="123"/>
      <c r="AH169" s="123"/>
      <c r="AI169" s="123"/>
      <c r="AJ169" s="123"/>
      <c r="AK169" s="123"/>
      <c r="AL169" s="123"/>
      <c r="AM169" s="123">
        <v>0</v>
      </c>
      <c r="AN169" s="123">
        <v>0</v>
      </c>
      <c r="AO169" s="123">
        <v>0</v>
      </c>
      <c r="AP169" s="316">
        <v>0</v>
      </c>
      <c r="AQ169" s="316">
        <v>0</v>
      </c>
      <c r="AR169" s="316">
        <v>0</v>
      </c>
      <c r="AS169" s="316">
        <v>0</v>
      </c>
      <c r="AT169" s="316">
        <v>0</v>
      </c>
      <c r="AU169" s="316">
        <v>0</v>
      </c>
      <c r="AV169" s="129">
        <v>0.48881713100000002</v>
      </c>
      <c r="AW169" s="129"/>
      <c r="AX169" s="129"/>
      <c r="AY169" s="129"/>
      <c r="AZ169" s="129"/>
      <c r="BA169" s="129">
        <v>0</v>
      </c>
      <c r="BB169" s="129">
        <v>6.1093000000000001E-2</v>
      </c>
      <c r="BC169" s="129">
        <v>1.9647000000000001E-2</v>
      </c>
      <c r="BD169" s="129">
        <v>6.8331000000000003E-2</v>
      </c>
      <c r="BE169" s="129">
        <v>7.4106000000000005E-2</v>
      </c>
      <c r="BF169" s="129">
        <v>4.2762000000000001E-2</v>
      </c>
      <c r="BG169" s="130">
        <v>1.853E-3</v>
      </c>
      <c r="BH169" s="130">
        <v>1.6559999999999999E-3</v>
      </c>
      <c r="BI169" s="130">
        <v>4.4099999999999999E-4</v>
      </c>
      <c r="BJ169" s="130">
        <v>3.6499999999999998E-4</v>
      </c>
      <c r="BK169" s="130">
        <v>6.5300000000000004E-4</v>
      </c>
    </row>
    <row r="170" spans="1:63">
      <c r="A170">
        <f t="shared" si="1"/>
        <v>167</v>
      </c>
      <c r="B170" t="s">
        <v>17</v>
      </c>
      <c r="C170" t="str">
        <f>INDEX(EPD_Measures,9)</f>
        <v>Material resources consumption</v>
      </c>
      <c r="D170" t="str">
        <f>INDEX(EPD_Calc_Units,9)</f>
        <v>kg</v>
      </c>
      <c r="E170" s="123">
        <v>1.6270211299999999</v>
      </c>
      <c r="F170" s="123">
        <f>E170*'Supplemental LCA Data'!$E$58</f>
        <v>1.6270211299999999</v>
      </c>
      <c r="G170" s="123">
        <v>1.0000015600000001</v>
      </c>
      <c r="H170" s="123">
        <v>1.0000021111778816</v>
      </c>
      <c r="I170" s="123">
        <v>1.0000015600000001</v>
      </c>
      <c r="J170" s="123">
        <v>1.0000021111778816</v>
      </c>
      <c r="K170" s="123"/>
      <c r="L170" s="123"/>
      <c r="M170" s="123">
        <v>0</v>
      </c>
      <c r="N170" s="123">
        <v>0</v>
      </c>
      <c r="O170" s="123">
        <v>0</v>
      </c>
      <c r="P170" s="123">
        <f>'Supplemental LCA Data'!$AC$53</f>
        <v>0</v>
      </c>
      <c r="Q170" s="123">
        <f>'Supplemental LCA Data'!$AD$53</f>
        <v>0</v>
      </c>
      <c r="R170" s="123">
        <f>'Supplemental LCA Data'!$AE$53</f>
        <v>0</v>
      </c>
      <c r="S170" s="123">
        <f>'Supplemental LCA Data'!$AF$53</f>
        <v>0</v>
      </c>
      <c r="T170" s="123">
        <f>'Supplemental LCA Data'!$AG$53</f>
        <v>0</v>
      </c>
      <c r="U170" s="123">
        <f>'Supplemental LCA Data'!$AH$53</f>
        <v>0</v>
      </c>
      <c r="V170" s="123"/>
      <c r="W170" s="123"/>
      <c r="X170" s="123"/>
      <c r="Y170" s="123"/>
      <c r="Z170" s="123"/>
      <c r="AA170" s="123"/>
      <c r="AB170" s="123"/>
      <c r="AC170" s="123"/>
      <c r="AD170" s="123"/>
      <c r="AE170" s="123"/>
      <c r="AF170" s="123"/>
      <c r="AG170" s="123"/>
      <c r="AH170" s="123"/>
      <c r="AI170" s="123"/>
      <c r="AJ170" s="123"/>
      <c r="AK170" s="123"/>
      <c r="AL170" s="123"/>
      <c r="AM170" s="123">
        <v>0</v>
      </c>
      <c r="AN170" s="123">
        <v>0</v>
      </c>
      <c r="AO170" s="123">
        <v>0</v>
      </c>
      <c r="AP170" s="316">
        <v>0</v>
      </c>
      <c r="AQ170" s="316">
        <v>0</v>
      </c>
      <c r="AR170" s="316">
        <v>0</v>
      </c>
      <c r="AS170" s="316">
        <v>0</v>
      </c>
      <c r="AT170" s="316">
        <v>0</v>
      </c>
      <c r="AU170" s="316">
        <v>0</v>
      </c>
      <c r="AV170" s="129">
        <v>0</v>
      </c>
      <c r="AW170" s="129"/>
      <c r="AX170" s="129"/>
      <c r="AY170" s="129"/>
      <c r="AZ170" s="129"/>
      <c r="BA170" s="129">
        <v>0.84323164500000003</v>
      </c>
      <c r="BB170" s="129">
        <v>0</v>
      </c>
      <c r="BC170" s="129">
        <v>0</v>
      </c>
      <c r="BD170" s="129">
        <v>0</v>
      </c>
      <c r="BE170" s="129">
        <v>0</v>
      </c>
      <c r="BF170" s="129">
        <v>0</v>
      </c>
      <c r="BG170" s="130">
        <v>0</v>
      </c>
      <c r="BH170" s="130">
        <v>0</v>
      </c>
      <c r="BI170" s="130">
        <v>0</v>
      </c>
      <c r="BJ170" s="130">
        <v>0</v>
      </c>
      <c r="BK170" s="130">
        <v>0</v>
      </c>
    </row>
    <row r="171" spans="1:63">
      <c r="A171">
        <f t="shared" si="1"/>
        <v>168</v>
      </c>
      <c r="B171" t="s">
        <v>17</v>
      </c>
      <c r="C171" t="str">
        <f>INDEX(EPD_Measures,10)</f>
        <v>Nonrenewable material resources</v>
      </c>
      <c r="D171" t="str">
        <f>INDEX(EPD_Calc_Units,10)</f>
        <v>kg</v>
      </c>
      <c r="E171" s="123">
        <v>1.6269560000000001</v>
      </c>
      <c r="F171" s="123">
        <f>E171*'Supplemental LCA Data'!$E$59</f>
        <v>1.6269560000000001</v>
      </c>
      <c r="G171" s="123">
        <v>1</v>
      </c>
      <c r="H171" s="123">
        <v>1.0000001919173316</v>
      </c>
      <c r="I171" s="123">
        <v>1</v>
      </c>
      <c r="J171" s="123">
        <v>1.0000001919173316</v>
      </c>
      <c r="K171" s="123"/>
      <c r="L171" s="123"/>
      <c r="M171" s="123">
        <v>0</v>
      </c>
      <c r="N171" s="123">
        <v>0</v>
      </c>
      <c r="O171" s="123">
        <v>0</v>
      </c>
      <c r="P171" s="123">
        <f>'Supplemental LCA Data'!$AC$54</f>
        <v>0</v>
      </c>
      <c r="Q171" s="123">
        <f>'Supplemental LCA Data'!$AD$54</f>
        <v>0</v>
      </c>
      <c r="R171" s="123">
        <f>'Supplemental LCA Data'!$AE$54</f>
        <v>0</v>
      </c>
      <c r="S171" s="123">
        <f>'Supplemental LCA Data'!$AF$54</f>
        <v>0</v>
      </c>
      <c r="T171" s="123">
        <f>'Supplemental LCA Data'!$AG$54</f>
        <v>0</v>
      </c>
      <c r="U171" s="123">
        <f>'Supplemental LCA Data'!$AH$54</f>
        <v>0</v>
      </c>
      <c r="V171" s="123"/>
      <c r="W171" s="123"/>
      <c r="X171" s="123"/>
      <c r="Y171" s="123"/>
      <c r="Z171" s="123"/>
      <c r="AA171" s="123"/>
      <c r="AB171" s="123"/>
      <c r="AC171" s="123"/>
      <c r="AD171" s="123"/>
      <c r="AE171" s="123"/>
      <c r="AF171" s="123"/>
      <c r="AG171" s="123"/>
      <c r="AH171" s="123"/>
      <c r="AI171" s="123"/>
      <c r="AJ171" s="123"/>
      <c r="AK171" s="123"/>
      <c r="AL171" s="123"/>
      <c r="AM171" s="123">
        <v>0</v>
      </c>
      <c r="AN171" s="123">
        <v>0</v>
      </c>
      <c r="AO171" s="123">
        <v>0</v>
      </c>
      <c r="AP171" s="316">
        <v>0</v>
      </c>
      <c r="AQ171" s="316">
        <v>0</v>
      </c>
      <c r="AR171" s="316">
        <v>0</v>
      </c>
      <c r="AS171" s="316">
        <v>0</v>
      </c>
      <c r="AT171" s="316">
        <v>0</v>
      </c>
      <c r="AU171" s="316">
        <v>0</v>
      </c>
      <c r="AV171" s="129">
        <v>0</v>
      </c>
      <c r="AW171" s="129"/>
      <c r="AX171" s="129"/>
      <c r="AY171" s="129"/>
      <c r="AZ171" s="129"/>
      <c r="BA171" s="129">
        <v>0</v>
      </c>
      <c r="BB171" s="129">
        <v>0</v>
      </c>
      <c r="BC171" s="129">
        <v>0</v>
      </c>
      <c r="BD171" s="129">
        <v>0</v>
      </c>
      <c r="BE171" s="129">
        <v>0</v>
      </c>
      <c r="BF171" s="129">
        <v>0</v>
      </c>
      <c r="BG171" s="130">
        <v>0</v>
      </c>
      <c r="BH171" s="130">
        <v>0</v>
      </c>
      <c r="BI171" s="130">
        <v>0</v>
      </c>
      <c r="BJ171" s="130">
        <v>0</v>
      </c>
      <c r="BK171" s="130">
        <v>0</v>
      </c>
    </row>
    <row r="172" spans="1:63">
      <c r="A172">
        <f t="shared" si="1"/>
        <v>169</v>
      </c>
      <c r="B172" t="s">
        <v>17</v>
      </c>
      <c r="C172" t="str">
        <f>INDEX(EPD_Measures,11)</f>
        <v>Renewable material resources</v>
      </c>
      <c r="D172" t="str">
        <f>INDEX(EPD_Calc_Units,11)</f>
        <v>kg</v>
      </c>
      <c r="E172" s="123">
        <v>6.5130399999999996E-5</v>
      </c>
      <c r="F172" s="123">
        <f>E172*'Supplemental LCA Data'!$E$60</f>
        <v>6.5130399999999996E-5</v>
      </c>
      <c r="G172" s="123">
        <v>1.5600000000000001E-6</v>
      </c>
      <c r="H172" s="123">
        <v>1.9192605499999998E-6</v>
      </c>
      <c r="I172" s="123">
        <v>1.5600000000000001E-6</v>
      </c>
      <c r="J172" s="123">
        <v>1.9192605499999998E-6</v>
      </c>
      <c r="K172" s="123"/>
      <c r="L172" s="123"/>
      <c r="M172" s="123">
        <v>0</v>
      </c>
      <c r="N172" s="123">
        <v>0</v>
      </c>
      <c r="O172" s="123">
        <v>0</v>
      </c>
      <c r="P172" s="123">
        <f>'Supplemental LCA Data'!$AC$55</f>
        <v>0</v>
      </c>
      <c r="Q172" s="123">
        <f>'Supplemental LCA Data'!$AD$55</f>
        <v>0</v>
      </c>
      <c r="R172" s="123">
        <f>'Supplemental LCA Data'!$AE$55</f>
        <v>0</v>
      </c>
      <c r="S172" s="123">
        <f>'Supplemental LCA Data'!$AF$55</f>
        <v>0</v>
      </c>
      <c r="T172" s="123">
        <f>'Supplemental LCA Data'!$AG$55</f>
        <v>0</v>
      </c>
      <c r="U172" s="123">
        <f>'Supplemental LCA Data'!$AH$55</f>
        <v>0</v>
      </c>
      <c r="V172" s="123"/>
      <c r="W172" s="123"/>
      <c r="X172" s="123"/>
      <c r="Y172" s="123"/>
      <c r="Z172" s="123"/>
      <c r="AA172" s="123"/>
      <c r="AB172" s="123"/>
      <c r="AC172" s="123"/>
      <c r="AD172" s="123"/>
      <c r="AE172" s="123"/>
      <c r="AF172" s="123"/>
      <c r="AG172" s="123"/>
      <c r="AH172" s="123"/>
      <c r="AI172" s="123"/>
      <c r="AJ172" s="123"/>
      <c r="AK172" s="123"/>
      <c r="AL172" s="123"/>
      <c r="AM172" s="123">
        <v>0</v>
      </c>
      <c r="AN172" s="123">
        <v>0</v>
      </c>
      <c r="AO172" s="123">
        <v>0</v>
      </c>
      <c r="AP172" s="316">
        <v>0</v>
      </c>
      <c r="AQ172" s="316">
        <v>0</v>
      </c>
      <c r="AR172" s="316">
        <v>0</v>
      </c>
      <c r="AS172" s="316">
        <v>0</v>
      </c>
      <c r="AT172" s="316">
        <v>0</v>
      </c>
      <c r="AU172" s="316">
        <v>0</v>
      </c>
      <c r="AV172" s="129">
        <v>0</v>
      </c>
      <c r="AW172" s="129"/>
      <c r="AX172" s="129"/>
      <c r="AY172" s="129"/>
      <c r="AZ172" s="129"/>
      <c r="BA172" s="129">
        <v>0.84323164500000003</v>
      </c>
      <c r="BB172" s="129">
        <v>0</v>
      </c>
      <c r="BC172" s="129">
        <v>0</v>
      </c>
      <c r="BD172" s="129">
        <v>0</v>
      </c>
      <c r="BE172" s="129">
        <v>0</v>
      </c>
      <c r="BF172" s="129">
        <v>0</v>
      </c>
      <c r="BG172" s="130">
        <v>0</v>
      </c>
      <c r="BH172" s="130">
        <v>0</v>
      </c>
      <c r="BI172" s="130">
        <v>0</v>
      </c>
      <c r="BJ172" s="130">
        <v>0</v>
      </c>
      <c r="BK172" s="130">
        <v>0</v>
      </c>
    </row>
    <row r="173" spans="1:63">
      <c r="A173">
        <f t="shared" si="1"/>
        <v>170</v>
      </c>
      <c r="B173" t="s">
        <v>17</v>
      </c>
      <c r="C173" t="str">
        <f>INDEX(EPD_Measures,12)</f>
        <v>Net Fresh Water</v>
      </c>
      <c r="D173" t="str">
        <f>INDEX(EPD_Calc_Units,12)</f>
        <v>m3</v>
      </c>
      <c r="E173" s="123">
        <v>8.4060799999999996E-4</v>
      </c>
      <c r="F173" s="123">
        <f>E173*'Supplemental LCA Data'!$E$61</f>
        <v>7.5654719999999995E-4</v>
      </c>
      <c r="G173" s="123">
        <f>$G$1+0</f>
        <v>6.7500000000000004E-4</v>
      </c>
      <c r="H173" s="123">
        <f>$G$1+0.000000717</f>
        <v>6.7571700000000005E-4</v>
      </c>
      <c r="I173" s="123">
        <f>$G$1+0</f>
        <v>6.7500000000000004E-4</v>
      </c>
      <c r="J173" s="123">
        <f>$G$1+0.000000717</f>
        <v>6.7571700000000005E-4</v>
      </c>
      <c r="K173" s="123">
        <v>0</v>
      </c>
      <c r="L173" s="123">
        <v>0</v>
      </c>
      <c r="M173" s="123">
        <v>0</v>
      </c>
      <c r="N173" s="123">
        <v>0</v>
      </c>
      <c r="O173" s="123">
        <v>0</v>
      </c>
      <c r="P173" s="123">
        <f>'Supplemental LCA Data'!$AC$56</f>
        <v>0</v>
      </c>
      <c r="Q173" s="123">
        <f>'Supplemental LCA Data'!$AD$56</f>
        <v>0</v>
      </c>
      <c r="R173" s="123">
        <f>'Supplemental LCA Data'!$AE$56</f>
        <v>0</v>
      </c>
      <c r="S173" s="123">
        <f>'Supplemental LCA Data'!$AF$56</f>
        <v>0</v>
      </c>
      <c r="T173" s="123">
        <f>'Supplemental LCA Data'!$AG$56</f>
        <v>0</v>
      </c>
      <c r="U173" s="123">
        <f>'Supplemental LCA Data'!$AH$56</f>
        <v>0</v>
      </c>
      <c r="V173" s="123">
        <v>0.11500386618134965</v>
      </c>
      <c r="W173" s="123">
        <f>'Supplemental LCA Data'!$E$73/1000</f>
        <v>13.732079207907059</v>
      </c>
      <c r="X173" s="123">
        <f>'Supplemental LCA Data'!$F$73/1000</f>
        <v>13.896554340061131</v>
      </c>
      <c r="Y173" s="123">
        <f>'Supplemental LCA Data'!$G$73/1000</f>
        <v>14.675578391799121</v>
      </c>
      <c r="Z173" s="123">
        <f t="shared" si="3"/>
        <v>15.105287128697766</v>
      </c>
      <c r="AA173" s="123">
        <v>0</v>
      </c>
      <c r="AB173" s="123">
        <v>0</v>
      </c>
      <c r="AC173" s="123">
        <f t="shared" si="2"/>
        <v>13.732079207907059</v>
      </c>
      <c r="AD173" s="123">
        <v>0</v>
      </c>
      <c r="AE173" s="123">
        <v>0</v>
      </c>
      <c r="AF173" s="123">
        <v>0</v>
      </c>
      <c r="AG173" s="123">
        <v>6.6615854003756548E-4</v>
      </c>
      <c r="AH173" s="123">
        <v>8.5599624991234465E-3</v>
      </c>
      <c r="AI173" s="123">
        <v>3.5226266152208971E-4</v>
      </c>
      <c r="AJ173" s="123">
        <v>3.9507938615937904E-3</v>
      </c>
      <c r="AK173" s="123">
        <v>7.4033158500000001E-2</v>
      </c>
      <c r="AL173" s="123">
        <v>0</v>
      </c>
      <c r="AM173" s="123">
        <v>0</v>
      </c>
      <c r="AN173" s="123">
        <v>0</v>
      </c>
      <c r="AO173" s="123">
        <v>0</v>
      </c>
      <c r="AP173" s="316">
        <v>0</v>
      </c>
      <c r="AQ173" s="316">
        <v>0</v>
      </c>
      <c r="AR173" s="316">
        <v>0</v>
      </c>
      <c r="AS173" s="316">
        <v>0</v>
      </c>
      <c r="AT173" s="316">
        <v>0</v>
      </c>
      <c r="AU173" s="316">
        <v>0</v>
      </c>
      <c r="AV173" s="129">
        <v>0</v>
      </c>
      <c r="AW173" s="129">
        <v>0</v>
      </c>
      <c r="AX173" s="129">
        <v>0</v>
      </c>
      <c r="AY173" s="129">
        <v>0</v>
      </c>
      <c r="AZ173" s="129">
        <v>0</v>
      </c>
      <c r="BA173" s="129">
        <v>0</v>
      </c>
      <c r="BB173" s="129">
        <v>0</v>
      </c>
      <c r="BC173" s="129">
        <v>0</v>
      </c>
      <c r="BD173" s="129">
        <v>0</v>
      </c>
      <c r="BE173" s="129">
        <v>0</v>
      </c>
      <c r="BF173" s="129">
        <v>0</v>
      </c>
      <c r="BG173" s="130">
        <v>0</v>
      </c>
      <c r="BH173" s="130">
        <v>0</v>
      </c>
      <c r="BI173" s="130">
        <v>0</v>
      </c>
      <c r="BJ173" s="130">
        <v>0</v>
      </c>
      <c r="BK173" s="130">
        <v>0</v>
      </c>
    </row>
    <row r="174" spans="1:63">
      <c r="A174">
        <f t="shared" si="1"/>
        <v>171</v>
      </c>
      <c r="B174" t="s">
        <v>17</v>
      </c>
      <c r="C174" t="str">
        <f>INDEX(EPD_Measures,13)</f>
        <v>Non-hazardous waste generated</v>
      </c>
      <c r="D174" t="str">
        <f>INDEX(EPD_Calc_Units,13)</f>
        <v>kg</v>
      </c>
      <c r="E174" s="123">
        <v>0</v>
      </c>
      <c r="F174" s="123">
        <f>E174*'Supplemental LCA Data'!$E$62</f>
        <v>0</v>
      </c>
      <c r="G174" s="123">
        <v>0</v>
      </c>
      <c r="H174" s="123">
        <v>0</v>
      </c>
      <c r="I174" s="123">
        <v>0</v>
      </c>
      <c r="J174" s="123">
        <v>0</v>
      </c>
      <c r="K174" s="123"/>
      <c r="L174" s="123"/>
      <c r="M174" s="123">
        <v>0</v>
      </c>
      <c r="N174" s="123">
        <v>0</v>
      </c>
      <c r="O174" s="123">
        <v>0</v>
      </c>
      <c r="P174" s="123">
        <f>'Supplemental LCA Data'!$AC$57</f>
        <v>0</v>
      </c>
      <c r="Q174" s="123">
        <f>'Supplemental LCA Data'!$AD$57</f>
        <v>0</v>
      </c>
      <c r="R174" s="123">
        <f>'Supplemental LCA Data'!$AE$57</f>
        <v>0</v>
      </c>
      <c r="S174" s="123">
        <f>'Supplemental LCA Data'!$AF$57</f>
        <v>0</v>
      </c>
      <c r="T174" s="123">
        <f>'Supplemental LCA Data'!$AG$57</f>
        <v>0</v>
      </c>
      <c r="U174" s="123">
        <f>'Supplemental LCA Data'!$AH$57</f>
        <v>0</v>
      </c>
      <c r="V174" s="123"/>
      <c r="W174" s="123"/>
      <c r="X174" s="123"/>
      <c r="Y174" s="123"/>
      <c r="Z174" s="123"/>
      <c r="AA174" s="123"/>
      <c r="AB174" s="123"/>
      <c r="AC174" s="123"/>
      <c r="AD174" s="123"/>
      <c r="AE174" s="123"/>
      <c r="AF174" s="123"/>
      <c r="AG174" s="123"/>
      <c r="AH174" s="123"/>
      <c r="AI174" s="123"/>
      <c r="AJ174" s="123"/>
      <c r="AK174" s="123"/>
      <c r="AL174" s="123"/>
      <c r="AM174" s="123">
        <v>0</v>
      </c>
      <c r="AN174" s="123">
        <v>0</v>
      </c>
      <c r="AO174" s="123">
        <v>0</v>
      </c>
      <c r="AP174" s="316">
        <v>0</v>
      </c>
      <c r="AQ174" s="316">
        <v>0</v>
      </c>
      <c r="AR174" s="316">
        <v>0</v>
      </c>
      <c r="AS174" s="316">
        <v>0</v>
      </c>
      <c r="AT174" s="316">
        <v>0</v>
      </c>
      <c r="AU174" s="316">
        <v>0</v>
      </c>
      <c r="AV174" s="129">
        <v>0</v>
      </c>
      <c r="AW174" s="129"/>
      <c r="AX174" s="129"/>
      <c r="AY174" s="129"/>
      <c r="AZ174" s="129"/>
      <c r="BA174" s="129">
        <v>0</v>
      </c>
      <c r="BB174" s="129">
        <v>0</v>
      </c>
      <c r="BC174" s="129">
        <v>0</v>
      </c>
      <c r="BD174" s="129">
        <v>0</v>
      </c>
      <c r="BE174" s="129">
        <v>0</v>
      </c>
      <c r="BF174" s="129">
        <v>0</v>
      </c>
      <c r="BG174" s="130">
        <v>0</v>
      </c>
      <c r="BH174" s="130">
        <v>0</v>
      </c>
      <c r="BI174" s="130">
        <v>0</v>
      </c>
      <c r="BJ174" s="130">
        <v>0</v>
      </c>
      <c r="BK174" s="130">
        <v>0</v>
      </c>
    </row>
    <row r="175" spans="1:63">
      <c r="A175">
        <f t="shared" si="1"/>
        <v>172</v>
      </c>
      <c r="B175" t="s">
        <v>17</v>
      </c>
      <c r="C175" t="str">
        <f>INDEX(EPD_Measures,14)</f>
        <v>Hazardous waste generated</v>
      </c>
      <c r="D175" t="str">
        <f>INDEX(EPD_Calc_Units,14)</f>
        <v>kg</v>
      </c>
      <c r="E175" s="123">
        <v>0</v>
      </c>
      <c r="F175" s="123">
        <f>E175*'Supplemental LCA Data'!$E$63</f>
        <v>0</v>
      </c>
      <c r="G175" s="123">
        <v>0</v>
      </c>
      <c r="H175" s="123">
        <v>0</v>
      </c>
      <c r="I175" s="123">
        <v>0</v>
      </c>
      <c r="J175" s="123">
        <v>0</v>
      </c>
      <c r="K175" s="123"/>
      <c r="L175" s="123"/>
      <c r="M175" s="123">
        <v>0</v>
      </c>
      <c r="N175" s="123">
        <v>0</v>
      </c>
      <c r="O175" s="123">
        <v>0</v>
      </c>
      <c r="P175" s="123">
        <f>'Supplemental LCA Data'!$AC$58</f>
        <v>0</v>
      </c>
      <c r="Q175" s="123">
        <f>'Supplemental LCA Data'!$AD$58</f>
        <v>0</v>
      </c>
      <c r="R175" s="123">
        <f>'Supplemental LCA Data'!$AE$58</f>
        <v>0</v>
      </c>
      <c r="S175" s="123">
        <f>'Supplemental LCA Data'!$AF$58</f>
        <v>0</v>
      </c>
      <c r="T175" s="123">
        <f>'Supplemental LCA Data'!$AG$58</f>
        <v>0</v>
      </c>
      <c r="U175" s="123">
        <f>'Supplemental LCA Data'!$AH$58</f>
        <v>0</v>
      </c>
      <c r="V175" s="123"/>
      <c r="W175" s="123"/>
      <c r="X175" s="123"/>
      <c r="Y175" s="123"/>
      <c r="Z175" s="123"/>
      <c r="AA175" s="123"/>
      <c r="AB175" s="123"/>
      <c r="AC175" s="123"/>
      <c r="AD175" s="123"/>
      <c r="AE175" s="123"/>
      <c r="AF175" s="123"/>
      <c r="AG175" s="123"/>
      <c r="AH175" s="123"/>
      <c r="AI175" s="123"/>
      <c r="AJ175" s="123"/>
      <c r="AK175" s="123"/>
      <c r="AL175" s="123"/>
      <c r="AM175" s="123">
        <v>0</v>
      </c>
      <c r="AN175" s="123">
        <v>0</v>
      </c>
      <c r="AO175" s="123">
        <v>0</v>
      </c>
      <c r="AP175" s="316">
        <v>0</v>
      </c>
      <c r="AQ175" s="316">
        <v>0</v>
      </c>
      <c r="AR175" s="316">
        <v>0</v>
      </c>
      <c r="AS175" s="316">
        <v>0</v>
      </c>
      <c r="AT175" s="316">
        <v>0</v>
      </c>
      <c r="AU175" s="316">
        <v>0</v>
      </c>
      <c r="AV175" s="129">
        <v>0</v>
      </c>
      <c r="AW175" s="129"/>
      <c r="AX175" s="129"/>
      <c r="AY175" s="129"/>
      <c r="AZ175" s="129"/>
      <c r="BA175" s="129">
        <v>0</v>
      </c>
      <c r="BB175" s="129">
        <v>0</v>
      </c>
      <c r="BC175" s="129">
        <v>0</v>
      </c>
      <c r="BD175" s="129">
        <v>0</v>
      </c>
      <c r="BE175" s="129">
        <v>0</v>
      </c>
      <c r="BF175" s="129">
        <v>0</v>
      </c>
      <c r="BG175" s="130">
        <v>0</v>
      </c>
      <c r="BH175" s="130">
        <v>0</v>
      </c>
      <c r="BI175" s="130">
        <v>0</v>
      </c>
      <c r="BJ175" s="130">
        <v>0</v>
      </c>
      <c r="BK175" s="130">
        <v>0</v>
      </c>
    </row>
    <row r="176" spans="1:63">
      <c r="A176" s="112">
        <f t="shared" si="1"/>
        <v>173</v>
      </c>
      <c r="B176" s="112" t="s">
        <v>477</v>
      </c>
      <c r="C176" s="112" t="str">
        <f>INDEX(EPD_Measures,1)</f>
        <v>Global warming potential (GWP)</v>
      </c>
      <c r="D176" s="112" t="str">
        <f>INDEX(EPD_Calc_Units,1)</f>
        <v>kg</v>
      </c>
      <c r="E176" s="123">
        <v>1.3484911399999999</v>
      </c>
      <c r="F176" s="123">
        <f>E176*'Supplemental LCA Data'!$E$49</f>
        <v>1.2065447042105262</v>
      </c>
      <c r="G176" s="123">
        <v>7.8510000000000003E-3</v>
      </c>
      <c r="H176" s="123">
        <v>4.6509999999999998E-3</v>
      </c>
      <c r="I176" s="123">
        <v>4.0848109999999998E-3</v>
      </c>
      <c r="J176" s="123">
        <v>4.6509999999999998E-3</v>
      </c>
      <c r="K176" s="123">
        <v>0</v>
      </c>
      <c r="L176" s="123">
        <v>0</v>
      </c>
      <c r="M176" s="123">
        <v>0</v>
      </c>
      <c r="N176" s="123">
        <v>0</v>
      </c>
      <c r="O176" s="123">
        <v>0</v>
      </c>
      <c r="P176" s="123">
        <f>'Supplemental LCA Data'!$AC$45</f>
        <v>0.10406360712476165</v>
      </c>
      <c r="Q176" s="123">
        <f>'Supplemental LCA Data'!$AD$45</f>
        <v>0.22949974224587316</v>
      </c>
      <c r="R176" s="123">
        <f>'Supplemental LCA Data'!$AE$45</f>
        <v>1.2625032020663256</v>
      </c>
      <c r="S176" s="123">
        <f>'Supplemental LCA Data'!$AF$45</f>
        <v>0.76998593521882752</v>
      </c>
      <c r="T176" s="123">
        <f>'Supplemental LCA Data'!$AG$45</f>
        <v>0.22949974224587316</v>
      </c>
      <c r="U176" s="123">
        <f>'Supplemental LCA Data'!$AH$45</f>
        <v>0.51911044578033227</v>
      </c>
      <c r="V176" s="123">
        <v>2.9429471121354829</v>
      </c>
      <c r="W176" s="123">
        <f>'Supplemental LCA Data'!$E$71/1000</f>
        <v>0.89195544554366246</v>
      </c>
      <c r="X176" s="123">
        <f>'Supplemental LCA Data'!$F$71/1000</f>
        <v>1.1312138489469654</v>
      </c>
      <c r="Y176" s="123">
        <f>'Supplemental LCA Data'!$G$71/1000</f>
        <v>1.5012328955993122</v>
      </c>
      <c r="Z176" s="123">
        <f t="shared" si="3"/>
        <v>0.98115099009802875</v>
      </c>
      <c r="AA176" s="123">
        <v>0</v>
      </c>
      <c r="AB176" s="123">
        <v>0</v>
      </c>
      <c r="AC176" s="123">
        <f t="shared" si="2"/>
        <v>0.89195544554366246</v>
      </c>
      <c r="AD176" s="123">
        <v>0</v>
      </c>
      <c r="AE176" s="123">
        <v>0</v>
      </c>
      <c r="AF176" s="123">
        <v>0</v>
      </c>
      <c r="AG176" s="123">
        <v>3.3162413704963716</v>
      </c>
      <c r="AH176" s="123">
        <v>9.0789952164299699</v>
      </c>
      <c r="AI176" s="123">
        <v>0.2453477255455345</v>
      </c>
      <c r="AJ176" s="123">
        <v>0.3279493299762562</v>
      </c>
      <c r="AK176" s="123">
        <v>4.6408478655656005</v>
      </c>
      <c r="AL176" s="123">
        <v>0.92461248966214149</v>
      </c>
      <c r="AM176" s="123">
        <v>0</v>
      </c>
      <c r="AN176" s="123">
        <v>0</v>
      </c>
      <c r="AO176" s="123">
        <v>0</v>
      </c>
      <c r="AP176" s="316">
        <v>0</v>
      </c>
      <c r="AQ176" s="316">
        <v>0</v>
      </c>
      <c r="AR176" s="316">
        <v>0</v>
      </c>
      <c r="AS176" s="316">
        <v>0</v>
      </c>
      <c r="AT176" s="316">
        <v>0</v>
      </c>
      <c r="AU176" s="316">
        <v>0</v>
      </c>
      <c r="AV176" s="129">
        <v>0.62762652399999996</v>
      </c>
      <c r="AW176" s="129">
        <v>0</v>
      </c>
      <c r="AX176" s="129">
        <v>0</v>
      </c>
      <c r="AY176" s="129">
        <v>0</v>
      </c>
      <c r="AZ176" s="129">
        <v>0</v>
      </c>
      <c r="BA176" s="129">
        <v>4.5765858E-2</v>
      </c>
      <c r="BB176" s="129">
        <v>2.529973</v>
      </c>
      <c r="BC176" s="129">
        <v>2.4438970000000002</v>
      </c>
      <c r="BD176" s="129">
        <v>3.1787649999999998</v>
      </c>
      <c r="BE176" s="129">
        <v>3.7603420000000001</v>
      </c>
      <c r="BF176" s="129">
        <v>2.0422280000000002</v>
      </c>
      <c r="BG176" s="130">
        <v>9.2743999999999993E-2</v>
      </c>
      <c r="BH176" s="130">
        <v>7.3523000000000005E-2</v>
      </c>
      <c r="BI176" s="130">
        <v>2.2027999999999999E-2</v>
      </c>
      <c r="BJ176" s="130">
        <v>1.8526999999999998E-2</v>
      </c>
      <c r="BK176" s="130">
        <v>3.3079999999999998E-2</v>
      </c>
    </row>
    <row r="177" spans="1:63">
      <c r="A177">
        <f t="shared" si="1"/>
        <v>174</v>
      </c>
      <c r="B177" t="s">
        <v>477</v>
      </c>
      <c r="C177" t="str">
        <f>INDEX(EPD_Measures,2)</f>
        <v>Acidification potential</v>
      </c>
      <c r="D177" t="str">
        <f>INDEX(EPD_Calc_Units,2)</f>
        <v>kg</v>
      </c>
      <c r="E177" s="123">
        <v>6.7075099999999999E-3</v>
      </c>
      <c r="F177" s="123">
        <f>E177*'Supplemental LCA Data'!$E$52</f>
        <v>6.0531187804878043E-3</v>
      </c>
      <c r="G177" s="123">
        <v>7.7999999999999999E-5</v>
      </c>
      <c r="H177" s="123">
        <v>5.1999999999999997E-5</v>
      </c>
      <c r="I177" s="123">
        <v>4.6306700000000002E-5</v>
      </c>
      <c r="J177" s="123">
        <v>5.1999999999999997E-5</v>
      </c>
      <c r="K177" s="123"/>
      <c r="L177" s="123"/>
      <c r="M177" s="123">
        <v>0</v>
      </c>
      <c r="N177" s="123">
        <v>0</v>
      </c>
      <c r="O177" s="123">
        <v>0</v>
      </c>
      <c r="P177" s="123">
        <f>'Supplemental LCA Data'!$AC$46</f>
        <v>5.7703135192831948E-4</v>
      </c>
      <c r="Q177" s="123">
        <f>'Supplemental LCA Data'!$AD$46</f>
        <v>1.2139986365417917E-3</v>
      </c>
      <c r="R177" s="123">
        <f>'Supplemental LCA Data'!$AE$46</f>
        <v>4.7483946670140312E-3</v>
      </c>
      <c r="S177" s="123">
        <f>'Supplemental LCA Data'!$AF$46</f>
        <v>3.9528555604969102</v>
      </c>
      <c r="T177" s="123">
        <f>'Supplemental LCA Data'!$AG$46</f>
        <v>1.2139986365417917E-3</v>
      </c>
      <c r="U177" s="123">
        <f>'Supplemental LCA Data'!$AH$46</f>
        <v>0.79212179675778727</v>
      </c>
      <c r="V177" s="123"/>
      <c r="W177" s="123"/>
      <c r="X177" s="123"/>
      <c r="Y177" s="123"/>
      <c r="Z177" s="123"/>
      <c r="AA177" s="123"/>
      <c r="AB177" s="123"/>
      <c r="AC177" s="123"/>
      <c r="AD177" s="123"/>
      <c r="AE177" s="123"/>
      <c r="AF177" s="123"/>
      <c r="AG177" s="123"/>
      <c r="AH177" s="123"/>
      <c r="AI177" s="123"/>
      <c r="AJ177" s="123"/>
      <c r="AK177" s="123"/>
      <c r="AL177" s="123"/>
      <c r="AM177" s="123">
        <v>0</v>
      </c>
      <c r="AN177" s="123">
        <v>0</v>
      </c>
      <c r="AO177" s="123">
        <v>0</v>
      </c>
      <c r="AP177" s="316">
        <v>0</v>
      </c>
      <c r="AQ177" s="316">
        <v>0</v>
      </c>
      <c r="AR177" s="316">
        <v>0</v>
      </c>
      <c r="AS177" s="316">
        <v>0</v>
      </c>
      <c r="AT177" s="316">
        <v>0</v>
      </c>
      <c r="AU177" s="316">
        <v>0</v>
      </c>
      <c r="AV177" s="129">
        <v>5.2833660000000003E-3</v>
      </c>
      <c r="AW177" s="129"/>
      <c r="AX177" s="129"/>
      <c r="AY177" s="129"/>
      <c r="AZ177" s="129"/>
      <c r="BA177" s="129">
        <v>8.3965400000000001E-4</v>
      </c>
      <c r="BB177" s="129">
        <v>2.6606000000000001E-2</v>
      </c>
      <c r="BC177" s="129">
        <v>2.0861000000000001E-2</v>
      </c>
      <c r="BD177" s="129">
        <v>5.646E-3</v>
      </c>
      <c r="BE177" s="129">
        <v>8.8570000000000003E-3</v>
      </c>
      <c r="BF177" s="129">
        <v>4.045E-3</v>
      </c>
      <c r="BG177" s="130">
        <v>4.6900000000000002E-4</v>
      </c>
      <c r="BH177" s="130">
        <v>3.2299999999999999E-4</v>
      </c>
      <c r="BI177" s="130">
        <v>3.7199999999999999E-4</v>
      </c>
      <c r="BJ177" s="130">
        <v>3.2299999999999999E-4</v>
      </c>
      <c r="BK177" s="130">
        <v>2.8299999999999999E-4</v>
      </c>
    </row>
    <row r="178" spans="1:63">
      <c r="A178">
        <f t="shared" si="1"/>
        <v>175</v>
      </c>
      <c r="B178" t="s">
        <v>477</v>
      </c>
      <c r="C178" t="str">
        <f>INDEX(EPD_Measures,3)</f>
        <v>Eutrophication potential</v>
      </c>
      <c r="D178" t="str">
        <f>INDEX(EPD_Calc_Units,3)</f>
        <v>kg</v>
      </c>
      <c r="E178" s="123">
        <v>1.57348E-4</v>
      </c>
      <c r="F178" s="123">
        <f>E178*'Supplemental LCA Data'!$E$53</f>
        <v>1.4524430769230769E-4</v>
      </c>
      <c r="G178" s="123">
        <v>2.4700000000000001E-6</v>
      </c>
      <c r="H178" s="123">
        <v>2.6599999999999999E-6</v>
      </c>
      <c r="I178" s="123">
        <v>2.0386100000000001E-6</v>
      </c>
      <c r="J178" s="123">
        <v>2.6599999999999999E-6</v>
      </c>
      <c r="K178" s="123"/>
      <c r="L178" s="123"/>
      <c r="M178" s="123">
        <v>0</v>
      </c>
      <c r="N178" s="123">
        <v>0</v>
      </c>
      <c r="O178" s="123">
        <v>0</v>
      </c>
      <c r="P178" s="123">
        <f>'Supplemental LCA Data'!$AC$47</f>
        <v>1.9624831959085375E-4</v>
      </c>
      <c r="Q178" s="123">
        <f>'Supplemental LCA Data'!$AD$47</f>
        <v>4.226795252829316E-5</v>
      </c>
      <c r="R178" s="123">
        <f>'Supplemental LCA Data'!$AE$47</f>
        <v>8.7898401280121123E-4</v>
      </c>
      <c r="S178" s="123">
        <f>'Supplemental LCA Data'!$AF$47</f>
        <v>0.24926944204227258</v>
      </c>
      <c r="T178" s="123">
        <f>'Supplemental LCA Data'!$AG$47</f>
        <v>4.226795252829316E-5</v>
      </c>
      <c r="U178" s="123">
        <f>'Supplemental LCA Data'!$AH$47</f>
        <v>5.0085842055944255E-2</v>
      </c>
      <c r="V178" s="123"/>
      <c r="W178" s="123"/>
      <c r="X178" s="123"/>
      <c r="Y178" s="123"/>
      <c r="Z178" s="123"/>
      <c r="AA178" s="123"/>
      <c r="AB178" s="123"/>
      <c r="AC178" s="123"/>
      <c r="AD178" s="123"/>
      <c r="AE178" s="123"/>
      <c r="AF178" s="123"/>
      <c r="AG178" s="123"/>
      <c r="AH178" s="123"/>
      <c r="AI178" s="123"/>
      <c r="AJ178" s="123"/>
      <c r="AK178" s="123"/>
      <c r="AL178" s="123"/>
      <c r="AM178" s="123">
        <v>0</v>
      </c>
      <c r="AN178" s="123">
        <v>0</v>
      </c>
      <c r="AO178" s="123">
        <v>0</v>
      </c>
      <c r="AP178" s="316">
        <v>0</v>
      </c>
      <c r="AQ178" s="316">
        <v>0</v>
      </c>
      <c r="AR178" s="316">
        <v>0</v>
      </c>
      <c r="AS178" s="316">
        <v>0</v>
      </c>
      <c r="AT178" s="316">
        <v>0</v>
      </c>
      <c r="AU178" s="316">
        <v>0</v>
      </c>
      <c r="AV178" s="129">
        <v>7.2204400000000003E-5</v>
      </c>
      <c r="AW178" s="129"/>
      <c r="AX178" s="129"/>
      <c r="AY178" s="129"/>
      <c r="AZ178" s="129"/>
      <c r="BA178" s="129">
        <v>4.0302700000000003E-5</v>
      </c>
      <c r="BB178" s="129">
        <v>1.722E-3</v>
      </c>
      <c r="BC178" s="129">
        <v>2.05E-4</v>
      </c>
      <c r="BD178" s="129">
        <v>3.9599999999999998E-4</v>
      </c>
      <c r="BE178" s="129">
        <v>6.0300000000000002E-4</v>
      </c>
      <c r="BF178" s="129">
        <v>2.8299999999999999E-4</v>
      </c>
      <c r="BG178" s="130">
        <v>3.0800000000000003E-5</v>
      </c>
      <c r="BH178" s="130">
        <v>2.1500000000000001E-5</v>
      </c>
      <c r="BI178" s="130">
        <v>2.3799999999999999E-5</v>
      </c>
      <c r="BJ178" s="130">
        <v>2.0699999999999998E-5</v>
      </c>
      <c r="BK178" s="130">
        <v>1.8300000000000001E-5</v>
      </c>
    </row>
    <row r="179" spans="1:63">
      <c r="A179">
        <f t="shared" si="1"/>
        <v>176</v>
      </c>
      <c r="B179" t="s">
        <v>477</v>
      </c>
      <c r="C179" t="str">
        <f>INDEX(EPD_Measures,4)</f>
        <v>Smog creation potential</v>
      </c>
      <c r="D179" t="str">
        <f>INDEX(EPD_Calc_Units,4)</f>
        <v>kg</v>
      </c>
      <c r="E179" s="123">
        <v>8.5193187000000004E-2</v>
      </c>
      <c r="F179" s="123">
        <f>E179*'Supplemental LCA Data'!$E$55</f>
        <v>7.6318896687499999E-2</v>
      </c>
      <c r="G179" s="123">
        <v>1.2800000000000001E-3</v>
      </c>
      <c r="H179" s="123">
        <v>1.2459999999999999E-3</v>
      </c>
      <c r="I179" s="123">
        <v>1.07156E-3</v>
      </c>
      <c r="J179" s="123">
        <v>1.2459999999999999E-3</v>
      </c>
      <c r="K179" s="123"/>
      <c r="L179" s="123"/>
      <c r="M179" s="123">
        <v>0</v>
      </c>
      <c r="N179" s="123">
        <v>0</v>
      </c>
      <c r="O179" s="123">
        <v>0</v>
      </c>
      <c r="P179" s="123">
        <f>'Supplemental LCA Data'!$AC$48</f>
        <v>8.7017595456788718E-3</v>
      </c>
      <c r="Q179" s="123">
        <f>'Supplemental LCA Data'!$AD$48</f>
        <v>1.3524104726696053E-2</v>
      </c>
      <c r="R179" s="123">
        <f>'Supplemental LCA Data'!$AE$48</f>
        <v>5.7241581200289861E-2</v>
      </c>
      <c r="S179" s="123">
        <f>'Supplemental LCA Data'!$AF$48</f>
        <v>43.192743848068233</v>
      </c>
      <c r="T179" s="123">
        <f>'Supplemental LCA Data'!$AG$48</f>
        <v>1.3524104726696053E-2</v>
      </c>
      <c r="U179" s="123">
        <f>'Supplemental LCA Data'!$AH$48</f>
        <v>8.6571470796535195</v>
      </c>
      <c r="V179" s="123"/>
      <c r="W179" s="123"/>
      <c r="X179" s="123"/>
      <c r="Y179" s="123"/>
      <c r="Z179" s="123"/>
      <c r="AA179" s="123"/>
      <c r="AB179" s="123"/>
      <c r="AC179" s="123"/>
      <c r="AD179" s="123"/>
      <c r="AE179" s="123"/>
      <c r="AF179" s="123"/>
      <c r="AG179" s="123"/>
      <c r="AH179" s="123"/>
      <c r="AI179" s="123"/>
      <c r="AJ179" s="123"/>
      <c r="AK179" s="123"/>
      <c r="AL179" s="123"/>
      <c r="AM179" s="123">
        <v>0</v>
      </c>
      <c r="AN179" s="123">
        <v>0</v>
      </c>
      <c r="AO179" s="123">
        <v>0</v>
      </c>
      <c r="AP179" s="316">
        <v>0</v>
      </c>
      <c r="AQ179" s="316">
        <v>0</v>
      </c>
      <c r="AR179" s="316">
        <v>0</v>
      </c>
      <c r="AS179" s="316">
        <v>0</v>
      </c>
      <c r="AT179" s="316">
        <v>0</v>
      </c>
      <c r="AU179" s="316">
        <v>0</v>
      </c>
      <c r="AV179" s="129">
        <v>3.4793233E-2</v>
      </c>
      <c r="AW179" s="129"/>
      <c r="AX179" s="129"/>
      <c r="AY179" s="129"/>
      <c r="AZ179" s="129"/>
      <c r="BA179" s="129">
        <v>0.241503051</v>
      </c>
      <c r="BB179" s="129">
        <v>0.90166400000000002</v>
      </c>
      <c r="BC179" s="129">
        <v>5.2539000000000002E-2</v>
      </c>
      <c r="BD179" s="129">
        <v>0.13974</v>
      </c>
      <c r="BE179" s="129">
        <v>0.24854699999999999</v>
      </c>
      <c r="BF179" s="129">
        <v>0.10738499999999999</v>
      </c>
      <c r="BG179" s="130">
        <v>1.5133000000000001E-2</v>
      </c>
      <c r="BH179" s="130">
        <v>1.0231000000000001E-2</v>
      </c>
      <c r="BI179" s="130">
        <v>1.2799E-2</v>
      </c>
      <c r="BJ179" s="130">
        <v>1.1180000000000001E-2</v>
      </c>
      <c r="BK179" s="130">
        <v>9.5029999999999993E-3</v>
      </c>
    </row>
    <row r="180" spans="1:63">
      <c r="A180">
        <f t="shared" si="1"/>
        <v>177</v>
      </c>
      <c r="B180" t="s">
        <v>477</v>
      </c>
      <c r="C180" t="str">
        <f>INDEX(EPD_Measures,5)</f>
        <v>Ozone depletion potential</v>
      </c>
      <c r="D180" t="str">
        <f>INDEX(EPD_Calc_Units,5)</f>
        <v>kg</v>
      </c>
      <c r="E180" s="123">
        <v>1.02178E-8</v>
      </c>
      <c r="F180" s="123">
        <f>E180*'Supplemental LCA Data'!$E$56</f>
        <v>8.9173527272727251E-9</v>
      </c>
      <c r="G180" s="123">
        <v>1.8200000000000001E-13</v>
      </c>
      <c r="H180" s="123">
        <v>9.6800000000000004E-11</v>
      </c>
      <c r="I180" s="123">
        <v>1.2111600000000001E-13</v>
      </c>
      <c r="J180" s="123">
        <v>9.6800000000000004E-11</v>
      </c>
      <c r="K180" s="123"/>
      <c r="L180" s="123"/>
      <c r="M180" s="123">
        <v>0</v>
      </c>
      <c r="N180" s="123">
        <v>0</v>
      </c>
      <c r="O180" s="123">
        <v>0</v>
      </c>
      <c r="P180" s="123">
        <f>'Supplemental LCA Data'!$AC$49</f>
        <v>4.817994588850506E-10</v>
      </c>
      <c r="Q180" s="123">
        <f>'Supplemental LCA Data'!$AD$49</f>
        <v>0</v>
      </c>
      <c r="R180" s="123">
        <f>'Supplemental LCA Data'!$AE$49</f>
        <v>2.4089972944252421E-9</v>
      </c>
      <c r="S180" s="123">
        <f>'Supplemental LCA Data'!$AF$49</f>
        <v>3.2599963386576577E-9</v>
      </c>
      <c r="T180" s="123">
        <f>'Supplemental LCA Data'!$AG$49</f>
        <v>0</v>
      </c>
      <c r="U180" s="123">
        <f>'Supplemental LCA Data'!$AH$49</f>
        <v>1.2301586183935901E-9</v>
      </c>
      <c r="V180" s="123"/>
      <c r="W180" s="123"/>
      <c r="X180" s="123"/>
      <c r="Y180" s="123"/>
      <c r="Z180" s="123"/>
      <c r="AA180" s="123"/>
      <c r="AB180" s="123"/>
      <c r="AC180" s="123"/>
      <c r="AD180" s="123"/>
      <c r="AE180" s="123"/>
      <c r="AF180" s="123"/>
      <c r="AG180" s="123"/>
      <c r="AH180" s="123"/>
      <c r="AI180" s="123"/>
      <c r="AJ180" s="123"/>
      <c r="AK180" s="123"/>
      <c r="AL180" s="123"/>
      <c r="AM180" s="123">
        <v>0</v>
      </c>
      <c r="AN180" s="123">
        <v>0</v>
      </c>
      <c r="AO180" s="123">
        <v>0</v>
      </c>
      <c r="AP180" s="316">
        <v>0</v>
      </c>
      <c r="AQ180" s="316">
        <v>0</v>
      </c>
      <c r="AR180" s="316">
        <v>0</v>
      </c>
      <c r="AS180" s="316">
        <v>0</v>
      </c>
      <c r="AT180" s="316">
        <v>0</v>
      </c>
      <c r="AU180" s="316">
        <v>0</v>
      </c>
      <c r="AV180" s="129">
        <v>1.0134599999999999E-11</v>
      </c>
      <c r="AW180" s="129"/>
      <c r="AX180" s="129"/>
      <c r="AY180" s="129"/>
      <c r="AZ180" s="129"/>
      <c r="BA180" s="129">
        <v>9.58911E-14</v>
      </c>
      <c r="BB180" s="129">
        <v>1.16E-10</v>
      </c>
      <c r="BC180" s="129">
        <v>1.6799999999999999E-12</v>
      </c>
      <c r="BD180" s="129">
        <v>1.2999999999999999E-10</v>
      </c>
      <c r="BE180" s="129">
        <v>1.41E-10</v>
      </c>
      <c r="BF180" s="129">
        <v>8.1099999999999997E-11</v>
      </c>
      <c r="BG180" s="130">
        <v>3.5300000000000001E-12</v>
      </c>
      <c r="BH180" s="130">
        <v>3.1599999999999999E-12</v>
      </c>
      <c r="BI180" s="130">
        <v>8.4099999999999995E-13</v>
      </c>
      <c r="BJ180" s="130">
        <v>6.9599999999999996E-13</v>
      </c>
      <c r="BK180" s="130">
        <v>1.2499999999999999E-12</v>
      </c>
    </row>
    <row r="181" spans="1:63">
      <c r="A181">
        <f t="shared" si="1"/>
        <v>178</v>
      </c>
      <c r="B181" t="s">
        <v>477</v>
      </c>
      <c r="C181" t="str">
        <f>INDEX(EPD_Measures,6)</f>
        <v>Total primary energy consumption</v>
      </c>
      <c r="D181" t="str">
        <f>INDEX(EPD_Calc_Units,6)</f>
        <v>MJ</v>
      </c>
      <c r="E181" s="123">
        <v>5.4775942979999996</v>
      </c>
      <c r="F181" s="123">
        <f>E181*'Supplemental LCA Data'!$E$50</f>
        <v>4.9811356002960716</v>
      </c>
      <c r="G181" s="123">
        <v>0.144231</v>
      </c>
      <c r="H181" s="123">
        <v>7.8342999999999996E-2</v>
      </c>
      <c r="I181" s="123">
        <v>6.9884485999999996E-2</v>
      </c>
      <c r="J181" s="123">
        <v>7.8342999999999996E-2</v>
      </c>
      <c r="K181" s="123">
        <v>0</v>
      </c>
      <c r="L181" s="123">
        <v>0</v>
      </c>
      <c r="M181" s="123">
        <v>0</v>
      </c>
      <c r="N181" s="123">
        <v>0</v>
      </c>
      <c r="O181" s="123">
        <v>0</v>
      </c>
      <c r="P181" s="123">
        <f>'Supplemental LCA Data'!$AC$50</f>
        <v>2.099997641465547</v>
      </c>
      <c r="Q181" s="123">
        <f>'Supplemental LCA Data'!$AD$50</f>
        <v>4.5999948336864307</v>
      </c>
      <c r="R181" s="123">
        <f>'Supplemental LCA Data'!$AE$50</f>
        <v>22.799974393054555</v>
      </c>
      <c r="S181" s="123">
        <f>'Supplemental LCA Data'!$AF$50</f>
        <v>18.299979447056902</v>
      </c>
      <c r="T181" s="123">
        <f>'Supplemental LCA Data'!$AG$50</f>
        <v>4.5999948336864307</v>
      </c>
      <c r="U181" s="123">
        <f>'Supplemental LCA Data'!$AH$50</f>
        <v>10.479988229789974</v>
      </c>
      <c r="V181" s="123">
        <v>57.506173091793869</v>
      </c>
      <c r="W181" s="123">
        <f>'Supplemental LCA Data'!$E$72/1000</f>
        <v>17.379305548594214</v>
      </c>
      <c r="X181" s="123">
        <f>'Supplemental LCA Data'!$F$72/1000</f>
        <v>21.599171010579372</v>
      </c>
      <c r="Y181" s="123">
        <f>'Supplemental LCA Data'!$G$72/1000</f>
        <v>25.866149969431106</v>
      </c>
      <c r="Z181" s="123">
        <f t="shared" si="3"/>
        <v>19.117236103453639</v>
      </c>
      <c r="AA181" s="123">
        <v>0</v>
      </c>
      <c r="AB181" s="123">
        <v>0</v>
      </c>
      <c r="AC181" s="123">
        <f t="shared" si="2"/>
        <v>17.379305548594214</v>
      </c>
      <c r="AD181" s="123">
        <v>0</v>
      </c>
      <c r="AE181" s="123">
        <v>0</v>
      </c>
      <c r="AF181" s="123">
        <v>0</v>
      </c>
      <c r="AG181" s="123">
        <v>111.41336281293017</v>
      </c>
      <c r="AH181" s="123">
        <v>96.934631722060175</v>
      </c>
      <c r="AI181" s="123">
        <v>3.4310468673118439</v>
      </c>
      <c r="AJ181" s="123">
        <v>7.079849022399789</v>
      </c>
      <c r="AK181" s="123">
        <v>88.609789579499989</v>
      </c>
      <c r="AL181" s="123">
        <v>75.869011043824344</v>
      </c>
      <c r="AM181" s="123">
        <v>0</v>
      </c>
      <c r="AN181" s="123">
        <v>0</v>
      </c>
      <c r="AO181" s="123">
        <v>0</v>
      </c>
      <c r="AP181" s="316">
        <v>0</v>
      </c>
      <c r="AQ181" s="316">
        <v>0</v>
      </c>
      <c r="AR181" s="316">
        <v>0</v>
      </c>
      <c r="AS181" s="316">
        <v>0</v>
      </c>
      <c r="AT181" s="316">
        <v>0</v>
      </c>
      <c r="AU181" s="316">
        <v>0</v>
      </c>
      <c r="AV181" s="129">
        <v>12.390994859999999</v>
      </c>
      <c r="AW181" s="129">
        <v>3.6</v>
      </c>
      <c r="AX181" s="129">
        <v>3.6</v>
      </c>
      <c r="AY181" s="129">
        <v>3.6</v>
      </c>
      <c r="AZ181" s="129">
        <v>3.6</v>
      </c>
      <c r="BA181" s="129">
        <v>3.4579025999999999E-2</v>
      </c>
      <c r="BB181" s="129">
        <v>41.990099999999998</v>
      </c>
      <c r="BC181" s="129">
        <v>43.209249999999997</v>
      </c>
      <c r="BD181" s="129">
        <v>46.983649999999997</v>
      </c>
      <c r="BE181" s="129">
        <v>51.126690000000004</v>
      </c>
      <c r="BF181" s="129">
        <v>29.343319999999999</v>
      </c>
      <c r="BG181" s="130">
        <v>1.2783040000000001</v>
      </c>
      <c r="BH181" s="130">
        <v>1.14236</v>
      </c>
      <c r="BI181" s="130">
        <v>0.30436299999999999</v>
      </c>
      <c r="BJ181" s="130">
        <v>0.25176399999999999</v>
      </c>
      <c r="BK181" s="130">
        <v>0.45051000000000002</v>
      </c>
    </row>
    <row r="182" spans="1:63">
      <c r="A182">
        <f t="shared" si="1"/>
        <v>179</v>
      </c>
      <c r="B182" t="s">
        <v>477</v>
      </c>
      <c r="C182" t="str">
        <f>INDEX(EPD_Measures,7)</f>
        <v>Nonrenewable energy resources</v>
      </c>
      <c r="D182" t="str">
        <f>INDEX(EPD_Calc_Units,7)</f>
        <v>MJ</v>
      </c>
      <c r="E182" s="123">
        <v>5.4007628329999999</v>
      </c>
      <c r="F182" s="123">
        <f>E182*'Supplemental LCA Data'!$E$51</f>
        <v>4.9011707368054234</v>
      </c>
      <c r="G182" s="123">
        <v>0.13944100000000001</v>
      </c>
      <c r="H182" s="123">
        <v>7.6734999999999998E-2</v>
      </c>
      <c r="I182" s="123">
        <v>6.8287932999999995E-2</v>
      </c>
      <c r="J182" s="123">
        <v>7.6734999999999998E-2</v>
      </c>
      <c r="K182" s="123"/>
      <c r="L182" s="123"/>
      <c r="M182" s="123">
        <v>0</v>
      </c>
      <c r="N182" s="123">
        <v>0</v>
      </c>
      <c r="O182" s="123">
        <v>0</v>
      </c>
      <c r="P182" s="123">
        <f>'Supplemental LCA Data'!$AC$51</f>
        <v>2.099997641465547</v>
      </c>
      <c r="Q182" s="123">
        <f>'Supplemental LCA Data'!$AD$51</f>
        <v>4.5999948336864307</v>
      </c>
      <c r="R182" s="123">
        <f>'Supplemental LCA Data'!$AE$51</f>
        <v>22.799974393054555</v>
      </c>
      <c r="S182" s="123">
        <f>'Supplemental LCA Data'!$AF$51</f>
        <v>18.299979447056902</v>
      </c>
      <c r="T182" s="123">
        <f>'Supplemental LCA Data'!$AG$51</f>
        <v>4.5999948336864307</v>
      </c>
      <c r="U182" s="123">
        <f>'Supplemental LCA Data'!$AH$51</f>
        <v>10.479988229789974</v>
      </c>
      <c r="V182" s="123"/>
      <c r="W182" s="123"/>
      <c r="X182" s="123"/>
      <c r="Y182" s="123"/>
      <c r="Z182" s="123"/>
      <c r="AA182" s="123"/>
      <c r="AB182" s="123"/>
      <c r="AC182" s="123"/>
      <c r="AD182" s="123"/>
      <c r="AE182" s="123"/>
      <c r="AF182" s="123"/>
      <c r="AG182" s="123"/>
      <c r="AH182" s="123"/>
      <c r="AI182" s="123"/>
      <c r="AJ182" s="123"/>
      <c r="AK182" s="123"/>
      <c r="AL182" s="123"/>
      <c r="AM182" s="123">
        <v>0</v>
      </c>
      <c r="AN182" s="123">
        <v>0</v>
      </c>
      <c r="AO182" s="123">
        <v>0</v>
      </c>
      <c r="AP182" s="316">
        <v>0</v>
      </c>
      <c r="AQ182" s="316">
        <v>0</v>
      </c>
      <c r="AR182" s="316">
        <v>0</v>
      </c>
      <c r="AS182" s="316">
        <v>0</v>
      </c>
      <c r="AT182" s="316">
        <v>0</v>
      </c>
      <c r="AU182" s="316">
        <v>0</v>
      </c>
      <c r="AV182" s="129">
        <v>11.858810439999999</v>
      </c>
      <c r="AW182" s="129"/>
      <c r="AX182" s="129"/>
      <c r="AY182" s="129"/>
      <c r="AZ182" s="129"/>
      <c r="BA182" s="129">
        <v>3.4579025999999999E-2</v>
      </c>
      <c r="BB182" s="129">
        <v>41.929009999999998</v>
      </c>
      <c r="BC182" s="129">
        <v>43.189610000000002</v>
      </c>
      <c r="BD182" s="129">
        <v>46.915320000000001</v>
      </c>
      <c r="BE182" s="129">
        <v>51.052590000000002</v>
      </c>
      <c r="BF182" s="129">
        <v>29.300560000000001</v>
      </c>
      <c r="BG182" s="130">
        <v>1.276451</v>
      </c>
      <c r="BH182" s="130">
        <v>1.1407039999999999</v>
      </c>
      <c r="BI182" s="130">
        <v>0.303921</v>
      </c>
      <c r="BJ182" s="130">
        <v>0.25139899999999998</v>
      </c>
      <c r="BK182" s="130">
        <v>0.44985700000000001</v>
      </c>
    </row>
    <row r="183" spans="1:63">
      <c r="A183">
        <f t="shared" si="1"/>
        <v>180</v>
      </c>
      <c r="B183" t="s">
        <v>477</v>
      </c>
      <c r="C183" t="str">
        <f>INDEX(EPD_Measures,8)</f>
        <v>Renewable energy resources</v>
      </c>
      <c r="D183" t="str">
        <f>INDEX(EPD_Calc_Units,8)</f>
        <v>MJ</v>
      </c>
      <c r="E183" s="123">
        <v>7.6831465000000002E-2</v>
      </c>
      <c r="F183" s="123">
        <f>E183*'Supplemental LCA Data'!$E$57</f>
        <v>6.9724248141945791E-2</v>
      </c>
      <c r="G183" s="123">
        <v>4.79E-3</v>
      </c>
      <c r="H183" s="123">
        <v>1.6080000000000001E-3</v>
      </c>
      <c r="I183" s="123">
        <v>1.5965529999999999E-3</v>
      </c>
      <c r="J183" s="123">
        <v>1.6080000000000001E-3</v>
      </c>
      <c r="K183" s="123"/>
      <c r="L183" s="123"/>
      <c r="M183" s="123">
        <v>0</v>
      </c>
      <c r="N183" s="123">
        <v>0</v>
      </c>
      <c r="O183" s="123">
        <v>0</v>
      </c>
      <c r="P183" s="123">
        <f>'Supplemental LCA Data'!$AC$52</f>
        <v>0</v>
      </c>
      <c r="Q183" s="123">
        <f>'Supplemental LCA Data'!$AD$52</f>
        <v>0</v>
      </c>
      <c r="R183" s="123">
        <f>'Supplemental LCA Data'!$AE$52</f>
        <v>0</v>
      </c>
      <c r="S183" s="123">
        <f>'Supplemental LCA Data'!$AF$52</f>
        <v>0</v>
      </c>
      <c r="T183" s="123">
        <f>'Supplemental LCA Data'!$AG$52</f>
        <v>0</v>
      </c>
      <c r="U183" s="123">
        <f>'Supplemental LCA Data'!$AH$52</f>
        <v>0</v>
      </c>
      <c r="V183" s="123"/>
      <c r="W183" s="123"/>
      <c r="X183" s="123"/>
      <c r="Y183" s="123"/>
      <c r="Z183" s="123"/>
      <c r="AA183" s="123"/>
      <c r="AB183" s="123"/>
      <c r="AC183" s="123"/>
      <c r="AD183" s="123"/>
      <c r="AE183" s="123"/>
      <c r="AF183" s="123"/>
      <c r="AG183" s="123"/>
      <c r="AH183" s="123"/>
      <c r="AI183" s="123"/>
      <c r="AJ183" s="123"/>
      <c r="AK183" s="123"/>
      <c r="AL183" s="123"/>
      <c r="AM183" s="123">
        <v>0</v>
      </c>
      <c r="AN183" s="123">
        <v>0</v>
      </c>
      <c r="AO183" s="123">
        <v>0</v>
      </c>
      <c r="AP183" s="316">
        <v>0</v>
      </c>
      <c r="AQ183" s="316">
        <v>0</v>
      </c>
      <c r="AR183" s="316">
        <v>0</v>
      </c>
      <c r="AS183" s="316">
        <v>0</v>
      </c>
      <c r="AT183" s="316">
        <v>0</v>
      </c>
      <c r="AU183" s="316">
        <v>0</v>
      </c>
      <c r="AV183" s="129">
        <v>0.53218442399999999</v>
      </c>
      <c r="AW183" s="129"/>
      <c r="AX183" s="129"/>
      <c r="AY183" s="129"/>
      <c r="AZ183" s="129"/>
      <c r="BA183" s="129">
        <v>0</v>
      </c>
      <c r="BB183" s="129">
        <v>6.1093000000000001E-2</v>
      </c>
      <c r="BC183" s="129">
        <v>1.9647000000000001E-2</v>
      </c>
      <c r="BD183" s="129">
        <v>6.8331000000000003E-2</v>
      </c>
      <c r="BE183" s="129">
        <v>7.4106000000000005E-2</v>
      </c>
      <c r="BF183" s="129">
        <v>4.2762000000000001E-2</v>
      </c>
      <c r="BG183" s="130">
        <v>1.853E-3</v>
      </c>
      <c r="BH183" s="130">
        <v>1.6559999999999999E-3</v>
      </c>
      <c r="BI183" s="130">
        <v>4.4099999999999999E-4</v>
      </c>
      <c r="BJ183" s="130">
        <v>3.6499999999999998E-4</v>
      </c>
      <c r="BK183" s="130">
        <v>6.5300000000000004E-4</v>
      </c>
    </row>
    <row r="184" spans="1:63">
      <c r="A184">
        <f t="shared" si="1"/>
        <v>181</v>
      </c>
      <c r="B184" t="s">
        <v>477</v>
      </c>
      <c r="C184" t="str">
        <f>INDEX(EPD_Measures,9)</f>
        <v>Material resources consumption</v>
      </c>
      <c r="D184" t="str">
        <f>INDEX(EPD_Calc_Units,9)</f>
        <v>kg</v>
      </c>
      <c r="E184" s="123">
        <v>1.6270211299999999</v>
      </c>
      <c r="F184" s="123">
        <f>E184*'Supplemental LCA Data'!$E$58</f>
        <v>1.6270211299999999</v>
      </c>
      <c r="G184" s="123">
        <v>1.0000015600000001</v>
      </c>
      <c r="H184" s="123">
        <v>1.0000021111778816</v>
      </c>
      <c r="I184" s="123">
        <v>1.0000015600000001</v>
      </c>
      <c r="J184" s="123">
        <v>1.0000021111778816</v>
      </c>
      <c r="K184" s="123"/>
      <c r="L184" s="123"/>
      <c r="M184" s="123">
        <v>0</v>
      </c>
      <c r="N184" s="123">
        <v>0</v>
      </c>
      <c r="O184" s="123">
        <v>0</v>
      </c>
      <c r="P184" s="123">
        <f>'Supplemental LCA Data'!$AC$53</f>
        <v>0</v>
      </c>
      <c r="Q184" s="123">
        <f>'Supplemental LCA Data'!$AD$53</f>
        <v>0</v>
      </c>
      <c r="R184" s="123">
        <f>'Supplemental LCA Data'!$AE$53</f>
        <v>0</v>
      </c>
      <c r="S184" s="123">
        <f>'Supplemental LCA Data'!$AF$53</f>
        <v>0</v>
      </c>
      <c r="T184" s="123">
        <f>'Supplemental LCA Data'!$AG$53</f>
        <v>0</v>
      </c>
      <c r="U184" s="123">
        <f>'Supplemental LCA Data'!$AH$53</f>
        <v>0</v>
      </c>
      <c r="V184" s="123"/>
      <c r="W184" s="123"/>
      <c r="X184" s="123"/>
      <c r="Y184" s="123"/>
      <c r="Z184" s="123"/>
      <c r="AA184" s="123"/>
      <c r="AB184" s="123"/>
      <c r="AC184" s="123"/>
      <c r="AD184" s="123"/>
      <c r="AE184" s="123"/>
      <c r="AF184" s="123"/>
      <c r="AG184" s="123"/>
      <c r="AH184" s="123"/>
      <c r="AI184" s="123"/>
      <c r="AJ184" s="123"/>
      <c r="AK184" s="123"/>
      <c r="AL184" s="123"/>
      <c r="AM184" s="123">
        <v>0</v>
      </c>
      <c r="AN184" s="123">
        <v>0</v>
      </c>
      <c r="AO184" s="123">
        <v>0</v>
      </c>
      <c r="AP184" s="316">
        <v>0</v>
      </c>
      <c r="AQ184" s="316">
        <v>0</v>
      </c>
      <c r="AR184" s="316">
        <v>0</v>
      </c>
      <c r="AS184" s="316">
        <v>0</v>
      </c>
      <c r="AT184" s="316">
        <v>0</v>
      </c>
      <c r="AU184" s="316">
        <v>0</v>
      </c>
      <c r="AV184" s="129">
        <v>0</v>
      </c>
      <c r="AW184" s="129"/>
      <c r="AX184" s="129"/>
      <c r="AY184" s="129"/>
      <c r="AZ184" s="129"/>
      <c r="BA184" s="129">
        <v>0.84323164500000003</v>
      </c>
      <c r="BB184" s="129">
        <v>0</v>
      </c>
      <c r="BC184" s="129">
        <v>0</v>
      </c>
      <c r="BD184" s="129">
        <v>0</v>
      </c>
      <c r="BE184" s="129">
        <v>0</v>
      </c>
      <c r="BF184" s="129">
        <v>0</v>
      </c>
      <c r="BG184" s="130">
        <v>0</v>
      </c>
      <c r="BH184" s="130">
        <v>0</v>
      </c>
      <c r="BI184" s="130">
        <v>0</v>
      </c>
      <c r="BJ184" s="130">
        <v>0</v>
      </c>
      <c r="BK184" s="130">
        <v>0</v>
      </c>
    </row>
    <row r="185" spans="1:63">
      <c r="A185">
        <f t="shared" si="1"/>
        <v>182</v>
      </c>
      <c r="B185" t="s">
        <v>477</v>
      </c>
      <c r="C185" t="str">
        <f>INDEX(EPD_Measures,10)</f>
        <v>Nonrenewable material resources</v>
      </c>
      <c r="D185" t="str">
        <f>INDEX(EPD_Calc_Units,10)</f>
        <v>kg</v>
      </c>
      <c r="E185" s="123">
        <v>1.6269560000000001</v>
      </c>
      <c r="F185" s="123">
        <f>E185*'Supplemental LCA Data'!$E$59</f>
        <v>1.6269560000000001</v>
      </c>
      <c r="G185" s="123">
        <v>1</v>
      </c>
      <c r="H185" s="123">
        <v>1.0000001919173316</v>
      </c>
      <c r="I185" s="123">
        <v>1</v>
      </c>
      <c r="J185" s="123">
        <v>1.0000001919173316</v>
      </c>
      <c r="K185" s="123"/>
      <c r="L185" s="123"/>
      <c r="M185" s="123">
        <v>0</v>
      </c>
      <c r="N185" s="123">
        <v>0</v>
      </c>
      <c r="O185" s="123">
        <v>0</v>
      </c>
      <c r="P185" s="123">
        <f>'Supplemental LCA Data'!$AC$54</f>
        <v>0</v>
      </c>
      <c r="Q185" s="123">
        <f>'Supplemental LCA Data'!$AD$54</f>
        <v>0</v>
      </c>
      <c r="R185" s="123">
        <f>'Supplemental LCA Data'!$AE$54</f>
        <v>0</v>
      </c>
      <c r="S185" s="123">
        <f>'Supplemental LCA Data'!$AF$54</f>
        <v>0</v>
      </c>
      <c r="T185" s="123">
        <f>'Supplemental LCA Data'!$AG$54</f>
        <v>0</v>
      </c>
      <c r="U185" s="123">
        <f>'Supplemental LCA Data'!$AH$54</f>
        <v>0</v>
      </c>
      <c r="V185" s="123"/>
      <c r="W185" s="123"/>
      <c r="X185" s="123"/>
      <c r="Y185" s="123"/>
      <c r="Z185" s="123"/>
      <c r="AA185" s="123"/>
      <c r="AB185" s="123"/>
      <c r="AC185" s="123"/>
      <c r="AD185" s="123"/>
      <c r="AE185" s="123"/>
      <c r="AF185" s="123"/>
      <c r="AG185" s="123"/>
      <c r="AH185" s="123"/>
      <c r="AI185" s="123"/>
      <c r="AJ185" s="123"/>
      <c r="AK185" s="123"/>
      <c r="AL185" s="123"/>
      <c r="AM185" s="123">
        <v>0</v>
      </c>
      <c r="AN185" s="123">
        <v>0</v>
      </c>
      <c r="AO185" s="123">
        <v>0</v>
      </c>
      <c r="AP185" s="316">
        <v>0</v>
      </c>
      <c r="AQ185" s="316">
        <v>0</v>
      </c>
      <c r="AR185" s="316">
        <v>0</v>
      </c>
      <c r="AS185" s="316">
        <v>0</v>
      </c>
      <c r="AT185" s="316">
        <v>0</v>
      </c>
      <c r="AU185" s="316">
        <v>0</v>
      </c>
      <c r="AV185" s="129">
        <v>0</v>
      </c>
      <c r="AW185" s="129"/>
      <c r="AX185" s="129"/>
      <c r="AY185" s="129"/>
      <c r="AZ185" s="129"/>
      <c r="BA185" s="129">
        <v>0</v>
      </c>
      <c r="BB185" s="129">
        <v>0</v>
      </c>
      <c r="BC185" s="129">
        <v>0</v>
      </c>
      <c r="BD185" s="129">
        <v>0</v>
      </c>
      <c r="BE185" s="129">
        <v>0</v>
      </c>
      <c r="BF185" s="129">
        <v>0</v>
      </c>
      <c r="BG185" s="130">
        <v>0</v>
      </c>
      <c r="BH185" s="130">
        <v>0</v>
      </c>
      <c r="BI185" s="130">
        <v>0</v>
      </c>
      <c r="BJ185" s="130">
        <v>0</v>
      </c>
      <c r="BK185" s="130">
        <v>0</v>
      </c>
    </row>
    <row r="186" spans="1:63">
      <c r="A186">
        <f t="shared" si="1"/>
        <v>183</v>
      </c>
      <c r="B186" t="s">
        <v>477</v>
      </c>
      <c r="C186" t="str">
        <f>INDEX(EPD_Measures,11)</f>
        <v>Renewable material resources</v>
      </c>
      <c r="D186" t="str">
        <f>INDEX(EPD_Calc_Units,11)</f>
        <v>kg</v>
      </c>
      <c r="E186" s="123">
        <v>6.5130399999999996E-5</v>
      </c>
      <c r="F186" s="123">
        <f>E186*'Supplemental LCA Data'!$E$60</f>
        <v>6.5130399999999996E-5</v>
      </c>
      <c r="G186" s="123">
        <v>1.5600000000000001E-6</v>
      </c>
      <c r="H186" s="123">
        <v>1.9192605499999998E-6</v>
      </c>
      <c r="I186" s="123">
        <v>1.5600000000000001E-6</v>
      </c>
      <c r="J186" s="123">
        <v>1.9192605499999998E-6</v>
      </c>
      <c r="K186" s="123"/>
      <c r="L186" s="123"/>
      <c r="M186" s="123">
        <v>0</v>
      </c>
      <c r="N186" s="123">
        <v>0</v>
      </c>
      <c r="O186" s="123">
        <v>0</v>
      </c>
      <c r="P186" s="123">
        <f>'Supplemental LCA Data'!$AC$55</f>
        <v>0</v>
      </c>
      <c r="Q186" s="123">
        <f>'Supplemental LCA Data'!$AD$55</f>
        <v>0</v>
      </c>
      <c r="R186" s="123">
        <f>'Supplemental LCA Data'!$AE$55</f>
        <v>0</v>
      </c>
      <c r="S186" s="123">
        <f>'Supplemental LCA Data'!$AF$55</f>
        <v>0</v>
      </c>
      <c r="T186" s="123">
        <f>'Supplemental LCA Data'!$AG$55</f>
        <v>0</v>
      </c>
      <c r="U186" s="123">
        <f>'Supplemental LCA Data'!$AH$55</f>
        <v>0</v>
      </c>
      <c r="V186" s="123"/>
      <c r="W186" s="123"/>
      <c r="X186" s="123"/>
      <c r="Y186" s="123"/>
      <c r="Z186" s="123"/>
      <c r="AA186" s="123"/>
      <c r="AB186" s="123"/>
      <c r="AC186" s="123"/>
      <c r="AD186" s="123"/>
      <c r="AE186" s="123"/>
      <c r="AF186" s="123"/>
      <c r="AG186" s="123"/>
      <c r="AH186" s="123"/>
      <c r="AI186" s="123"/>
      <c r="AJ186" s="123"/>
      <c r="AK186" s="123"/>
      <c r="AL186" s="123"/>
      <c r="AM186" s="123">
        <v>0</v>
      </c>
      <c r="AN186" s="123">
        <v>0</v>
      </c>
      <c r="AO186" s="123">
        <v>0</v>
      </c>
      <c r="AP186" s="316">
        <v>0</v>
      </c>
      <c r="AQ186" s="316">
        <v>0</v>
      </c>
      <c r="AR186" s="316">
        <v>0</v>
      </c>
      <c r="AS186" s="316">
        <v>0</v>
      </c>
      <c r="AT186" s="316">
        <v>0</v>
      </c>
      <c r="AU186" s="316">
        <v>0</v>
      </c>
      <c r="AV186" s="129">
        <v>0</v>
      </c>
      <c r="AW186" s="129"/>
      <c r="AX186" s="129"/>
      <c r="AY186" s="129"/>
      <c r="AZ186" s="129"/>
      <c r="BA186" s="129">
        <v>0.84323164500000003</v>
      </c>
      <c r="BB186" s="129">
        <v>0</v>
      </c>
      <c r="BC186" s="129">
        <v>0</v>
      </c>
      <c r="BD186" s="129">
        <v>0</v>
      </c>
      <c r="BE186" s="129">
        <v>0</v>
      </c>
      <c r="BF186" s="129">
        <v>0</v>
      </c>
      <c r="BG186" s="130">
        <v>0</v>
      </c>
      <c r="BH186" s="130">
        <v>0</v>
      </c>
      <c r="BI186" s="130">
        <v>0</v>
      </c>
      <c r="BJ186" s="130">
        <v>0</v>
      </c>
      <c r="BK186" s="130">
        <v>0</v>
      </c>
    </row>
    <row r="187" spans="1:63">
      <c r="A187">
        <f t="shared" si="1"/>
        <v>184</v>
      </c>
      <c r="B187" t="s">
        <v>477</v>
      </c>
      <c r="C187" t="str">
        <f>INDEX(EPD_Measures,12)</f>
        <v>Net Fresh Water</v>
      </c>
      <c r="D187" t="str">
        <f>INDEX(EPD_Calc_Units,12)</f>
        <v>m3</v>
      </c>
      <c r="E187" s="123">
        <v>8.4060799999999996E-4</v>
      </c>
      <c r="F187" s="123">
        <f>E187*'Supplemental LCA Data'!$E$61</f>
        <v>7.5654719999999995E-4</v>
      </c>
      <c r="G187" s="123">
        <f>$G$1+0</f>
        <v>6.7500000000000004E-4</v>
      </c>
      <c r="H187" s="123">
        <f>$G$1+0.000000717</f>
        <v>6.7571700000000005E-4</v>
      </c>
      <c r="I187" s="123">
        <f>$G$1+0</f>
        <v>6.7500000000000004E-4</v>
      </c>
      <c r="J187" s="123">
        <f>$G$1+0.000000717</f>
        <v>6.7571700000000005E-4</v>
      </c>
      <c r="K187" s="123">
        <v>0</v>
      </c>
      <c r="L187" s="123">
        <v>0</v>
      </c>
      <c r="M187" s="123">
        <v>0</v>
      </c>
      <c r="N187" s="123">
        <v>0</v>
      </c>
      <c r="O187" s="123">
        <v>0</v>
      </c>
      <c r="P187" s="123">
        <f>'Supplemental LCA Data'!$AC$56</f>
        <v>0</v>
      </c>
      <c r="Q187" s="123">
        <f>'Supplemental LCA Data'!$AD$56</f>
        <v>0</v>
      </c>
      <c r="R187" s="123">
        <f>'Supplemental LCA Data'!$AE$56</f>
        <v>0</v>
      </c>
      <c r="S187" s="123">
        <f>'Supplemental LCA Data'!$AF$56</f>
        <v>0</v>
      </c>
      <c r="T187" s="123">
        <f>'Supplemental LCA Data'!$AG$56</f>
        <v>0</v>
      </c>
      <c r="U187" s="123">
        <f>'Supplemental LCA Data'!$AH$56</f>
        <v>0</v>
      </c>
      <c r="V187" s="123">
        <v>0.11500386618134965</v>
      </c>
      <c r="W187" s="123">
        <f>'Supplemental LCA Data'!$E$73/1000</f>
        <v>13.732079207907059</v>
      </c>
      <c r="X187" s="123">
        <f>'Supplemental LCA Data'!$F$73/1000</f>
        <v>13.896554340061131</v>
      </c>
      <c r="Y187" s="123">
        <f>'Supplemental LCA Data'!$G$73/1000</f>
        <v>14.675578391799121</v>
      </c>
      <c r="Z187" s="123">
        <f t="shared" si="3"/>
        <v>15.105287128697766</v>
      </c>
      <c r="AA187" s="123">
        <v>0</v>
      </c>
      <c r="AB187" s="123">
        <v>0</v>
      </c>
      <c r="AC187" s="123">
        <f t="shared" si="2"/>
        <v>13.732079207907059</v>
      </c>
      <c r="AD187" s="123">
        <v>0</v>
      </c>
      <c r="AE187" s="123">
        <v>0</v>
      </c>
      <c r="AF187" s="123">
        <v>0</v>
      </c>
      <c r="AG187" s="123">
        <v>6.6615854003756548E-4</v>
      </c>
      <c r="AH187" s="123">
        <v>8.5599624991234465E-3</v>
      </c>
      <c r="AI187" s="123">
        <v>3.5226266152208971E-4</v>
      </c>
      <c r="AJ187" s="123">
        <v>3.9507938615937904E-3</v>
      </c>
      <c r="AK187" s="123">
        <v>7.4033158500000001E-2</v>
      </c>
      <c r="AL187" s="123">
        <v>0</v>
      </c>
      <c r="AM187" s="123">
        <v>0</v>
      </c>
      <c r="AN187" s="123">
        <v>0</v>
      </c>
      <c r="AO187" s="123">
        <v>0</v>
      </c>
      <c r="AP187" s="316">
        <v>0</v>
      </c>
      <c r="AQ187" s="316">
        <v>0</v>
      </c>
      <c r="AR187" s="316">
        <v>0</v>
      </c>
      <c r="AS187" s="316">
        <v>0</v>
      </c>
      <c r="AT187" s="316">
        <v>0</v>
      </c>
      <c r="AU187" s="316">
        <v>0</v>
      </c>
      <c r="AV187" s="129">
        <v>0</v>
      </c>
      <c r="AW187" s="129">
        <v>0</v>
      </c>
      <c r="AX187" s="129">
        <v>0</v>
      </c>
      <c r="AY187" s="129">
        <v>0</v>
      </c>
      <c r="AZ187" s="129">
        <v>0</v>
      </c>
      <c r="BA187" s="129">
        <v>0</v>
      </c>
      <c r="BB187" s="129">
        <v>0</v>
      </c>
      <c r="BC187" s="129">
        <v>0</v>
      </c>
      <c r="BD187" s="129">
        <v>0</v>
      </c>
      <c r="BE187" s="129">
        <v>0</v>
      </c>
      <c r="BF187" s="129">
        <v>0</v>
      </c>
      <c r="BG187" s="130">
        <v>0</v>
      </c>
      <c r="BH187" s="130">
        <v>0</v>
      </c>
      <c r="BI187" s="130">
        <v>0</v>
      </c>
      <c r="BJ187" s="130">
        <v>0</v>
      </c>
      <c r="BK187" s="130">
        <v>0</v>
      </c>
    </row>
    <row r="188" spans="1:63">
      <c r="A188">
        <f t="shared" si="1"/>
        <v>185</v>
      </c>
      <c r="B188" t="s">
        <v>477</v>
      </c>
      <c r="C188" t="str">
        <f>INDEX(EPD_Measures,13)</f>
        <v>Non-hazardous waste generated</v>
      </c>
      <c r="D188" t="str">
        <f>INDEX(EPD_Calc_Units,13)</f>
        <v>kg</v>
      </c>
      <c r="E188" s="123">
        <v>0</v>
      </c>
      <c r="F188" s="123">
        <f>E188*'Supplemental LCA Data'!$E$62</f>
        <v>0</v>
      </c>
      <c r="G188" s="123">
        <v>0</v>
      </c>
      <c r="H188" s="123">
        <v>0</v>
      </c>
      <c r="I188" s="123">
        <v>0</v>
      </c>
      <c r="J188" s="123">
        <v>0</v>
      </c>
      <c r="K188" s="123"/>
      <c r="L188" s="123"/>
      <c r="M188" s="123">
        <v>0</v>
      </c>
      <c r="N188" s="123">
        <v>0</v>
      </c>
      <c r="O188" s="123">
        <v>0</v>
      </c>
      <c r="P188" s="123">
        <f>'Supplemental LCA Data'!$AC$57</f>
        <v>0</v>
      </c>
      <c r="Q188" s="123">
        <f>'Supplemental LCA Data'!$AD$57</f>
        <v>0</v>
      </c>
      <c r="R188" s="123">
        <f>'Supplemental LCA Data'!$AE$57</f>
        <v>0</v>
      </c>
      <c r="S188" s="123">
        <f>'Supplemental LCA Data'!$AF$57</f>
        <v>0</v>
      </c>
      <c r="T188" s="123">
        <f>'Supplemental LCA Data'!$AG$57</f>
        <v>0</v>
      </c>
      <c r="U188" s="123">
        <f>'Supplemental LCA Data'!$AH$57</f>
        <v>0</v>
      </c>
      <c r="V188" s="123"/>
      <c r="W188" s="123"/>
      <c r="X188" s="123"/>
      <c r="Y188" s="123"/>
      <c r="Z188" s="123"/>
      <c r="AA188" s="123"/>
      <c r="AB188" s="123"/>
      <c r="AC188" s="123"/>
      <c r="AD188" s="123"/>
      <c r="AE188" s="123"/>
      <c r="AF188" s="123"/>
      <c r="AG188" s="123"/>
      <c r="AH188" s="123"/>
      <c r="AI188" s="123"/>
      <c r="AJ188" s="123"/>
      <c r="AK188" s="123"/>
      <c r="AL188" s="123"/>
      <c r="AM188" s="123">
        <v>0</v>
      </c>
      <c r="AN188" s="123">
        <v>0</v>
      </c>
      <c r="AO188" s="123">
        <v>0</v>
      </c>
      <c r="AP188" s="316">
        <v>0</v>
      </c>
      <c r="AQ188" s="316">
        <v>0</v>
      </c>
      <c r="AR188" s="316">
        <v>0</v>
      </c>
      <c r="AS188" s="316">
        <v>0</v>
      </c>
      <c r="AT188" s="316">
        <v>0</v>
      </c>
      <c r="AU188" s="316">
        <v>0</v>
      </c>
      <c r="AV188" s="129">
        <v>0</v>
      </c>
      <c r="AW188" s="129"/>
      <c r="AX188" s="129"/>
      <c r="AY188" s="129"/>
      <c r="AZ188" s="129"/>
      <c r="BA188" s="129">
        <v>0</v>
      </c>
      <c r="BB188" s="129">
        <v>0</v>
      </c>
      <c r="BC188" s="129">
        <v>0</v>
      </c>
      <c r="BD188" s="129">
        <v>0</v>
      </c>
      <c r="BE188" s="129">
        <v>0</v>
      </c>
      <c r="BF188" s="129">
        <v>0</v>
      </c>
      <c r="BG188" s="130">
        <v>0</v>
      </c>
      <c r="BH188" s="130">
        <v>0</v>
      </c>
      <c r="BI188" s="130">
        <v>0</v>
      </c>
      <c r="BJ188" s="130">
        <v>0</v>
      </c>
      <c r="BK188" s="130">
        <v>0</v>
      </c>
    </row>
    <row r="189" spans="1:63">
      <c r="A189">
        <f t="shared" si="1"/>
        <v>186</v>
      </c>
      <c r="B189" t="s">
        <v>477</v>
      </c>
      <c r="C189" t="str">
        <f>INDEX(EPD_Measures,14)</f>
        <v>Hazardous waste generated</v>
      </c>
      <c r="D189" t="str">
        <f>INDEX(EPD_Calc_Units,14)</f>
        <v>kg</v>
      </c>
      <c r="E189" s="123">
        <v>0</v>
      </c>
      <c r="F189" s="123">
        <f>E189*'Supplemental LCA Data'!$E$63</f>
        <v>0</v>
      </c>
      <c r="G189" s="123">
        <v>0</v>
      </c>
      <c r="H189" s="123">
        <v>0</v>
      </c>
      <c r="I189" s="123">
        <v>0</v>
      </c>
      <c r="J189" s="123">
        <v>0</v>
      </c>
      <c r="K189" s="123"/>
      <c r="L189" s="123"/>
      <c r="M189" s="123">
        <v>0</v>
      </c>
      <c r="N189" s="123">
        <v>0</v>
      </c>
      <c r="O189" s="123">
        <v>0</v>
      </c>
      <c r="P189" s="123">
        <f>'Supplemental LCA Data'!$AC$58</f>
        <v>0</v>
      </c>
      <c r="Q189" s="123">
        <f>'Supplemental LCA Data'!$AD$58</f>
        <v>0</v>
      </c>
      <c r="R189" s="123">
        <f>'Supplemental LCA Data'!$AE$58</f>
        <v>0</v>
      </c>
      <c r="S189" s="123">
        <f>'Supplemental LCA Data'!$AF$58</f>
        <v>0</v>
      </c>
      <c r="T189" s="123">
        <f>'Supplemental LCA Data'!$AG$58</f>
        <v>0</v>
      </c>
      <c r="U189" s="123">
        <f>'Supplemental LCA Data'!$AH$58</f>
        <v>0</v>
      </c>
      <c r="V189" s="123"/>
      <c r="W189" s="123"/>
      <c r="X189" s="123"/>
      <c r="Y189" s="123"/>
      <c r="Z189" s="123"/>
      <c r="AA189" s="123"/>
      <c r="AB189" s="123"/>
      <c r="AC189" s="123"/>
      <c r="AD189" s="123"/>
      <c r="AE189" s="123"/>
      <c r="AF189" s="123"/>
      <c r="AG189" s="123"/>
      <c r="AH189" s="123"/>
      <c r="AI189" s="123"/>
      <c r="AJ189" s="123"/>
      <c r="AK189" s="123"/>
      <c r="AL189" s="123"/>
      <c r="AM189" s="123">
        <v>0</v>
      </c>
      <c r="AN189" s="123">
        <v>0</v>
      </c>
      <c r="AO189" s="123">
        <v>0</v>
      </c>
      <c r="AP189" s="316">
        <v>0</v>
      </c>
      <c r="AQ189" s="316">
        <v>0</v>
      </c>
      <c r="AR189" s="316">
        <v>0</v>
      </c>
      <c r="AS189" s="316">
        <v>0</v>
      </c>
      <c r="AT189" s="316">
        <v>0</v>
      </c>
      <c r="AU189" s="316">
        <v>0</v>
      </c>
      <c r="AV189" s="129">
        <v>0</v>
      </c>
      <c r="AW189" s="129"/>
      <c r="AX189" s="129"/>
      <c r="AY189" s="129"/>
      <c r="AZ189" s="129"/>
      <c r="BA189" s="129">
        <v>0</v>
      </c>
      <c r="BB189" s="129">
        <v>0</v>
      </c>
      <c r="BC189" s="129">
        <v>0</v>
      </c>
      <c r="BD189" s="129">
        <v>0</v>
      </c>
      <c r="BE189" s="129">
        <v>0</v>
      </c>
      <c r="BF189" s="129">
        <v>0</v>
      </c>
      <c r="BG189" s="130">
        <v>0</v>
      </c>
      <c r="BH189" s="130">
        <v>0</v>
      </c>
      <c r="BI189" s="130">
        <v>0</v>
      </c>
      <c r="BJ189" s="130">
        <v>0</v>
      </c>
      <c r="BK189" s="130">
        <v>0</v>
      </c>
    </row>
    <row r="190" spans="1:63">
      <c r="A190" s="112">
        <f t="shared" si="1"/>
        <v>187</v>
      </c>
      <c r="B190" s="112" t="s">
        <v>478</v>
      </c>
      <c r="C190" s="112" t="str">
        <f>INDEX(EPD_Measures,1)</f>
        <v>Global warming potential (GWP)</v>
      </c>
      <c r="D190" s="112" t="str">
        <f>INDEX(EPD_Calc_Units,1)</f>
        <v>kg</v>
      </c>
      <c r="E190" s="123">
        <v>1.340517889</v>
      </c>
      <c r="F190" s="123">
        <f>E190*'Supplemental LCA Data'!$E$49</f>
        <v>1.1994107427894738</v>
      </c>
      <c r="G190" s="123">
        <v>7.3540000000000003E-3</v>
      </c>
      <c r="H190" s="123">
        <v>4.4860000000000004E-3</v>
      </c>
      <c r="I190" s="123">
        <v>3.9191269999999997E-3</v>
      </c>
      <c r="J190" s="123">
        <v>4.4860000000000004E-3</v>
      </c>
      <c r="K190" s="123">
        <v>0</v>
      </c>
      <c r="L190" s="123">
        <v>0</v>
      </c>
      <c r="M190" s="123">
        <v>0</v>
      </c>
      <c r="N190" s="123">
        <v>0</v>
      </c>
      <c r="O190" s="123">
        <v>0</v>
      </c>
      <c r="P190" s="123">
        <f>'Supplemental LCA Data'!$AC$45</f>
        <v>0.10406360712476165</v>
      </c>
      <c r="Q190" s="123">
        <f>'Supplemental LCA Data'!$AD$45</f>
        <v>0.22949974224587316</v>
      </c>
      <c r="R190" s="123">
        <f>'Supplemental LCA Data'!$AE$45</f>
        <v>1.2625032020663256</v>
      </c>
      <c r="S190" s="123">
        <f>'Supplemental LCA Data'!$AF$45</f>
        <v>0.76998593521882752</v>
      </c>
      <c r="T190" s="123">
        <f>'Supplemental LCA Data'!$AG$45</f>
        <v>0.22949974224587316</v>
      </c>
      <c r="U190" s="123">
        <f>'Supplemental LCA Data'!$AH$45</f>
        <v>0.51911044578033227</v>
      </c>
      <c r="V190" s="123">
        <v>2.9429471121354829</v>
      </c>
      <c r="W190" s="123">
        <f>'Supplemental LCA Data'!$E$71/1000</f>
        <v>0.89195544554366246</v>
      </c>
      <c r="X190" s="123">
        <f>'Supplemental LCA Data'!$F$71/1000</f>
        <v>1.1312138489469654</v>
      </c>
      <c r="Y190" s="123">
        <f>'Supplemental LCA Data'!$G$71/1000</f>
        <v>1.5012328955993122</v>
      </c>
      <c r="Z190" s="123">
        <f t="shared" si="3"/>
        <v>0.98115099009802875</v>
      </c>
      <c r="AA190" s="123">
        <v>0</v>
      </c>
      <c r="AB190" s="123">
        <v>0</v>
      </c>
      <c r="AC190" s="123">
        <f t="shared" si="2"/>
        <v>0.89195544554366246</v>
      </c>
      <c r="AD190" s="123">
        <v>0</v>
      </c>
      <c r="AE190" s="123">
        <v>0</v>
      </c>
      <c r="AF190" s="123">
        <v>0</v>
      </c>
      <c r="AG190" s="123">
        <v>3.3162413704963716</v>
      </c>
      <c r="AH190" s="123">
        <v>9.0789952164299699</v>
      </c>
      <c r="AI190" s="123">
        <v>0.2453477255455345</v>
      </c>
      <c r="AJ190" s="123">
        <v>0.3279493299762562</v>
      </c>
      <c r="AK190" s="123">
        <v>4.6408478655656005</v>
      </c>
      <c r="AL190" s="123">
        <v>0.92461248966214149</v>
      </c>
      <c r="AM190" s="123">
        <v>0</v>
      </c>
      <c r="AN190" s="123">
        <v>0</v>
      </c>
      <c r="AO190" s="123">
        <v>0</v>
      </c>
      <c r="AP190" s="316">
        <v>0</v>
      </c>
      <c r="AQ190" s="316">
        <v>0</v>
      </c>
      <c r="AR190" s="316">
        <v>0</v>
      </c>
      <c r="AS190" s="316">
        <v>0</v>
      </c>
      <c r="AT190" s="316">
        <v>0</v>
      </c>
      <c r="AU190" s="316">
        <v>0</v>
      </c>
      <c r="AV190" s="129">
        <v>0.57239863000000002</v>
      </c>
      <c r="AW190" s="129">
        <v>0</v>
      </c>
      <c r="AX190" s="129">
        <v>0</v>
      </c>
      <c r="AY190" s="129">
        <v>0</v>
      </c>
      <c r="AZ190" s="129">
        <v>0</v>
      </c>
      <c r="BA190" s="129">
        <v>4.5765858E-2</v>
      </c>
      <c r="BB190" s="129">
        <v>2.529973</v>
      </c>
      <c r="BC190" s="129">
        <v>2.4438970000000002</v>
      </c>
      <c r="BD190" s="129">
        <v>3.1787649999999998</v>
      </c>
      <c r="BE190" s="129">
        <v>3.7603420000000001</v>
      </c>
      <c r="BF190" s="129">
        <v>2.0422280000000002</v>
      </c>
      <c r="BG190" s="130">
        <v>9.2743999999999993E-2</v>
      </c>
      <c r="BH190" s="130">
        <v>7.3523000000000005E-2</v>
      </c>
      <c r="BI190" s="130">
        <v>2.2027999999999999E-2</v>
      </c>
      <c r="BJ190" s="130">
        <v>1.8526999999999998E-2</v>
      </c>
      <c r="BK190" s="130">
        <v>3.3079999999999998E-2</v>
      </c>
    </row>
    <row r="191" spans="1:63">
      <c r="A191">
        <f t="shared" si="1"/>
        <v>188</v>
      </c>
      <c r="B191" t="s">
        <v>478</v>
      </c>
      <c r="C191" t="str">
        <f>INDEX(EPD_Measures,2)</f>
        <v>Acidification potential</v>
      </c>
      <c r="D191" t="str">
        <f>INDEX(EPD_Calc_Units,2)</f>
        <v>kg</v>
      </c>
      <c r="E191" s="123">
        <v>6.5922619999999998E-3</v>
      </c>
      <c r="F191" s="123">
        <f>E191*'Supplemental LCA Data'!$E$52</f>
        <v>5.9491144878048774E-3</v>
      </c>
      <c r="G191" s="123">
        <v>7.08E-5</v>
      </c>
      <c r="H191" s="123">
        <v>4.9599999999999999E-5</v>
      </c>
      <c r="I191" s="123">
        <v>4.3911800000000002E-5</v>
      </c>
      <c r="J191" s="123">
        <v>4.9599999999999999E-5</v>
      </c>
      <c r="K191" s="123"/>
      <c r="L191" s="123"/>
      <c r="M191" s="123">
        <v>0</v>
      </c>
      <c r="N191" s="123">
        <v>0</v>
      </c>
      <c r="O191" s="123">
        <v>0</v>
      </c>
      <c r="P191" s="123">
        <f>'Supplemental LCA Data'!$AC$46</f>
        <v>5.7703135192831948E-4</v>
      </c>
      <c r="Q191" s="123">
        <f>'Supplemental LCA Data'!$AD$46</f>
        <v>1.2139986365417917E-3</v>
      </c>
      <c r="R191" s="123">
        <f>'Supplemental LCA Data'!$AE$46</f>
        <v>4.7483946670140312E-3</v>
      </c>
      <c r="S191" s="123">
        <f>'Supplemental LCA Data'!$AF$46</f>
        <v>3.9528555604969102</v>
      </c>
      <c r="T191" s="123">
        <f>'Supplemental LCA Data'!$AG$46</f>
        <v>1.2139986365417917E-3</v>
      </c>
      <c r="U191" s="123">
        <f>'Supplemental LCA Data'!$AH$46</f>
        <v>0.79212179675778727</v>
      </c>
      <c r="V191" s="123"/>
      <c r="W191" s="123"/>
      <c r="X191" s="123"/>
      <c r="Y191" s="123"/>
      <c r="Z191" s="123"/>
      <c r="AA191" s="123"/>
      <c r="AB191" s="123"/>
      <c r="AC191" s="123"/>
      <c r="AD191" s="123"/>
      <c r="AE191" s="123"/>
      <c r="AF191" s="123"/>
      <c r="AG191" s="123"/>
      <c r="AH191" s="123"/>
      <c r="AI191" s="123"/>
      <c r="AJ191" s="123"/>
      <c r="AK191" s="123"/>
      <c r="AL191" s="123"/>
      <c r="AM191" s="123">
        <v>0</v>
      </c>
      <c r="AN191" s="123">
        <v>0</v>
      </c>
      <c r="AO191" s="123">
        <v>0</v>
      </c>
      <c r="AP191" s="316">
        <v>0</v>
      </c>
      <c r="AQ191" s="316">
        <v>0</v>
      </c>
      <c r="AR191" s="316">
        <v>0</v>
      </c>
      <c r="AS191" s="316">
        <v>0</v>
      </c>
      <c r="AT191" s="316">
        <v>0</v>
      </c>
      <c r="AU191" s="316">
        <v>0</v>
      </c>
      <c r="AV191" s="129">
        <v>4.485083E-3</v>
      </c>
      <c r="AW191" s="129"/>
      <c r="AX191" s="129"/>
      <c r="AY191" s="129"/>
      <c r="AZ191" s="129"/>
      <c r="BA191" s="129">
        <v>8.3965400000000001E-4</v>
      </c>
      <c r="BB191" s="129">
        <v>2.6606000000000001E-2</v>
      </c>
      <c r="BC191" s="129">
        <v>2.0861000000000001E-2</v>
      </c>
      <c r="BD191" s="129">
        <v>5.646E-3</v>
      </c>
      <c r="BE191" s="129">
        <v>8.8570000000000003E-3</v>
      </c>
      <c r="BF191" s="129">
        <v>4.045E-3</v>
      </c>
      <c r="BG191" s="130">
        <v>4.6900000000000002E-4</v>
      </c>
      <c r="BH191" s="130">
        <v>3.2299999999999999E-4</v>
      </c>
      <c r="BI191" s="130">
        <v>3.7199999999999999E-4</v>
      </c>
      <c r="BJ191" s="130">
        <v>3.2299999999999999E-4</v>
      </c>
      <c r="BK191" s="130">
        <v>2.8299999999999999E-4</v>
      </c>
    </row>
    <row r="192" spans="1:63">
      <c r="A192">
        <f t="shared" si="1"/>
        <v>189</v>
      </c>
      <c r="B192" t="s">
        <v>478</v>
      </c>
      <c r="C192" t="str">
        <f>INDEX(EPD_Measures,3)</f>
        <v>Eutrophication potential</v>
      </c>
      <c r="D192" t="str">
        <f>INDEX(EPD_Calc_Units,3)</f>
        <v>kg</v>
      </c>
      <c r="E192" s="123">
        <v>1.5586899999999999E-4</v>
      </c>
      <c r="F192" s="123">
        <f>E192*'Supplemental LCA Data'!$E$53</f>
        <v>1.4387907692307693E-4</v>
      </c>
      <c r="G192" s="123">
        <v>2.3800000000000001E-6</v>
      </c>
      <c r="H192" s="123">
        <v>2.6299999999999998E-6</v>
      </c>
      <c r="I192" s="123">
        <v>2.0078699999999999E-6</v>
      </c>
      <c r="J192" s="123">
        <v>2.6299999999999998E-6</v>
      </c>
      <c r="K192" s="123"/>
      <c r="L192" s="123"/>
      <c r="M192" s="123">
        <v>0</v>
      </c>
      <c r="N192" s="123">
        <v>0</v>
      </c>
      <c r="O192" s="123">
        <v>0</v>
      </c>
      <c r="P192" s="123">
        <f>'Supplemental LCA Data'!$AC$47</f>
        <v>1.9624831959085375E-4</v>
      </c>
      <c r="Q192" s="123">
        <f>'Supplemental LCA Data'!$AD$47</f>
        <v>4.226795252829316E-5</v>
      </c>
      <c r="R192" s="123">
        <f>'Supplemental LCA Data'!$AE$47</f>
        <v>8.7898401280121123E-4</v>
      </c>
      <c r="S192" s="123">
        <f>'Supplemental LCA Data'!$AF$47</f>
        <v>0.24926944204227258</v>
      </c>
      <c r="T192" s="123">
        <f>'Supplemental LCA Data'!$AG$47</f>
        <v>4.226795252829316E-5</v>
      </c>
      <c r="U192" s="123">
        <f>'Supplemental LCA Data'!$AH$47</f>
        <v>5.0085842055944255E-2</v>
      </c>
      <c r="V192" s="123"/>
      <c r="W192" s="123"/>
      <c r="X192" s="123"/>
      <c r="Y192" s="123"/>
      <c r="Z192" s="123"/>
      <c r="AA192" s="123"/>
      <c r="AB192" s="123"/>
      <c r="AC192" s="123"/>
      <c r="AD192" s="123"/>
      <c r="AE192" s="123"/>
      <c r="AF192" s="123"/>
      <c r="AG192" s="123"/>
      <c r="AH192" s="123"/>
      <c r="AI192" s="123"/>
      <c r="AJ192" s="123"/>
      <c r="AK192" s="123"/>
      <c r="AL192" s="123"/>
      <c r="AM192" s="123">
        <v>0</v>
      </c>
      <c r="AN192" s="123">
        <v>0</v>
      </c>
      <c r="AO192" s="123">
        <v>0</v>
      </c>
      <c r="AP192" s="316">
        <v>0</v>
      </c>
      <c r="AQ192" s="316">
        <v>0</v>
      </c>
      <c r="AR192" s="316">
        <v>0</v>
      </c>
      <c r="AS192" s="316">
        <v>0</v>
      </c>
      <c r="AT192" s="316">
        <v>0</v>
      </c>
      <c r="AU192" s="316">
        <v>0</v>
      </c>
      <c r="AV192" s="129">
        <v>6.1957600000000005E-5</v>
      </c>
      <c r="AW192" s="129"/>
      <c r="AX192" s="129"/>
      <c r="AY192" s="129"/>
      <c r="AZ192" s="129"/>
      <c r="BA192" s="129">
        <v>4.0302700000000003E-5</v>
      </c>
      <c r="BB192" s="129">
        <v>1.722E-3</v>
      </c>
      <c r="BC192" s="129">
        <v>2.05E-4</v>
      </c>
      <c r="BD192" s="129">
        <v>3.9599999999999998E-4</v>
      </c>
      <c r="BE192" s="129">
        <v>6.0300000000000002E-4</v>
      </c>
      <c r="BF192" s="129">
        <v>2.8299999999999999E-4</v>
      </c>
      <c r="BG192" s="130">
        <v>3.0800000000000003E-5</v>
      </c>
      <c r="BH192" s="130">
        <v>2.1500000000000001E-5</v>
      </c>
      <c r="BI192" s="130">
        <v>2.3799999999999999E-5</v>
      </c>
      <c r="BJ192" s="130">
        <v>2.0699999999999998E-5</v>
      </c>
      <c r="BK192" s="130">
        <v>1.8300000000000001E-5</v>
      </c>
    </row>
    <row r="193" spans="1:63">
      <c r="A193">
        <f t="shared" si="1"/>
        <v>190</v>
      </c>
      <c r="B193" t="s">
        <v>478</v>
      </c>
      <c r="C193" t="str">
        <f>INDEX(EPD_Measures,4)</f>
        <v>Smog creation potential</v>
      </c>
      <c r="D193" t="str">
        <f>INDEX(EPD_Calc_Units,4)</f>
        <v>kg</v>
      </c>
      <c r="E193" s="123">
        <v>8.4007446999999999E-2</v>
      </c>
      <c r="F193" s="123">
        <f>E193*'Supplemental LCA Data'!$E$55</f>
        <v>7.5256671270833325E-2</v>
      </c>
      <c r="G193" s="123">
        <v>1.206E-3</v>
      </c>
      <c r="H193" s="123">
        <v>1.2210000000000001E-3</v>
      </c>
      <c r="I193" s="123">
        <v>1.04692E-3</v>
      </c>
      <c r="J193" s="123">
        <v>1.2210000000000001E-3</v>
      </c>
      <c r="K193" s="123"/>
      <c r="L193" s="123"/>
      <c r="M193" s="123">
        <v>0</v>
      </c>
      <c r="N193" s="123">
        <v>0</v>
      </c>
      <c r="O193" s="123">
        <v>0</v>
      </c>
      <c r="P193" s="123">
        <f>'Supplemental LCA Data'!$AC$48</f>
        <v>8.7017595456788718E-3</v>
      </c>
      <c r="Q193" s="123">
        <f>'Supplemental LCA Data'!$AD$48</f>
        <v>1.3524104726696053E-2</v>
      </c>
      <c r="R193" s="123">
        <f>'Supplemental LCA Data'!$AE$48</f>
        <v>5.7241581200289861E-2</v>
      </c>
      <c r="S193" s="123">
        <f>'Supplemental LCA Data'!$AF$48</f>
        <v>43.192743848068233</v>
      </c>
      <c r="T193" s="123">
        <f>'Supplemental LCA Data'!$AG$48</f>
        <v>1.3524104726696053E-2</v>
      </c>
      <c r="U193" s="123">
        <f>'Supplemental LCA Data'!$AH$48</f>
        <v>8.6571470796535195</v>
      </c>
      <c r="V193" s="123"/>
      <c r="W193" s="123"/>
      <c r="X193" s="123"/>
      <c r="Y193" s="123"/>
      <c r="Z193" s="123"/>
      <c r="AA193" s="123"/>
      <c r="AB193" s="123"/>
      <c r="AC193" s="123"/>
      <c r="AD193" s="123"/>
      <c r="AE193" s="123"/>
      <c r="AF193" s="123"/>
      <c r="AG193" s="123"/>
      <c r="AH193" s="123"/>
      <c r="AI193" s="123"/>
      <c r="AJ193" s="123"/>
      <c r="AK193" s="123"/>
      <c r="AL193" s="123"/>
      <c r="AM193" s="123">
        <v>0</v>
      </c>
      <c r="AN193" s="123">
        <v>0</v>
      </c>
      <c r="AO193" s="123">
        <v>0</v>
      </c>
      <c r="AP193" s="316">
        <v>0</v>
      </c>
      <c r="AQ193" s="316">
        <v>0</v>
      </c>
      <c r="AR193" s="316">
        <v>0</v>
      </c>
      <c r="AS193" s="316">
        <v>0</v>
      </c>
      <c r="AT193" s="316">
        <v>0</v>
      </c>
      <c r="AU193" s="316">
        <v>0</v>
      </c>
      <c r="AV193" s="129">
        <v>2.6580030000000001E-2</v>
      </c>
      <c r="AW193" s="129"/>
      <c r="AX193" s="129"/>
      <c r="AY193" s="129"/>
      <c r="AZ193" s="129"/>
      <c r="BA193" s="129">
        <v>0.241503051</v>
      </c>
      <c r="BB193" s="129">
        <v>0.90166400000000002</v>
      </c>
      <c r="BC193" s="129">
        <v>5.2539000000000002E-2</v>
      </c>
      <c r="BD193" s="129">
        <v>0.13974</v>
      </c>
      <c r="BE193" s="129">
        <v>0.24854699999999999</v>
      </c>
      <c r="BF193" s="129">
        <v>0.10738499999999999</v>
      </c>
      <c r="BG193" s="130">
        <v>1.5133000000000001E-2</v>
      </c>
      <c r="BH193" s="130">
        <v>1.0231000000000001E-2</v>
      </c>
      <c r="BI193" s="130">
        <v>1.2799E-2</v>
      </c>
      <c r="BJ193" s="130">
        <v>1.1180000000000001E-2</v>
      </c>
      <c r="BK193" s="130">
        <v>9.5029999999999993E-3</v>
      </c>
    </row>
    <row r="194" spans="1:63">
      <c r="A194">
        <f t="shared" si="1"/>
        <v>191</v>
      </c>
      <c r="B194" t="s">
        <v>478</v>
      </c>
      <c r="C194" t="str">
        <f>INDEX(EPD_Measures,5)</f>
        <v>Ozone depletion potential</v>
      </c>
      <c r="D194" t="str">
        <f>INDEX(EPD_Calc_Units,5)</f>
        <v>kg</v>
      </c>
      <c r="E194" s="123">
        <v>1.02174E-8</v>
      </c>
      <c r="F194" s="123">
        <f>E194*'Supplemental LCA Data'!$E$56</f>
        <v>8.9170036363636348E-9</v>
      </c>
      <c r="G194" s="123">
        <v>1.6E-13</v>
      </c>
      <c r="H194" s="123">
        <v>9.6800000000000004E-11</v>
      </c>
      <c r="I194" s="123">
        <v>1.1396600000000001E-13</v>
      </c>
      <c r="J194" s="123">
        <v>9.6800000000000004E-11</v>
      </c>
      <c r="K194" s="123"/>
      <c r="L194" s="123"/>
      <c r="M194" s="123">
        <v>0</v>
      </c>
      <c r="N194" s="123">
        <v>0</v>
      </c>
      <c r="O194" s="123">
        <v>0</v>
      </c>
      <c r="P194" s="123">
        <f>'Supplemental LCA Data'!$AC$49</f>
        <v>4.817994588850506E-10</v>
      </c>
      <c r="Q194" s="123">
        <f>'Supplemental LCA Data'!$AD$49</f>
        <v>0</v>
      </c>
      <c r="R194" s="123">
        <f>'Supplemental LCA Data'!$AE$49</f>
        <v>2.4089972944252421E-9</v>
      </c>
      <c r="S194" s="123">
        <f>'Supplemental LCA Data'!$AF$49</f>
        <v>3.2599963386576577E-9</v>
      </c>
      <c r="T194" s="123">
        <f>'Supplemental LCA Data'!$AG$49</f>
        <v>0</v>
      </c>
      <c r="U194" s="123">
        <f>'Supplemental LCA Data'!$AH$49</f>
        <v>1.2301586183935901E-9</v>
      </c>
      <c r="V194" s="123"/>
      <c r="W194" s="123"/>
      <c r="X194" s="123"/>
      <c r="Y194" s="123"/>
      <c r="Z194" s="123"/>
      <c r="AA194" s="123"/>
      <c r="AB194" s="123"/>
      <c r="AC194" s="123"/>
      <c r="AD194" s="123"/>
      <c r="AE194" s="123"/>
      <c r="AF194" s="123"/>
      <c r="AG194" s="123"/>
      <c r="AH194" s="123"/>
      <c r="AI194" s="123"/>
      <c r="AJ194" s="123"/>
      <c r="AK194" s="123"/>
      <c r="AL194" s="123"/>
      <c r="AM194" s="123">
        <v>0</v>
      </c>
      <c r="AN194" s="123">
        <v>0</v>
      </c>
      <c r="AO194" s="123">
        <v>0</v>
      </c>
      <c r="AP194" s="316">
        <v>0</v>
      </c>
      <c r="AQ194" s="316">
        <v>0</v>
      </c>
      <c r="AR194" s="316">
        <v>0</v>
      </c>
      <c r="AS194" s="316">
        <v>0</v>
      </c>
      <c r="AT194" s="316">
        <v>0</v>
      </c>
      <c r="AU194" s="316">
        <v>0</v>
      </c>
      <c r="AV194" s="129">
        <v>7.7513999999999995E-12</v>
      </c>
      <c r="AW194" s="129"/>
      <c r="AX194" s="129"/>
      <c r="AY194" s="129"/>
      <c r="AZ194" s="129"/>
      <c r="BA194" s="129">
        <v>9.58911E-14</v>
      </c>
      <c r="BB194" s="129">
        <v>1.16E-10</v>
      </c>
      <c r="BC194" s="129">
        <v>1.6799999999999999E-12</v>
      </c>
      <c r="BD194" s="129">
        <v>1.2999999999999999E-10</v>
      </c>
      <c r="BE194" s="129">
        <v>1.41E-10</v>
      </c>
      <c r="BF194" s="129">
        <v>8.1099999999999997E-11</v>
      </c>
      <c r="BG194" s="130">
        <v>3.5300000000000001E-12</v>
      </c>
      <c r="BH194" s="130">
        <v>3.1599999999999999E-12</v>
      </c>
      <c r="BI194" s="130">
        <v>8.4099999999999995E-13</v>
      </c>
      <c r="BJ194" s="130">
        <v>6.9599999999999996E-13</v>
      </c>
      <c r="BK194" s="130">
        <v>1.2499999999999999E-12</v>
      </c>
    </row>
    <row r="195" spans="1:63">
      <c r="A195">
        <f t="shared" si="1"/>
        <v>192</v>
      </c>
      <c r="B195" t="s">
        <v>478</v>
      </c>
      <c r="C195" t="str">
        <f>INDEX(EPD_Measures,6)</f>
        <v>Total primary energy consumption</v>
      </c>
      <c r="D195" t="str">
        <f>INDEX(EPD_Calc_Units,6)</f>
        <v>MJ</v>
      </c>
      <c r="E195" s="123">
        <v>5.217366814</v>
      </c>
      <c r="F195" s="123">
        <f>E195*'Supplemental LCA Data'!$E$50</f>
        <v>4.7444936888640479</v>
      </c>
      <c r="G195" s="123">
        <v>0.12800800000000001</v>
      </c>
      <c r="H195" s="123">
        <v>7.2935E-2</v>
      </c>
      <c r="I195" s="123">
        <v>6.4476974999999992E-2</v>
      </c>
      <c r="J195" s="123">
        <v>7.2935E-2</v>
      </c>
      <c r="K195" s="123">
        <v>0</v>
      </c>
      <c r="L195" s="123">
        <v>0</v>
      </c>
      <c r="M195" s="123">
        <v>0</v>
      </c>
      <c r="N195" s="123">
        <v>0</v>
      </c>
      <c r="O195" s="123">
        <v>0</v>
      </c>
      <c r="P195" s="123">
        <f>'Supplemental LCA Data'!$AC$50</f>
        <v>2.099997641465547</v>
      </c>
      <c r="Q195" s="123">
        <f>'Supplemental LCA Data'!$AD$50</f>
        <v>4.5999948336864307</v>
      </c>
      <c r="R195" s="123">
        <f>'Supplemental LCA Data'!$AE$50</f>
        <v>22.799974393054555</v>
      </c>
      <c r="S195" s="123">
        <f>'Supplemental LCA Data'!$AF$50</f>
        <v>18.299979447056902</v>
      </c>
      <c r="T195" s="123">
        <f>'Supplemental LCA Data'!$AG$50</f>
        <v>4.5999948336864307</v>
      </c>
      <c r="U195" s="123">
        <f>'Supplemental LCA Data'!$AH$50</f>
        <v>10.479988229789974</v>
      </c>
      <c r="V195" s="123">
        <v>57.506173091793869</v>
      </c>
      <c r="W195" s="123">
        <f>'Supplemental LCA Data'!$E$72/1000</f>
        <v>17.379305548594214</v>
      </c>
      <c r="X195" s="123">
        <f>'Supplemental LCA Data'!$F$72/1000</f>
        <v>21.599171010579372</v>
      </c>
      <c r="Y195" s="123">
        <f>'Supplemental LCA Data'!$G$72/1000</f>
        <v>25.866149969431106</v>
      </c>
      <c r="Z195" s="123">
        <f t="shared" si="3"/>
        <v>19.117236103453639</v>
      </c>
      <c r="AA195" s="123">
        <v>0</v>
      </c>
      <c r="AB195" s="123">
        <v>0</v>
      </c>
      <c r="AC195" s="123">
        <f t="shared" si="2"/>
        <v>17.379305548594214</v>
      </c>
      <c r="AD195" s="123">
        <v>0</v>
      </c>
      <c r="AE195" s="123">
        <v>0</v>
      </c>
      <c r="AF195" s="123">
        <v>0</v>
      </c>
      <c r="AG195" s="123">
        <v>111.41336281293017</v>
      </c>
      <c r="AH195" s="123">
        <v>96.934631722060175</v>
      </c>
      <c r="AI195" s="123">
        <v>3.4310468673118439</v>
      </c>
      <c r="AJ195" s="123">
        <v>7.079849022399789</v>
      </c>
      <c r="AK195" s="123">
        <v>88.609789579499989</v>
      </c>
      <c r="AL195" s="123">
        <v>75.869011043824344</v>
      </c>
      <c r="AM195" s="123">
        <v>0</v>
      </c>
      <c r="AN195" s="123">
        <v>0</v>
      </c>
      <c r="AO195" s="123">
        <v>0</v>
      </c>
      <c r="AP195" s="316">
        <v>0</v>
      </c>
      <c r="AQ195" s="316">
        <v>0</v>
      </c>
      <c r="AR195" s="316">
        <v>0</v>
      </c>
      <c r="AS195" s="316">
        <v>0</v>
      </c>
      <c r="AT195" s="316">
        <v>0</v>
      </c>
      <c r="AU195" s="316">
        <v>0</v>
      </c>
      <c r="AV195" s="129">
        <v>10.58849101</v>
      </c>
      <c r="AW195" s="129">
        <v>3.6</v>
      </c>
      <c r="AX195" s="129">
        <v>3.6</v>
      </c>
      <c r="AY195" s="129">
        <v>3.6</v>
      </c>
      <c r="AZ195" s="129">
        <v>3.6</v>
      </c>
      <c r="BA195" s="129">
        <v>3.4579025999999999E-2</v>
      </c>
      <c r="BB195" s="129">
        <v>41.990099999999998</v>
      </c>
      <c r="BC195" s="129">
        <v>43.209249999999997</v>
      </c>
      <c r="BD195" s="129">
        <v>46.983649999999997</v>
      </c>
      <c r="BE195" s="129">
        <v>51.126690000000004</v>
      </c>
      <c r="BF195" s="129">
        <v>29.343319999999999</v>
      </c>
      <c r="BG195" s="130">
        <v>1.2783040000000001</v>
      </c>
      <c r="BH195" s="130">
        <v>1.14236</v>
      </c>
      <c r="BI195" s="130">
        <v>0.30436299999999999</v>
      </c>
      <c r="BJ195" s="130">
        <v>0.25176399999999999</v>
      </c>
      <c r="BK195" s="130">
        <v>0.45051000000000002</v>
      </c>
    </row>
    <row r="196" spans="1:63">
      <c r="A196">
        <f t="shared" si="1"/>
        <v>193</v>
      </c>
      <c r="B196" t="s">
        <v>478</v>
      </c>
      <c r="C196" t="str">
        <f>INDEX(EPD_Measures,7)</f>
        <v>Nonrenewable energy resources</v>
      </c>
      <c r="D196" t="str">
        <f>INDEX(EPD_Calc_Units,7)</f>
        <v>MJ</v>
      </c>
      <c r="E196" s="123">
        <v>5.0456677980000002</v>
      </c>
      <c r="F196" s="123">
        <f>E196*'Supplemental LCA Data'!$E$51</f>
        <v>4.5789234083923454</v>
      </c>
      <c r="G196" s="123">
        <v>0.11730400000000001</v>
      </c>
      <c r="H196" s="123">
        <v>6.9356000000000001E-2</v>
      </c>
      <c r="I196" s="123">
        <v>6.0909079999999997E-2</v>
      </c>
      <c r="J196" s="123">
        <v>6.9356000000000001E-2</v>
      </c>
      <c r="K196" s="123"/>
      <c r="L196" s="123"/>
      <c r="M196" s="123">
        <v>0</v>
      </c>
      <c r="N196" s="123">
        <v>0</v>
      </c>
      <c r="O196" s="123">
        <v>0</v>
      </c>
      <c r="P196" s="123">
        <f>'Supplemental LCA Data'!$AC$51</f>
        <v>2.099997641465547</v>
      </c>
      <c r="Q196" s="123">
        <f>'Supplemental LCA Data'!$AD$51</f>
        <v>4.5999948336864307</v>
      </c>
      <c r="R196" s="123">
        <f>'Supplemental LCA Data'!$AE$51</f>
        <v>22.799974393054555</v>
      </c>
      <c r="S196" s="123">
        <f>'Supplemental LCA Data'!$AF$51</f>
        <v>18.299979447056902</v>
      </c>
      <c r="T196" s="123">
        <f>'Supplemental LCA Data'!$AG$51</f>
        <v>4.5999948336864307</v>
      </c>
      <c r="U196" s="123">
        <f>'Supplemental LCA Data'!$AH$51</f>
        <v>10.479988229789974</v>
      </c>
      <c r="V196" s="123"/>
      <c r="W196" s="123"/>
      <c r="X196" s="123"/>
      <c r="Y196" s="123"/>
      <c r="Z196" s="123"/>
      <c r="AA196" s="123"/>
      <c r="AB196" s="123"/>
      <c r="AC196" s="123"/>
      <c r="AD196" s="123"/>
      <c r="AE196" s="123"/>
      <c r="AF196" s="123"/>
      <c r="AG196" s="123"/>
      <c r="AH196" s="123"/>
      <c r="AI196" s="123"/>
      <c r="AJ196" s="123"/>
      <c r="AK196" s="123"/>
      <c r="AL196" s="123"/>
      <c r="AM196" s="123">
        <v>0</v>
      </c>
      <c r="AN196" s="123">
        <v>0</v>
      </c>
      <c r="AO196" s="123">
        <v>0</v>
      </c>
      <c r="AP196" s="316">
        <v>0</v>
      </c>
      <c r="AQ196" s="316">
        <v>0</v>
      </c>
      <c r="AR196" s="316">
        <v>0</v>
      </c>
      <c r="AS196" s="316">
        <v>0</v>
      </c>
      <c r="AT196" s="316">
        <v>0</v>
      </c>
      <c r="AU196" s="316">
        <v>0</v>
      </c>
      <c r="AV196" s="129">
        <v>9.3991925629999997</v>
      </c>
      <c r="AW196" s="129"/>
      <c r="AX196" s="129"/>
      <c r="AY196" s="129"/>
      <c r="AZ196" s="129"/>
      <c r="BA196" s="129">
        <v>3.4579025999999999E-2</v>
      </c>
      <c r="BB196" s="129">
        <v>41.929009999999998</v>
      </c>
      <c r="BC196" s="129">
        <v>43.189610000000002</v>
      </c>
      <c r="BD196" s="129">
        <v>46.915320000000001</v>
      </c>
      <c r="BE196" s="129">
        <v>51.052590000000002</v>
      </c>
      <c r="BF196" s="129">
        <v>29.300560000000001</v>
      </c>
      <c r="BG196" s="130">
        <v>1.276451</v>
      </c>
      <c r="BH196" s="130">
        <v>1.1407039999999999</v>
      </c>
      <c r="BI196" s="130">
        <v>0.303921</v>
      </c>
      <c r="BJ196" s="130">
        <v>0.25139899999999998</v>
      </c>
      <c r="BK196" s="130">
        <v>0.44985700000000001</v>
      </c>
    </row>
    <row r="197" spans="1:63">
      <c r="A197">
        <f t="shared" si="1"/>
        <v>194</v>
      </c>
      <c r="B197" t="s">
        <v>478</v>
      </c>
      <c r="C197" t="str">
        <f>INDEX(EPD_Measures,8)</f>
        <v>Renewable energy resources</v>
      </c>
      <c r="D197" t="str">
        <f>INDEX(EPD_Calc_Units,8)</f>
        <v>MJ</v>
      </c>
      <c r="E197" s="123">
        <v>0.17169901600000001</v>
      </c>
      <c r="F197" s="123">
        <f>E197*'Supplemental LCA Data'!$E$57</f>
        <v>0.15581617241467308</v>
      </c>
      <c r="G197" s="123">
        <v>1.0704E-2</v>
      </c>
      <c r="H197" s="123">
        <v>3.5790000000000001E-3</v>
      </c>
      <c r="I197" s="123">
        <v>3.5678950000000002E-3</v>
      </c>
      <c r="J197" s="123">
        <v>3.5790000000000001E-3</v>
      </c>
      <c r="K197" s="123"/>
      <c r="L197" s="123"/>
      <c r="M197" s="123">
        <v>0</v>
      </c>
      <c r="N197" s="123">
        <v>0</v>
      </c>
      <c r="O197" s="123">
        <v>0</v>
      </c>
      <c r="P197" s="123">
        <f>'Supplemental LCA Data'!$AC$52</f>
        <v>0</v>
      </c>
      <c r="Q197" s="123">
        <f>'Supplemental LCA Data'!$AD$52</f>
        <v>0</v>
      </c>
      <c r="R197" s="123">
        <f>'Supplemental LCA Data'!$AE$52</f>
        <v>0</v>
      </c>
      <c r="S197" s="123">
        <f>'Supplemental LCA Data'!$AF$52</f>
        <v>0</v>
      </c>
      <c r="T197" s="123">
        <f>'Supplemental LCA Data'!$AG$52</f>
        <v>0</v>
      </c>
      <c r="U197" s="123">
        <f>'Supplemental LCA Data'!$AH$52</f>
        <v>0</v>
      </c>
      <c r="V197" s="123"/>
      <c r="W197" s="123"/>
      <c r="X197" s="123"/>
      <c r="Y197" s="123"/>
      <c r="Z197" s="123"/>
      <c r="AA197" s="123"/>
      <c r="AB197" s="123"/>
      <c r="AC197" s="123"/>
      <c r="AD197" s="123"/>
      <c r="AE197" s="123"/>
      <c r="AF197" s="123"/>
      <c r="AG197" s="123"/>
      <c r="AH197" s="123"/>
      <c r="AI197" s="123"/>
      <c r="AJ197" s="123"/>
      <c r="AK197" s="123"/>
      <c r="AL197" s="123"/>
      <c r="AM197" s="123">
        <v>0</v>
      </c>
      <c r="AN197" s="123">
        <v>0</v>
      </c>
      <c r="AO197" s="123">
        <v>0</v>
      </c>
      <c r="AP197" s="316">
        <v>0</v>
      </c>
      <c r="AQ197" s="316">
        <v>0</v>
      </c>
      <c r="AR197" s="316">
        <v>0</v>
      </c>
      <c r="AS197" s="316">
        <v>0</v>
      </c>
      <c r="AT197" s="316">
        <v>0</v>
      </c>
      <c r="AU197" s="316">
        <v>0</v>
      </c>
      <c r="AV197" s="129">
        <v>1.1892984470000001</v>
      </c>
      <c r="AW197" s="129"/>
      <c r="AX197" s="129"/>
      <c r="AY197" s="129"/>
      <c r="AZ197" s="129"/>
      <c r="BA197" s="129">
        <v>0</v>
      </c>
      <c r="BB197" s="129">
        <v>6.1093000000000001E-2</v>
      </c>
      <c r="BC197" s="129">
        <v>1.9647000000000001E-2</v>
      </c>
      <c r="BD197" s="129">
        <v>6.8331000000000003E-2</v>
      </c>
      <c r="BE197" s="129">
        <v>7.4106000000000005E-2</v>
      </c>
      <c r="BF197" s="129">
        <v>4.2762000000000001E-2</v>
      </c>
      <c r="BG197" s="130">
        <v>1.853E-3</v>
      </c>
      <c r="BH197" s="130">
        <v>1.6559999999999999E-3</v>
      </c>
      <c r="BI197" s="130">
        <v>4.4099999999999999E-4</v>
      </c>
      <c r="BJ197" s="130">
        <v>3.6499999999999998E-4</v>
      </c>
      <c r="BK197" s="130">
        <v>6.5300000000000004E-4</v>
      </c>
    </row>
    <row r="198" spans="1:63">
      <c r="A198">
        <f t="shared" si="1"/>
        <v>195</v>
      </c>
      <c r="B198" t="s">
        <v>478</v>
      </c>
      <c r="C198" t="str">
        <f>INDEX(EPD_Measures,9)</f>
        <v>Material resources consumption</v>
      </c>
      <c r="D198" t="str">
        <f>INDEX(EPD_Calc_Units,9)</f>
        <v>kg</v>
      </c>
      <c r="E198" s="123">
        <v>1.6270211299999999</v>
      </c>
      <c r="F198" s="123">
        <f>E198*'Supplemental LCA Data'!$E$58</f>
        <v>1.6270211299999999</v>
      </c>
      <c r="G198" s="123">
        <v>1.0000015600000001</v>
      </c>
      <c r="H198" s="123">
        <v>1.0000021111778816</v>
      </c>
      <c r="I198" s="123">
        <v>1.0000015600000001</v>
      </c>
      <c r="J198" s="123">
        <v>1.0000021111778816</v>
      </c>
      <c r="K198" s="123"/>
      <c r="L198" s="123"/>
      <c r="M198" s="123">
        <v>0</v>
      </c>
      <c r="N198" s="123">
        <v>0</v>
      </c>
      <c r="O198" s="123">
        <v>0</v>
      </c>
      <c r="P198" s="123">
        <f>'Supplemental LCA Data'!$AC$53</f>
        <v>0</v>
      </c>
      <c r="Q198" s="123">
        <f>'Supplemental LCA Data'!$AD$53</f>
        <v>0</v>
      </c>
      <c r="R198" s="123">
        <f>'Supplemental LCA Data'!$AE$53</f>
        <v>0</v>
      </c>
      <c r="S198" s="123">
        <f>'Supplemental LCA Data'!$AF$53</f>
        <v>0</v>
      </c>
      <c r="T198" s="123">
        <f>'Supplemental LCA Data'!$AG$53</f>
        <v>0</v>
      </c>
      <c r="U198" s="123">
        <f>'Supplemental LCA Data'!$AH$53</f>
        <v>0</v>
      </c>
      <c r="V198" s="123"/>
      <c r="W198" s="123"/>
      <c r="X198" s="123"/>
      <c r="Y198" s="123"/>
      <c r="Z198" s="123"/>
      <c r="AA198" s="123"/>
      <c r="AB198" s="123"/>
      <c r="AC198" s="123"/>
      <c r="AD198" s="123"/>
      <c r="AE198" s="123"/>
      <c r="AF198" s="123"/>
      <c r="AG198" s="123"/>
      <c r="AH198" s="123"/>
      <c r="AI198" s="123"/>
      <c r="AJ198" s="123"/>
      <c r="AK198" s="123"/>
      <c r="AL198" s="123"/>
      <c r="AM198" s="123">
        <v>0</v>
      </c>
      <c r="AN198" s="123">
        <v>0</v>
      </c>
      <c r="AO198" s="123">
        <v>0</v>
      </c>
      <c r="AP198" s="316">
        <v>0</v>
      </c>
      <c r="AQ198" s="316">
        <v>0</v>
      </c>
      <c r="AR198" s="316">
        <v>0</v>
      </c>
      <c r="AS198" s="316">
        <v>0</v>
      </c>
      <c r="AT198" s="316">
        <v>0</v>
      </c>
      <c r="AU198" s="316">
        <v>0</v>
      </c>
      <c r="AV198" s="129">
        <v>0</v>
      </c>
      <c r="AW198" s="129"/>
      <c r="AX198" s="129"/>
      <c r="AY198" s="129"/>
      <c r="AZ198" s="129"/>
      <c r="BA198" s="129">
        <v>0.84323164500000003</v>
      </c>
      <c r="BB198" s="129">
        <v>0</v>
      </c>
      <c r="BC198" s="129">
        <v>0</v>
      </c>
      <c r="BD198" s="129">
        <v>0</v>
      </c>
      <c r="BE198" s="129">
        <v>0</v>
      </c>
      <c r="BF198" s="129">
        <v>0</v>
      </c>
      <c r="BG198" s="130">
        <v>0</v>
      </c>
      <c r="BH198" s="130">
        <v>0</v>
      </c>
      <c r="BI198" s="130">
        <v>0</v>
      </c>
      <c r="BJ198" s="130">
        <v>0</v>
      </c>
      <c r="BK198" s="130">
        <v>0</v>
      </c>
    </row>
    <row r="199" spans="1:63">
      <c r="A199">
        <f t="shared" si="1"/>
        <v>196</v>
      </c>
      <c r="B199" t="s">
        <v>478</v>
      </c>
      <c r="C199" t="str">
        <f>INDEX(EPD_Measures,10)</f>
        <v>Nonrenewable material resources</v>
      </c>
      <c r="D199" t="str">
        <f>INDEX(EPD_Calc_Units,10)</f>
        <v>kg</v>
      </c>
      <c r="E199" s="123">
        <v>1.6269560000000001</v>
      </c>
      <c r="F199" s="123">
        <f>E199*'Supplemental LCA Data'!$E$59</f>
        <v>1.6269560000000001</v>
      </c>
      <c r="G199" s="123">
        <v>1</v>
      </c>
      <c r="H199" s="123">
        <v>1.0000001919173316</v>
      </c>
      <c r="I199" s="123">
        <v>1</v>
      </c>
      <c r="J199" s="123">
        <v>1.0000001919173316</v>
      </c>
      <c r="K199" s="123"/>
      <c r="L199" s="123"/>
      <c r="M199" s="123">
        <v>0</v>
      </c>
      <c r="N199" s="123">
        <v>0</v>
      </c>
      <c r="O199" s="123">
        <v>0</v>
      </c>
      <c r="P199" s="123">
        <f>'Supplemental LCA Data'!$AC$54</f>
        <v>0</v>
      </c>
      <c r="Q199" s="123">
        <f>'Supplemental LCA Data'!$AD$54</f>
        <v>0</v>
      </c>
      <c r="R199" s="123">
        <f>'Supplemental LCA Data'!$AE$54</f>
        <v>0</v>
      </c>
      <c r="S199" s="123">
        <f>'Supplemental LCA Data'!$AF$54</f>
        <v>0</v>
      </c>
      <c r="T199" s="123">
        <f>'Supplemental LCA Data'!$AG$54</f>
        <v>0</v>
      </c>
      <c r="U199" s="123">
        <f>'Supplemental LCA Data'!$AH$54</f>
        <v>0</v>
      </c>
      <c r="V199" s="123"/>
      <c r="W199" s="123"/>
      <c r="X199" s="123"/>
      <c r="Y199" s="123"/>
      <c r="Z199" s="123"/>
      <c r="AA199" s="123"/>
      <c r="AB199" s="123"/>
      <c r="AC199" s="123"/>
      <c r="AD199" s="123"/>
      <c r="AE199" s="123"/>
      <c r="AF199" s="123"/>
      <c r="AG199" s="123"/>
      <c r="AH199" s="123"/>
      <c r="AI199" s="123"/>
      <c r="AJ199" s="123"/>
      <c r="AK199" s="123"/>
      <c r="AL199" s="123"/>
      <c r="AM199" s="123">
        <v>0</v>
      </c>
      <c r="AN199" s="123">
        <v>0</v>
      </c>
      <c r="AO199" s="123">
        <v>0</v>
      </c>
      <c r="AP199" s="316">
        <v>0</v>
      </c>
      <c r="AQ199" s="316">
        <v>0</v>
      </c>
      <c r="AR199" s="316">
        <v>0</v>
      </c>
      <c r="AS199" s="316">
        <v>0</v>
      </c>
      <c r="AT199" s="316">
        <v>0</v>
      </c>
      <c r="AU199" s="316">
        <v>0</v>
      </c>
      <c r="AV199" s="129">
        <v>0</v>
      </c>
      <c r="AW199" s="129"/>
      <c r="AX199" s="129"/>
      <c r="AY199" s="129"/>
      <c r="AZ199" s="129"/>
      <c r="BA199" s="129">
        <v>0</v>
      </c>
      <c r="BB199" s="129">
        <v>0</v>
      </c>
      <c r="BC199" s="129">
        <v>0</v>
      </c>
      <c r="BD199" s="129">
        <v>0</v>
      </c>
      <c r="BE199" s="129">
        <v>0</v>
      </c>
      <c r="BF199" s="129">
        <v>0</v>
      </c>
      <c r="BG199" s="130">
        <v>0</v>
      </c>
      <c r="BH199" s="130">
        <v>0</v>
      </c>
      <c r="BI199" s="130">
        <v>0</v>
      </c>
      <c r="BJ199" s="130">
        <v>0</v>
      </c>
      <c r="BK199" s="130">
        <v>0</v>
      </c>
    </row>
    <row r="200" spans="1:63">
      <c r="A200">
        <f t="shared" si="1"/>
        <v>197</v>
      </c>
      <c r="B200" t="s">
        <v>478</v>
      </c>
      <c r="C200" t="str">
        <f>INDEX(EPD_Measures,11)</f>
        <v>Renewable material resources</v>
      </c>
      <c r="D200" t="str">
        <f>INDEX(EPD_Calc_Units,11)</f>
        <v>kg</v>
      </c>
      <c r="E200" s="123">
        <v>6.5130399999999996E-5</v>
      </c>
      <c r="F200" s="123">
        <f>E200*'Supplemental LCA Data'!$E$60</f>
        <v>6.5130399999999996E-5</v>
      </c>
      <c r="G200" s="123">
        <v>1.5600000000000001E-6</v>
      </c>
      <c r="H200" s="123">
        <v>1.9192605499999998E-6</v>
      </c>
      <c r="I200" s="123">
        <v>1.5600000000000001E-6</v>
      </c>
      <c r="J200" s="123">
        <v>1.9192605499999998E-6</v>
      </c>
      <c r="K200" s="123"/>
      <c r="L200" s="123"/>
      <c r="M200" s="123">
        <v>0</v>
      </c>
      <c r="N200" s="123">
        <v>0</v>
      </c>
      <c r="O200" s="123">
        <v>0</v>
      </c>
      <c r="P200" s="123">
        <f>'Supplemental LCA Data'!$AC$55</f>
        <v>0</v>
      </c>
      <c r="Q200" s="123">
        <f>'Supplemental LCA Data'!$AD$55</f>
        <v>0</v>
      </c>
      <c r="R200" s="123">
        <f>'Supplemental LCA Data'!$AE$55</f>
        <v>0</v>
      </c>
      <c r="S200" s="123">
        <f>'Supplemental LCA Data'!$AF$55</f>
        <v>0</v>
      </c>
      <c r="T200" s="123">
        <f>'Supplemental LCA Data'!$AG$55</f>
        <v>0</v>
      </c>
      <c r="U200" s="123">
        <f>'Supplemental LCA Data'!$AH$55</f>
        <v>0</v>
      </c>
      <c r="V200" s="123"/>
      <c r="W200" s="123"/>
      <c r="X200" s="123"/>
      <c r="Y200" s="123"/>
      <c r="Z200" s="123"/>
      <c r="AA200" s="123"/>
      <c r="AB200" s="123"/>
      <c r="AC200" s="123"/>
      <c r="AD200" s="123"/>
      <c r="AE200" s="123"/>
      <c r="AF200" s="123"/>
      <c r="AG200" s="123"/>
      <c r="AH200" s="123"/>
      <c r="AI200" s="123"/>
      <c r="AJ200" s="123"/>
      <c r="AK200" s="123"/>
      <c r="AL200" s="123"/>
      <c r="AM200" s="123">
        <v>0</v>
      </c>
      <c r="AN200" s="123">
        <v>0</v>
      </c>
      <c r="AO200" s="123">
        <v>0</v>
      </c>
      <c r="AP200" s="316">
        <v>0</v>
      </c>
      <c r="AQ200" s="316">
        <v>0</v>
      </c>
      <c r="AR200" s="316">
        <v>0</v>
      </c>
      <c r="AS200" s="316">
        <v>0</v>
      </c>
      <c r="AT200" s="316">
        <v>0</v>
      </c>
      <c r="AU200" s="316">
        <v>0</v>
      </c>
      <c r="AV200" s="129">
        <v>0</v>
      </c>
      <c r="AW200" s="129"/>
      <c r="AX200" s="129"/>
      <c r="AY200" s="129"/>
      <c r="AZ200" s="129"/>
      <c r="BA200" s="129">
        <v>0.84323164500000003</v>
      </c>
      <c r="BB200" s="129">
        <v>0</v>
      </c>
      <c r="BC200" s="129">
        <v>0</v>
      </c>
      <c r="BD200" s="129">
        <v>0</v>
      </c>
      <c r="BE200" s="129">
        <v>0</v>
      </c>
      <c r="BF200" s="129">
        <v>0</v>
      </c>
      <c r="BG200" s="130">
        <v>0</v>
      </c>
      <c r="BH200" s="130">
        <v>0</v>
      </c>
      <c r="BI200" s="130">
        <v>0</v>
      </c>
      <c r="BJ200" s="130">
        <v>0</v>
      </c>
      <c r="BK200" s="130">
        <v>0</v>
      </c>
    </row>
    <row r="201" spans="1:63">
      <c r="A201">
        <f t="shared" si="1"/>
        <v>198</v>
      </c>
      <c r="B201" t="s">
        <v>478</v>
      </c>
      <c r="C201" t="str">
        <f>INDEX(EPD_Measures,12)</f>
        <v>Net Fresh Water</v>
      </c>
      <c r="D201" t="str">
        <f>INDEX(EPD_Calc_Units,12)</f>
        <v>m3</v>
      </c>
      <c r="E201" s="123">
        <v>8.4060799999999996E-4</v>
      </c>
      <c r="F201" s="123">
        <f>E201*'Supplemental LCA Data'!$E$61</f>
        <v>7.5654719999999995E-4</v>
      </c>
      <c r="G201" s="123">
        <f>$G$1+0</f>
        <v>6.7500000000000004E-4</v>
      </c>
      <c r="H201" s="123">
        <f>$G$1+0.000000717</f>
        <v>6.7571700000000005E-4</v>
      </c>
      <c r="I201" s="123">
        <f>$G$1+0</f>
        <v>6.7500000000000004E-4</v>
      </c>
      <c r="J201" s="123">
        <f>$G$1+0.000000717</f>
        <v>6.7571700000000005E-4</v>
      </c>
      <c r="K201" s="123">
        <v>0</v>
      </c>
      <c r="L201" s="123">
        <v>0</v>
      </c>
      <c r="M201" s="123">
        <v>0</v>
      </c>
      <c r="N201" s="123">
        <v>0</v>
      </c>
      <c r="O201" s="123">
        <v>0</v>
      </c>
      <c r="P201" s="123">
        <f>'Supplemental LCA Data'!$AC$56</f>
        <v>0</v>
      </c>
      <c r="Q201" s="123">
        <f>'Supplemental LCA Data'!$AD$56</f>
        <v>0</v>
      </c>
      <c r="R201" s="123">
        <f>'Supplemental LCA Data'!$AE$56</f>
        <v>0</v>
      </c>
      <c r="S201" s="123">
        <f>'Supplemental LCA Data'!$AF$56</f>
        <v>0</v>
      </c>
      <c r="T201" s="123">
        <f>'Supplemental LCA Data'!$AG$56</f>
        <v>0</v>
      </c>
      <c r="U201" s="123">
        <f>'Supplemental LCA Data'!$AH$56</f>
        <v>0</v>
      </c>
      <c r="V201" s="123">
        <v>0.11500386618134965</v>
      </c>
      <c r="W201" s="123">
        <f>'Supplemental LCA Data'!$E$73/1000</f>
        <v>13.732079207907059</v>
      </c>
      <c r="X201" s="123">
        <f>'Supplemental LCA Data'!$F$73/1000</f>
        <v>13.896554340061131</v>
      </c>
      <c r="Y201" s="123">
        <f>'Supplemental LCA Data'!$G$73/1000</f>
        <v>14.675578391799121</v>
      </c>
      <c r="Z201" s="123">
        <f t="shared" si="3"/>
        <v>15.105287128697766</v>
      </c>
      <c r="AA201" s="123">
        <v>0</v>
      </c>
      <c r="AB201" s="123">
        <v>0</v>
      </c>
      <c r="AC201" s="123">
        <f t="shared" si="2"/>
        <v>13.732079207907059</v>
      </c>
      <c r="AD201" s="123">
        <v>0</v>
      </c>
      <c r="AE201" s="123">
        <v>0</v>
      </c>
      <c r="AF201" s="123">
        <v>0</v>
      </c>
      <c r="AG201" s="123">
        <v>6.6615854003756548E-4</v>
      </c>
      <c r="AH201" s="123">
        <v>8.5599624991234465E-3</v>
      </c>
      <c r="AI201" s="123">
        <v>3.5226266152208971E-4</v>
      </c>
      <c r="AJ201" s="123">
        <v>3.9507938615937904E-3</v>
      </c>
      <c r="AK201" s="123">
        <v>7.4033158500000001E-2</v>
      </c>
      <c r="AL201" s="123">
        <v>0</v>
      </c>
      <c r="AM201" s="123">
        <v>0</v>
      </c>
      <c r="AN201" s="123">
        <v>0</v>
      </c>
      <c r="AO201" s="123">
        <v>0</v>
      </c>
      <c r="AP201" s="316">
        <v>0</v>
      </c>
      <c r="AQ201" s="316">
        <v>0</v>
      </c>
      <c r="AR201" s="316">
        <v>0</v>
      </c>
      <c r="AS201" s="316">
        <v>0</v>
      </c>
      <c r="AT201" s="316">
        <v>0</v>
      </c>
      <c r="AU201" s="316">
        <v>0</v>
      </c>
      <c r="AV201" s="129">
        <v>0</v>
      </c>
      <c r="AW201" s="129">
        <v>0</v>
      </c>
      <c r="AX201" s="129">
        <v>0</v>
      </c>
      <c r="AY201" s="129">
        <v>0</v>
      </c>
      <c r="AZ201" s="129">
        <v>0</v>
      </c>
      <c r="BA201" s="129">
        <v>0</v>
      </c>
      <c r="BB201" s="129">
        <v>0</v>
      </c>
      <c r="BC201" s="129">
        <v>0</v>
      </c>
      <c r="BD201" s="129">
        <v>0</v>
      </c>
      <c r="BE201" s="129">
        <v>0</v>
      </c>
      <c r="BF201" s="129">
        <v>0</v>
      </c>
      <c r="BG201" s="130">
        <v>0</v>
      </c>
      <c r="BH201" s="130">
        <v>0</v>
      </c>
      <c r="BI201" s="130">
        <v>0</v>
      </c>
      <c r="BJ201" s="130">
        <v>0</v>
      </c>
      <c r="BK201" s="130">
        <v>0</v>
      </c>
    </row>
    <row r="202" spans="1:63">
      <c r="A202">
        <f t="shared" si="1"/>
        <v>199</v>
      </c>
      <c r="B202" t="s">
        <v>478</v>
      </c>
      <c r="C202" t="str">
        <f>INDEX(EPD_Measures,13)</f>
        <v>Non-hazardous waste generated</v>
      </c>
      <c r="D202" t="str">
        <f>INDEX(EPD_Calc_Units,13)</f>
        <v>kg</v>
      </c>
      <c r="E202" s="123">
        <v>0</v>
      </c>
      <c r="F202" s="123">
        <f>E202*'Supplemental LCA Data'!$E$62</f>
        <v>0</v>
      </c>
      <c r="G202" s="123">
        <v>0</v>
      </c>
      <c r="H202" s="123">
        <v>0</v>
      </c>
      <c r="I202" s="123">
        <v>0</v>
      </c>
      <c r="J202" s="123">
        <v>0</v>
      </c>
      <c r="K202" s="123"/>
      <c r="L202" s="123"/>
      <c r="M202" s="123">
        <v>0</v>
      </c>
      <c r="N202" s="123">
        <v>0</v>
      </c>
      <c r="O202" s="123">
        <v>0</v>
      </c>
      <c r="P202" s="123">
        <f>'Supplemental LCA Data'!$AC$57</f>
        <v>0</v>
      </c>
      <c r="Q202" s="123">
        <f>'Supplemental LCA Data'!$AD$57</f>
        <v>0</v>
      </c>
      <c r="R202" s="123">
        <f>'Supplemental LCA Data'!$AE$57</f>
        <v>0</v>
      </c>
      <c r="S202" s="123">
        <f>'Supplemental LCA Data'!$AF$57</f>
        <v>0</v>
      </c>
      <c r="T202" s="123">
        <f>'Supplemental LCA Data'!$AG$57</f>
        <v>0</v>
      </c>
      <c r="U202" s="123">
        <f>'Supplemental LCA Data'!$AH$57</f>
        <v>0</v>
      </c>
      <c r="V202" s="123"/>
      <c r="W202" s="123"/>
      <c r="X202" s="123"/>
      <c r="Y202" s="123"/>
      <c r="Z202" s="123"/>
      <c r="AA202" s="123"/>
      <c r="AB202" s="123"/>
      <c r="AC202" s="123"/>
      <c r="AD202" s="123"/>
      <c r="AE202" s="123"/>
      <c r="AF202" s="123"/>
      <c r="AG202" s="123"/>
      <c r="AH202" s="123"/>
      <c r="AI202" s="123"/>
      <c r="AJ202" s="123"/>
      <c r="AK202" s="123"/>
      <c r="AL202" s="123"/>
      <c r="AM202" s="123">
        <v>0</v>
      </c>
      <c r="AN202" s="123">
        <v>0</v>
      </c>
      <c r="AO202" s="123">
        <v>0</v>
      </c>
      <c r="AP202" s="316">
        <v>0</v>
      </c>
      <c r="AQ202" s="316">
        <v>0</v>
      </c>
      <c r="AR202" s="316">
        <v>0</v>
      </c>
      <c r="AS202" s="316">
        <v>0</v>
      </c>
      <c r="AT202" s="316">
        <v>0</v>
      </c>
      <c r="AU202" s="316">
        <v>0</v>
      </c>
      <c r="AV202" s="129">
        <v>0</v>
      </c>
      <c r="AW202" s="129"/>
      <c r="AX202" s="129"/>
      <c r="AY202" s="129"/>
      <c r="AZ202" s="129"/>
      <c r="BA202" s="129">
        <v>0</v>
      </c>
      <c r="BB202" s="129">
        <v>0</v>
      </c>
      <c r="BC202" s="129">
        <v>0</v>
      </c>
      <c r="BD202" s="129">
        <v>0</v>
      </c>
      <c r="BE202" s="129">
        <v>0</v>
      </c>
      <c r="BF202" s="129">
        <v>0</v>
      </c>
      <c r="BG202" s="130">
        <v>0</v>
      </c>
      <c r="BH202" s="130">
        <v>0</v>
      </c>
      <c r="BI202" s="130">
        <v>0</v>
      </c>
      <c r="BJ202" s="130">
        <v>0</v>
      </c>
      <c r="BK202" s="130">
        <v>0</v>
      </c>
    </row>
    <row r="203" spans="1:63">
      <c r="A203">
        <f t="shared" si="1"/>
        <v>200</v>
      </c>
      <c r="B203" t="s">
        <v>478</v>
      </c>
      <c r="C203" t="str">
        <f>INDEX(EPD_Measures,14)</f>
        <v>Hazardous waste generated</v>
      </c>
      <c r="D203" t="str">
        <f>INDEX(EPD_Calc_Units,14)</f>
        <v>kg</v>
      </c>
      <c r="E203" s="123">
        <v>0</v>
      </c>
      <c r="F203" s="123">
        <f>E203*'Supplemental LCA Data'!$E$63</f>
        <v>0</v>
      </c>
      <c r="G203" s="123">
        <v>0</v>
      </c>
      <c r="H203" s="123">
        <v>0</v>
      </c>
      <c r="I203" s="123">
        <v>0</v>
      </c>
      <c r="J203" s="123">
        <v>0</v>
      </c>
      <c r="K203" s="123"/>
      <c r="L203" s="123"/>
      <c r="M203" s="123">
        <v>0</v>
      </c>
      <c r="N203" s="123">
        <v>0</v>
      </c>
      <c r="O203" s="123">
        <v>0</v>
      </c>
      <c r="P203" s="123">
        <f>'Supplemental LCA Data'!$AC$58</f>
        <v>0</v>
      </c>
      <c r="Q203" s="123">
        <f>'Supplemental LCA Data'!$AD$58</f>
        <v>0</v>
      </c>
      <c r="R203" s="123">
        <f>'Supplemental LCA Data'!$AE$58</f>
        <v>0</v>
      </c>
      <c r="S203" s="123">
        <f>'Supplemental LCA Data'!$AF$58</f>
        <v>0</v>
      </c>
      <c r="T203" s="123">
        <f>'Supplemental LCA Data'!$AG$58</f>
        <v>0</v>
      </c>
      <c r="U203" s="123">
        <f>'Supplemental LCA Data'!$AH$58</f>
        <v>0</v>
      </c>
      <c r="V203" s="123"/>
      <c r="W203" s="123"/>
      <c r="X203" s="123"/>
      <c r="Y203" s="123"/>
      <c r="Z203" s="123"/>
      <c r="AA203" s="123"/>
      <c r="AB203" s="123"/>
      <c r="AC203" s="123"/>
      <c r="AD203" s="123"/>
      <c r="AE203" s="123"/>
      <c r="AF203" s="123"/>
      <c r="AG203" s="123"/>
      <c r="AH203" s="123"/>
      <c r="AI203" s="123"/>
      <c r="AJ203" s="123"/>
      <c r="AK203" s="123"/>
      <c r="AL203" s="123"/>
      <c r="AM203" s="123">
        <v>0</v>
      </c>
      <c r="AN203" s="123">
        <v>0</v>
      </c>
      <c r="AO203" s="123">
        <v>0</v>
      </c>
      <c r="AP203" s="316">
        <v>0</v>
      </c>
      <c r="AQ203" s="316">
        <v>0</v>
      </c>
      <c r="AR203" s="316">
        <v>0</v>
      </c>
      <c r="AS203" s="316">
        <v>0</v>
      </c>
      <c r="AT203" s="316">
        <v>0</v>
      </c>
      <c r="AU203" s="316">
        <v>0</v>
      </c>
      <c r="AV203" s="129">
        <v>0</v>
      </c>
      <c r="AW203" s="129"/>
      <c r="AX203" s="129"/>
      <c r="AY203" s="129"/>
      <c r="AZ203" s="129"/>
      <c r="BA203" s="129">
        <v>0</v>
      </c>
      <c r="BB203" s="129">
        <v>0</v>
      </c>
      <c r="BC203" s="129">
        <v>0</v>
      </c>
      <c r="BD203" s="129">
        <v>0</v>
      </c>
      <c r="BE203" s="129">
        <v>0</v>
      </c>
      <c r="BF203" s="129">
        <v>0</v>
      </c>
      <c r="BG203" s="130">
        <v>0</v>
      </c>
      <c r="BH203" s="130">
        <v>0</v>
      </c>
      <c r="BI203" s="130">
        <v>0</v>
      </c>
      <c r="BJ203" s="130">
        <v>0</v>
      </c>
      <c r="BK203" s="130">
        <v>0</v>
      </c>
    </row>
    <row r="204" spans="1:63">
      <c r="A204" s="112">
        <f t="shared" si="1"/>
        <v>201</v>
      </c>
      <c r="B204" s="112" t="s">
        <v>425</v>
      </c>
      <c r="C204" s="112" t="str">
        <f>INDEX(EPD_Measures,1)</f>
        <v>Global warming potential (GWP)</v>
      </c>
      <c r="D204" s="112" t="str">
        <f>INDEX(EPD_Calc_Units,1)</f>
        <v>kg</v>
      </c>
      <c r="E204" s="123">
        <v>1.3684554790000001</v>
      </c>
      <c r="F204" s="123">
        <f>E204*'Supplemental LCA Data'!$E$49</f>
        <v>1.2244075338421054</v>
      </c>
      <c r="G204" s="123">
        <v>9.0950000000000007E-3</v>
      </c>
      <c r="H204" s="123">
        <v>5.0660000000000002E-3</v>
      </c>
      <c r="I204" s="123">
        <v>4.4996680000000001E-3</v>
      </c>
      <c r="J204" s="123">
        <v>5.0660000000000002E-3</v>
      </c>
      <c r="K204" s="123">
        <v>0</v>
      </c>
      <c r="L204" s="123">
        <v>0</v>
      </c>
      <c r="M204" s="123">
        <v>0</v>
      </c>
      <c r="N204" s="123">
        <v>0</v>
      </c>
      <c r="O204" s="123">
        <v>0</v>
      </c>
      <c r="P204" s="123">
        <f>'Supplemental LCA Data'!$AC$45</f>
        <v>0.10406360712476165</v>
      </c>
      <c r="Q204" s="123">
        <f>'Supplemental LCA Data'!$AD$45</f>
        <v>0.22949974224587316</v>
      </c>
      <c r="R204" s="123">
        <f>'Supplemental LCA Data'!$AE$45</f>
        <v>1.2625032020663256</v>
      </c>
      <c r="S204" s="123">
        <f>'Supplemental LCA Data'!$AF$45</f>
        <v>0.76998593521882752</v>
      </c>
      <c r="T204" s="123">
        <f>'Supplemental LCA Data'!$AG$45</f>
        <v>0.22949974224587316</v>
      </c>
      <c r="U204" s="123">
        <f>'Supplemental LCA Data'!$AH$45</f>
        <v>0.51911044578033227</v>
      </c>
      <c r="V204" s="123">
        <v>2.9429471121354829</v>
      </c>
      <c r="W204" s="123">
        <f>'Supplemental LCA Data'!$E$71/1000</f>
        <v>0.89195544554366246</v>
      </c>
      <c r="X204" s="123">
        <f>'Supplemental LCA Data'!$F$71/1000</f>
        <v>1.1312138489469654</v>
      </c>
      <c r="Y204" s="123">
        <f>'Supplemental LCA Data'!$G$71/1000</f>
        <v>1.5012328955993122</v>
      </c>
      <c r="Z204" s="123">
        <f t="shared" si="3"/>
        <v>0.98115099009802875</v>
      </c>
      <c r="AA204" s="123">
        <v>0</v>
      </c>
      <c r="AB204" s="123">
        <v>0</v>
      </c>
      <c r="AC204" s="123">
        <f t="shared" si="2"/>
        <v>0.89195544554366246</v>
      </c>
      <c r="AD204" s="123">
        <v>0</v>
      </c>
      <c r="AE204" s="123">
        <v>0</v>
      </c>
      <c r="AF204" s="123">
        <v>0</v>
      </c>
      <c r="AG204" s="123">
        <v>3.3162413704963716</v>
      </c>
      <c r="AH204" s="123">
        <v>9.0789952164299699</v>
      </c>
      <c r="AI204" s="123">
        <v>0.2453477255455345</v>
      </c>
      <c r="AJ204" s="123">
        <v>0.3279493299762562</v>
      </c>
      <c r="AK204" s="123">
        <v>4.6408478655656005</v>
      </c>
      <c r="AL204" s="123">
        <v>0.92461248966214149</v>
      </c>
      <c r="AM204" s="123">
        <v>0</v>
      </c>
      <c r="AN204" s="123">
        <v>0</v>
      </c>
      <c r="AO204" s="123">
        <v>0</v>
      </c>
      <c r="AP204" s="316">
        <v>0</v>
      </c>
      <c r="AQ204" s="316">
        <v>0</v>
      </c>
      <c r="AR204" s="316">
        <v>0</v>
      </c>
      <c r="AS204" s="316">
        <v>0</v>
      </c>
      <c r="AT204" s="316">
        <v>0</v>
      </c>
      <c r="AU204" s="316">
        <v>0</v>
      </c>
      <c r="AV204" s="129">
        <v>0.76591244599999997</v>
      </c>
      <c r="AW204" s="129">
        <v>0</v>
      </c>
      <c r="AX204" s="129">
        <v>0</v>
      </c>
      <c r="AY204" s="129">
        <v>0</v>
      </c>
      <c r="AZ204" s="129">
        <v>0</v>
      </c>
      <c r="BA204" s="129">
        <v>4.5765858E-2</v>
      </c>
      <c r="BB204" s="129">
        <v>2.529973</v>
      </c>
      <c r="BC204" s="129">
        <v>2.4438970000000002</v>
      </c>
      <c r="BD204" s="129">
        <v>3.1787649999999998</v>
      </c>
      <c r="BE204" s="129">
        <v>3.7603420000000001</v>
      </c>
      <c r="BF204" s="129">
        <v>2.0422280000000002</v>
      </c>
      <c r="BG204" s="130">
        <v>9.2743999999999993E-2</v>
      </c>
      <c r="BH204" s="130">
        <v>7.3523000000000005E-2</v>
      </c>
      <c r="BI204" s="130">
        <v>2.2027999999999999E-2</v>
      </c>
      <c r="BJ204" s="130">
        <v>1.8526999999999998E-2</v>
      </c>
      <c r="BK204" s="130">
        <v>3.3079999999999998E-2</v>
      </c>
    </row>
    <row r="205" spans="1:63">
      <c r="A205">
        <f t="shared" si="1"/>
        <v>202</v>
      </c>
      <c r="B205" t="s">
        <v>425</v>
      </c>
      <c r="C205" t="str">
        <f>INDEX(EPD_Measures,2)</f>
        <v>Acidification potential</v>
      </c>
      <c r="D205" t="str">
        <f>INDEX(EPD_Calc_Units,2)</f>
        <v>kg</v>
      </c>
      <c r="E205" s="123">
        <v>6.8594010000000002E-3</v>
      </c>
      <c r="F205" s="123">
        <f>E205*'Supplemental LCA Data'!$E$52</f>
        <v>6.1901911463414627E-3</v>
      </c>
      <c r="G205" s="123">
        <v>8.7499999999999999E-5</v>
      </c>
      <c r="H205" s="123">
        <v>5.52E-5</v>
      </c>
      <c r="I205" s="123">
        <v>4.9462899999999997E-5</v>
      </c>
      <c r="J205" s="123">
        <v>5.52E-5</v>
      </c>
      <c r="K205" s="123"/>
      <c r="L205" s="123"/>
      <c r="M205" s="123">
        <v>0</v>
      </c>
      <c r="N205" s="123">
        <v>0</v>
      </c>
      <c r="O205" s="123">
        <v>0</v>
      </c>
      <c r="P205" s="123">
        <f>'Supplemental LCA Data'!$AC$46</f>
        <v>5.7703135192831948E-4</v>
      </c>
      <c r="Q205" s="123">
        <f>'Supplemental LCA Data'!$AD$46</f>
        <v>1.2139986365417917E-3</v>
      </c>
      <c r="R205" s="123">
        <f>'Supplemental LCA Data'!$AE$46</f>
        <v>4.7483946670140312E-3</v>
      </c>
      <c r="S205" s="123">
        <f>'Supplemental LCA Data'!$AF$46</f>
        <v>3.9528555604969102</v>
      </c>
      <c r="T205" s="123">
        <f>'Supplemental LCA Data'!$AG$46</f>
        <v>1.2139986365417917E-3</v>
      </c>
      <c r="U205" s="123">
        <f>'Supplemental LCA Data'!$AH$46</f>
        <v>0.79212179675778727</v>
      </c>
      <c r="V205" s="123"/>
      <c r="W205" s="123"/>
      <c r="X205" s="123"/>
      <c r="Y205" s="123"/>
      <c r="Z205" s="123"/>
      <c r="AA205" s="123"/>
      <c r="AB205" s="123"/>
      <c r="AC205" s="123"/>
      <c r="AD205" s="123"/>
      <c r="AE205" s="123"/>
      <c r="AF205" s="123"/>
      <c r="AG205" s="123"/>
      <c r="AH205" s="123"/>
      <c r="AI205" s="123"/>
      <c r="AJ205" s="123"/>
      <c r="AK205" s="123"/>
      <c r="AL205" s="123"/>
      <c r="AM205" s="123">
        <v>0</v>
      </c>
      <c r="AN205" s="123">
        <v>0</v>
      </c>
      <c r="AO205" s="123">
        <v>0</v>
      </c>
      <c r="AP205" s="316">
        <v>0</v>
      </c>
      <c r="AQ205" s="316">
        <v>0</v>
      </c>
      <c r="AR205" s="316">
        <v>0</v>
      </c>
      <c r="AS205" s="316">
        <v>0</v>
      </c>
      <c r="AT205" s="316">
        <v>0</v>
      </c>
      <c r="AU205" s="316">
        <v>0</v>
      </c>
      <c r="AV205" s="129">
        <v>6.335462E-3</v>
      </c>
      <c r="AW205" s="129"/>
      <c r="AX205" s="129"/>
      <c r="AY205" s="129"/>
      <c r="AZ205" s="129"/>
      <c r="BA205" s="129">
        <v>8.3965400000000001E-4</v>
      </c>
      <c r="BB205" s="129">
        <v>2.6606000000000001E-2</v>
      </c>
      <c r="BC205" s="129">
        <v>2.0861000000000001E-2</v>
      </c>
      <c r="BD205" s="129">
        <v>5.646E-3</v>
      </c>
      <c r="BE205" s="129">
        <v>8.8570000000000003E-3</v>
      </c>
      <c r="BF205" s="129">
        <v>4.045E-3</v>
      </c>
      <c r="BG205" s="130">
        <v>4.6900000000000002E-4</v>
      </c>
      <c r="BH205" s="130">
        <v>3.2299999999999999E-4</v>
      </c>
      <c r="BI205" s="130">
        <v>3.7199999999999999E-4</v>
      </c>
      <c r="BJ205" s="130">
        <v>3.2299999999999999E-4</v>
      </c>
      <c r="BK205" s="130">
        <v>2.8299999999999999E-4</v>
      </c>
    </row>
    <row r="206" spans="1:63">
      <c r="A206">
        <f t="shared" si="1"/>
        <v>203</v>
      </c>
      <c r="B206" t="s">
        <v>425</v>
      </c>
      <c r="C206" t="str">
        <f>INDEX(EPD_Measures,3)</f>
        <v>Eutrophication potential</v>
      </c>
      <c r="D206" t="str">
        <f>INDEX(EPD_Calc_Units,3)</f>
        <v>kg</v>
      </c>
      <c r="E206" s="123">
        <v>1.5887799999999999E-4</v>
      </c>
      <c r="F206" s="123">
        <f>E206*'Supplemental LCA Data'!$E$53</f>
        <v>1.4665661538461539E-4</v>
      </c>
      <c r="G206" s="123">
        <v>2.57E-6</v>
      </c>
      <c r="H206" s="123">
        <v>2.6900000000000001E-6</v>
      </c>
      <c r="I206" s="123">
        <v>2.0704000000000001E-6</v>
      </c>
      <c r="J206" s="123">
        <v>2.6900000000000001E-6</v>
      </c>
      <c r="K206" s="123"/>
      <c r="L206" s="123"/>
      <c r="M206" s="123">
        <v>0</v>
      </c>
      <c r="N206" s="123">
        <v>0</v>
      </c>
      <c r="O206" s="123">
        <v>0</v>
      </c>
      <c r="P206" s="123">
        <f>'Supplemental LCA Data'!$AC$47</f>
        <v>1.9624831959085375E-4</v>
      </c>
      <c r="Q206" s="123">
        <f>'Supplemental LCA Data'!$AD$47</f>
        <v>4.226795252829316E-5</v>
      </c>
      <c r="R206" s="123">
        <f>'Supplemental LCA Data'!$AE$47</f>
        <v>8.7898401280121123E-4</v>
      </c>
      <c r="S206" s="123">
        <f>'Supplemental LCA Data'!$AF$47</f>
        <v>0.24926944204227258</v>
      </c>
      <c r="T206" s="123">
        <f>'Supplemental LCA Data'!$AG$47</f>
        <v>4.226795252829316E-5</v>
      </c>
      <c r="U206" s="123">
        <f>'Supplemental LCA Data'!$AH$47</f>
        <v>5.0085842055944255E-2</v>
      </c>
      <c r="V206" s="123"/>
      <c r="W206" s="123"/>
      <c r="X206" s="123"/>
      <c r="Y206" s="123"/>
      <c r="Z206" s="123"/>
      <c r="AA206" s="123"/>
      <c r="AB206" s="123"/>
      <c r="AC206" s="123"/>
      <c r="AD206" s="123"/>
      <c r="AE206" s="123"/>
      <c r="AF206" s="123"/>
      <c r="AG206" s="123"/>
      <c r="AH206" s="123"/>
      <c r="AI206" s="123"/>
      <c r="AJ206" s="123"/>
      <c r="AK206" s="123"/>
      <c r="AL206" s="123"/>
      <c r="AM206" s="123">
        <v>0</v>
      </c>
      <c r="AN206" s="123">
        <v>0</v>
      </c>
      <c r="AO206" s="123">
        <v>0</v>
      </c>
      <c r="AP206" s="316">
        <v>0</v>
      </c>
      <c r="AQ206" s="316">
        <v>0</v>
      </c>
      <c r="AR206" s="316">
        <v>0</v>
      </c>
      <c r="AS206" s="316">
        <v>0</v>
      </c>
      <c r="AT206" s="316">
        <v>0</v>
      </c>
      <c r="AU206" s="316">
        <v>0</v>
      </c>
      <c r="AV206" s="129">
        <v>8.2799499999999999E-5</v>
      </c>
      <c r="AW206" s="129"/>
      <c r="AX206" s="129"/>
      <c r="AY206" s="129"/>
      <c r="AZ206" s="129"/>
      <c r="BA206" s="129">
        <v>4.0302700000000003E-5</v>
      </c>
      <c r="BB206" s="129">
        <v>1.722E-3</v>
      </c>
      <c r="BC206" s="129">
        <v>2.05E-4</v>
      </c>
      <c r="BD206" s="129">
        <v>3.9599999999999998E-4</v>
      </c>
      <c r="BE206" s="129">
        <v>6.0300000000000002E-4</v>
      </c>
      <c r="BF206" s="129">
        <v>2.8299999999999999E-4</v>
      </c>
      <c r="BG206" s="130">
        <v>3.0800000000000003E-5</v>
      </c>
      <c r="BH206" s="130">
        <v>2.1500000000000001E-5</v>
      </c>
      <c r="BI206" s="130">
        <v>2.3799999999999999E-5</v>
      </c>
      <c r="BJ206" s="130">
        <v>2.0699999999999998E-5</v>
      </c>
      <c r="BK206" s="130">
        <v>1.8300000000000001E-5</v>
      </c>
    </row>
    <row r="207" spans="1:63">
      <c r="A207">
        <f t="shared" si="1"/>
        <v>204</v>
      </c>
      <c r="B207" t="s">
        <v>425</v>
      </c>
      <c r="C207" t="str">
        <f>INDEX(EPD_Measures,4)</f>
        <v>Smog creation potential</v>
      </c>
      <c r="D207" t="str">
        <f>INDEX(EPD_Calc_Units,4)</f>
        <v>kg</v>
      </c>
      <c r="E207" s="123">
        <v>8.5397685000000001E-2</v>
      </c>
      <c r="F207" s="123">
        <f>E207*'Supplemental LCA Data'!$E$55</f>
        <v>7.6502092812499992E-2</v>
      </c>
      <c r="G207" s="123">
        <v>1.2930000000000001E-3</v>
      </c>
      <c r="H207" s="123">
        <v>1.25E-3</v>
      </c>
      <c r="I207" s="123">
        <v>1.0758090000000001E-3</v>
      </c>
      <c r="J207" s="123">
        <v>1.25E-3</v>
      </c>
      <c r="K207" s="123"/>
      <c r="L207" s="123"/>
      <c r="M207" s="123">
        <v>0</v>
      </c>
      <c r="N207" s="123">
        <v>0</v>
      </c>
      <c r="O207" s="123">
        <v>0</v>
      </c>
      <c r="P207" s="123">
        <f>'Supplemental LCA Data'!$AC$48</f>
        <v>8.7017595456788718E-3</v>
      </c>
      <c r="Q207" s="123">
        <f>'Supplemental LCA Data'!$AD$48</f>
        <v>1.3524104726696053E-2</v>
      </c>
      <c r="R207" s="123">
        <f>'Supplemental LCA Data'!$AE$48</f>
        <v>5.7241581200289861E-2</v>
      </c>
      <c r="S207" s="123">
        <f>'Supplemental LCA Data'!$AF$48</f>
        <v>43.192743848068233</v>
      </c>
      <c r="T207" s="123">
        <f>'Supplemental LCA Data'!$AG$48</f>
        <v>1.3524104726696053E-2</v>
      </c>
      <c r="U207" s="123">
        <f>'Supplemental LCA Data'!$AH$48</f>
        <v>8.6571470796535195</v>
      </c>
      <c r="V207" s="123"/>
      <c r="W207" s="123"/>
      <c r="X207" s="123"/>
      <c r="Y207" s="123"/>
      <c r="Z207" s="123"/>
      <c r="AA207" s="123"/>
      <c r="AB207" s="123"/>
      <c r="AC207" s="123"/>
      <c r="AD207" s="123"/>
      <c r="AE207" s="123"/>
      <c r="AF207" s="123"/>
      <c r="AG207" s="123"/>
      <c r="AH207" s="123"/>
      <c r="AI207" s="123"/>
      <c r="AJ207" s="123"/>
      <c r="AK207" s="123"/>
      <c r="AL207" s="123"/>
      <c r="AM207" s="123">
        <v>0</v>
      </c>
      <c r="AN207" s="123">
        <v>0</v>
      </c>
      <c r="AO207" s="123">
        <v>0</v>
      </c>
      <c r="AP207" s="316">
        <v>0</v>
      </c>
      <c r="AQ207" s="316">
        <v>0</v>
      </c>
      <c r="AR207" s="316">
        <v>0</v>
      </c>
      <c r="AS207" s="316">
        <v>0</v>
      </c>
      <c r="AT207" s="316">
        <v>0</v>
      </c>
      <c r="AU207" s="316">
        <v>0</v>
      </c>
      <c r="AV207" s="129">
        <v>3.6209717000000002E-2</v>
      </c>
      <c r="AW207" s="129"/>
      <c r="AX207" s="129"/>
      <c r="AY207" s="129"/>
      <c r="AZ207" s="129"/>
      <c r="BA207" s="129">
        <v>0.241503051</v>
      </c>
      <c r="BB207" s="129">
        <v>0.90166400000000002</v>
      </c>
      <c r="BC207" s="129">
        <v>5.2539000000000002E-2</v>
      </c>
      <c r="BD207" s="129">
        <v>0.13974</v>
      </c>
      <c r="BE207" s="129">
        <v>0.24854699999999999</v>
      </c>
      <c r="BF207" s="129">
        <v>0.10738499999999999</v>
      </c>
      <c r="BG207" s="130">
        <v>1.5133000000000001E-2</v>
      </c>
      <c r="BH207" s="130">
        <v>1.0231000000000001E-2</v>
      </c>
      <c r="BI207" s="130">
        <v>1.2799E-2</v>
      </c>
      <c r="BJ207" s="130">
        <v>1.1180000000000001E-2</v>
      </c>
      <c r="BK207" s="130">
        <v>9.5029999999999993E-3</v>
      </c>
    </row>
    <row r="208" spans="1:63">
      <c r="A208">
        <f t="shared" si="1"/>
        <v>205</v>
      </c>
      <c r="B208" t="s">
        <v>425</v>
      </c>
      <c r="C208" t="str">
        <f>INDEX(EPD_Measures,5)</f>
        <v>Ozone depletion potential</v>
      </c>
      <c r="D208" t="str">
        <f>INDEX(EPD_Calc_Units,5)</f>
        <v>kg</v>
      </c>
      <c r="E208" s="123">
        <v>1.0217600000000001E-8</v>
      </c>
      <c r="F208" s="123">
        <f>E208*'Supplemental LCA Data'!$E$56</f>
        <v>8.9171781818181816E-9</v>
      </c>
      <c r="G208" s="123">
        <v>1.7299999999999999E-13</v>
      </c>
      <c r="H208" s="123">
        <v>9.6800000000000004E-11</v>
      </c>
      <c r="I208" s="123">
        <v>1.18084E-13</v>
      </c>
      <c r="J208" s="123">
        <v>9.6800000000000004E-11</v>
      </c>
      <c r="K208" s="123"/>
      <c r="L208" s="123"/>
      <c r="M208" s="123">
        <v>0</v>
      </c>
      <c r="N208" s="123">
        <v>0</v>
      </c>
      <c r="O208" s="123">
        <v>0</v>
      </c>
      <c r="P208" s="123">
        <f>'Supplemental LCA Data'!$AC$49</f>
        <v>4.817994588850506E-10</v>
      </c>
      <c r="Q208" s="123">
        <f>'Supplemental LCA Data'!$AD$49</f>
        <v>0</v>
      </c>
      <c r="R208" s="123">
        <f>'Supplemental LCA Data'!$AE$49</f>
        <v>2.4089972944252421E-9</v>
      </c>
      <c r="S208" s="123">
        <f>'Supplemental LCA Data'!$AF$49</f>
        <v>3.2599963386576577E-9</v>
      </c>
      <c r="T208" s="123">
        <f>'Supplemental LCA Data'!$AG$49</f>
        <v>0</v>
      </c>
      <c r="U208" s="123">
        <f>'Supplemental LCA Data'!$AH$49</f>
        <v>1.2301586183935901E-9</v>
      </c>
      <c r="V208" s="123"/>
      <c r="W208" s="123"/>
      <c r="X208" s="123"/>
      <c r="Y208" s="123"/>
      <c r="Z208" s="123"/>
      <c r="AA208" s="123"/>
      <c r="AB208" s="123"/>
      <c r="AC208" s="123"/>
      <c r="AD208" s="123"/>
      <c r="AE208" s="123"/>
      <c r="AF208" s="123"/>
      <c r="AG208" s="123"/>
      <c r="AH208" s="123"/>
      <c r="AI208" s="123"/>
      <c r="AJ208" s="123"/>
      <c r="AK208" s="123"/>
      <c r="AL208" s="123"/>
      <c r="AM208" s="123">
        <v>0</v>
      </c>
      <c r="AN208" s="123">
        <v>0</v>
      </c>
      <c r="AO208" s="123">
        <v>0</v>
      </c>
      <c r="AP208" s="316">
        <v>0</v>
      </c>
      <c r="AQ208" s="316">
        <v>0</v>
      </c>
      <c r="AR208" s="316">
        <v>0</v>
      </c>
      <c r="AS208" s="316">
        <v>0</v>
      </c>
      <c r="AT208" s="316">
        <v>0</v>
      </c>
      <c r="AU208" s="316">
        <v>0</v>
      </c>
      <c r="AV208" s="129">
        <v>9.1239199999999994E-12</v>
      </c>
      <c r="AW208" s="129"/>
      <c r="AX208" s="129"/>
      <c r="AY208" s="129"/>
      <c r="AZ208" s="129"/>
      <c r="BA208" s="129">
        <v>9.58911E-14</v>
      </c>
      <c r="BB208" s="129">
        <v>1.16E-10</v>
      </c>
      <c r="BC208" s="129">
        <v>1.6799999999999999E-12</v>
      </c>
      <c r="BD208" s="129">
        <v>1.2999999999999999E-10</v>
      </c>
      <c r="BE208" s="129">
        <v>1.41E-10</v>
      </c>
      <c r="BF208" s="129">
        <v>8.1099999999999997E-11</v>
      </c>
      <c r="BG208" s="130">
        <v>3.5300000000000001E-12</v>
      </c>
      <c r="BH208" s="130">
        <v>3.1599999999999999E-12</v>
      </c>
      <c r="BI208" s="130">
        <v>8.4099999999999995E-13</v>
      </c>
      <c r="BJ208" s="130">
        <v>6.9599999999999996E-13</v>
      </c>
      <c r="BK208" s="130">
        <v>1.2499999999999999E-12</v>
      </c>
    </row>
    <row r="209" spans="1:63">
      <c r="A209">
        <f t="shared" si="1"/>
        <v>206</v>
      </c>
      <c r="B209" t="s">
        <v>425</v>
      </c>
      <c r="C209" t="str">
        <f>INDEX(EPD_Measures,6)</f>
        <v>Total primary energy consumption</v>
      </c>
      <c r="D209" t="str">
        <f>INDEX(EPD_Calc_Units,6)</f>
        <v>MJ</v>
      </c>
      <c r="E209" s="120">
        <v>5.6702119069999997</v>
      </c>
      <c r="F209" s="123">
        <f>E209*'Supplemental LCA Data'!$E$50</f>
        <v>5.156295419960724</v>
      </c>
      <c r="G209" s="123">
        <v>0.15623900000000002</v>
      </c>
      <c r="H209" s="123">
        <v>8.2345000000000002E-2</v>
      </c>
      <c r="I209" s="123">
        <v>7.3887069E-2</v>
      </c>
      <c r="J209" s="123">
        <v>8.2345000000000002E-2</v>
      </c>
      <c r="K209" s="123">
        <v>0</v>
      </c>
      <c r="L209" s="123">
        <v>0</v>
      </c>
      <c r="M209" s="123">
        <v>0</v>
      </c>
      <c r="N209" s="123">
        <v>0</v>
      </c>
      <c r="O209" s="123">
        <v>0</v>
      </c>
      <c r="P209" s="123">
        <f>'Supplemental LCA Data'!$AC$50</f>
        <v>2.099997641465547</v>
      </c>
      <c r="Q209" s="123">
        <f>'Supplemental LCA Data'!$AD$50</f>
        <v>4.5999948336864307</v>
      </c>
      <c r="R209" s="123">
        <f>'Supplemental LCA Data'!$AE$50</f>
        <v>22.799974393054555</v>
      </c>
      <c r="S209" s="123">
        <f>'Supplemental LCA Data'!$AF$50</f>
        <v>18.299979447056902</v>
      </c>
      <c r="T209" s="123">
        <f>'Supplemental LCA Data'!$AG$50</f>
        <v>4.5999948336864307</v>
      </c>
      <c r="U209" s="123">
        <f>'Supplemental LCA Data'!$AH$50</f>
        <v>10.479988229789974</v>
      </c>
      <c r="V209" s="123">
        <v>57.506173091793869</v>
      </c>
      <c r="W209" s="123">
        <f>'Supplemental LCA Data'!$E$72/1000</f>
        <v>17.379305548594214</v>
      </c>
      <c r="X209" s="123">
        <f>'Supplemental LCA Data'!$F$72/1000</f>
        <v>21.599171010579372</v>
      </c>
      <c r="Y209" s="123">
        <f>'Supplemental LCA Data'!$G$72/1000</f>
        <v>25.866149969431106</v>
      </c>
      <c r="Z209" s="123">
        <f t="shared" si="3"/>
        <v>19.117236103453639</v>
      </c>
      <c r="AA209" s="123">
        <v>0</v>
      </c>
      <c r="AB209" s="123">
        <v>0</v>
      </c>
      <c r="AC209" s="123">
        <f t="shared" si="2"/>
        <v>17.379305548594214</v>
      </c>
      <c r="AD209" s="123">
        <v>0</v>
      </c>
      <c r="AE209" s="123">
        <v>0</v>
      </c>
      <c r="AF209" s="123">
        <v>0</v>
      </c>
      <c r="AG209" s="123">
        <v>111.41336281293017</v>
      </c>
      <c r="AH209" s="123">
        <v>96.934631722060175</v>
      </c>
      <c r="AI209" s="123">
        <v>3.4310468673118439</v>
      </c>
      <c r="AJ209" s="123">
        <v>7.079849022399789</v>
      </c>
      <c r="AK209" s="123">
        <v>88.609789579499989</v>
      </c>
      <c r="AL209" s="123">
        <v>75.869011043824344</v>
      </c>
      <c r="AM209" s="123">
        <v>0</v>
      </c>
      <c r="AN209" s="123">
        <v>0</v>
      </c>
      <c r="AO209" s="123">
        <v>0</v>
      </c>
      <c r="AP209" s="316">
        <v>0</v>
      </c>
      <c r="AQ209" s="316">
        <v>0</v>
      </c>
      <c r="AR209" s="316">
        <v>0</v>
      </c>
      <c r="AS209" s="316">
        <v>0</v>
      </c>
      <c r="AT209" s="316">
        <v>0</v>
      </c>
      <c r="AU209" s="316">
        <v>0</v>
      </c>
      <c r="AV209" s="129">
        <v>13.725189029999999</v>
      </c>
      <c r="AW209" s="129">
        <v>3.6</v>
      </c>
      <c r="AX209" s="129">
        <v>3.6</v>
      </c>
      <c r="AY209" s="129">
        <v>3.6</v>
      </c>
      <c r="AZ209" s="129">
        <v>3.6</v>
      </c>
      <c r="BA209" s="129">
        <v>3.4579025999999999E-2</v>
      </c>
      <c r="BB209" s="129">
        <v>41.990099999999998</v>
      </c>
      <c r="BC209" s="129">
        <v>43.209249999999997</v>
      </c>
      <c r="BD209" s="129">
        <v>46.983649999999997</v>
      </c>
      <c r="BE209" s="129">
        <v>51.126690000000004</v>
      </c>
      <c r="BF209" s="129">
        <v>29.343319999999999</v>
      </c>
      <c r="BG209" s="130">
        <v>1.2783040000000001</v>
      </c>
      <c r="BH209" s="130">
        <v>1.14236</v>
      </c>
      <c r="BI209" s="130">
        <v>0.30436299999999999</v>
      </c>
      <c r="BJ209" s="130">
        <v>0.25176399999999999</v>
      </c>
      <c r="BK209" s="130">
        <v>0.45051000000000002</v>
      </c>
    </row>
    <row r="210" spans="1:63">
      <c r="A210">
        <f t="shared" si="1"/>
        <v>207</v>
      </c>
      <c r="B210" t="s">
        <v>425</v>
      </c>
      <c r="C210" t="str">
        <f>INDEX(EPD_Measures,7)</f>
        <v>Nonrenewable energy resources</v>
      </c>
      <c r="D210" t="str">
        <f>INDEX(EPD_Calc_Units,7)</f>
        <v>MJ</v>
      </c>
      <c r="E210" s="123">
        <v>5.6251575300000001</v>
      </c>
      <c r="F210" s="123">
        <f>E210*'Supplemental LCA Data'!$E$51</f>
        <v>5.1048080296172254</v>
      </c>
      <c r="G210" s="123">
        <v>0.15343000000000001</v>
      </c>
      <c r="H210" s="123">
        <v>8.1397999999999998E-2</v>
      </c>
      <c r="I210" s="123">
        <v>7.2950842000000002E-2</v>
      </c>
      <c r="J210" s="123">
        <v>8.1397999999999998E-2</v>
      </c>
      <c r="K210" s="123"/>
      <c r="L210" s="123"/>
      <c r="M210" s="123">
        <v>0</v>
      </c>
      <c r="N210" s="123">
        <v>0</v>
      </c>
      <c r="O210" s="123">
        <v>0</v>
      </c>
      <c r="P210" s="123">
        <f>'Supplemental LCA Data'!$AC$51</f>
        <v>2.099997641465547</v>
      </c>
      <c r="Q210" s="123">
        <f>'Supplemental LCA Data'!$AD$51</f>
        <v>4.5999948336864307</v>
      </c>
      <c r="R210" s="123">
        <f>'Supplemental LCA Data'!$AE$51</f>
        <v>22.799974393054555</v>
      </c>
      <c r="S210" s="123">
        <f>'Supplemental LCA Data'!$AF$51</f>
        <v>18.299979447056902</v>
      </c>
      <c r="T210" s="123">
        <f>'Supplemental LCA Data'!$AG$51</f>
        <v>4.5999948336864307</v>
      </c>
      <c r="U210" s="123">
        <f>'Supplemental LCA Data'!$AH$51</f>
        <v>10.479988229789974</v>
      </c>
      <c r="V210" s="123"/>
      <c r="W210" s="123"/>
      <c r="X210" s="123"/>
      <c r="Y210" s="123"/>
      <c r="Z210" s="123"/>
      <c r="AA210" s="123"/>
      <c r="AB210" s="123"/>
      <c r="AC210" s="123"/>
      <c r="AD210" s="123"/>
      <c r="AE210" s="123"/>
      <c r="AF210" s="123"/>
      <c r="AG210" s="123"/>
      <c r="AH210" s="123"/>
      <c r="AI210" s="123"/>
      <c r="AJ210" s="123"/>
      <c r="AK210" s="123"/>
      <c r="AL210" s="123"/>
      <c r="AM210" s="123">
        <v>0</v>
      </c>
      <c r="AN210" s="123">
        <v>0</v>
      </c>
      <c r="AO210" s="123">
        <v>0</v>
      </c>
      <c r="AP210" s="316">
        <v>0</v>
      </c>
      <c r="AQ210" s="316">
        <v>0</v>
      </c>
      <c r="AR210" s="316">
        <v>0</v>
      </c>
      <c r="AS210" s="316">
        <v>0</v>
      </c>
      <c r="AT210" s="316">
        <v>0</v>
      </c>
      <c r="AU210" s="316">
        <v>0</v>
      </c>
      <c r="AV210" s="129">
        <v>13.413113259999999</v>
      </c>
      <c r="AW210" s="129"/>
      <c r="AX210" s="129"/>
      <c r="AY210" s="129"/>
      <c r="AZ210" s="129"/>
      <c r="BA210" s="129">
        <v>3.4579025999999999E-2</v>
      </c>
      <c r="BB210" s="129">
        <v>41.929009999999998</v>
      </c>
      <c r="BC210" s="129">
        <v>43.189610000000002</v>
      </c>
      <c r="BD210" s="129">
        <v>46.915320000000001</v>
      </c>
      <c r="BE210" s="129">
        <v>51.052590000000002</v>
      </c>
      <c r="BF210" s="129">
        <v>29.300560000000001</v>
      </c>
      <c r="BG210" s="130">
        <v>1.276451</v>
      </c>
      <c r="BH210" s="130">
        <v>1.1407039999999999</v>
      </c>
      <c r="BI210" s="130">
        <v>0.303921</v>
      </c>
      <c r="BJ210" s="130">
        <v>0.25139899999999998</v>
      </c>
      <c r="BK210" s="130">
        <v>0.44985700000000001</v>
      </c>
    </row>
    <row r="211" spans="1:63">
      <c r="A211">
        <f t="shared" si="1"/>
        <v>208</v>
      </c>
      <c r="B211" t="s">
        <v>425</v>
      </c>
      <c r="C211" t="str">
        <f>INDEX(EPD_Measures,8)</f>
        <v>Renewable energy resources</v>
      </c>
      <c r="D211" t="str">
        <f>INDEX(EPD_Calc_Units,8)</f>
        <v>MJ</v>
      </c>
      <c r="E211" s="123">
        <v>4.5054377999999999E-2</v>
      </c>
      <c r="F211" s="123">
        <f>E211*'Supplemental LCA Data'!$E$57</f>
        <v>4.0886668392344505E-2</v>
      </c>
      <c r="G211" s="123">
        <v>2.8089999999999999E-3</v>
      </c>
      <c r="H211" s="123">
        <v>9.4700000000000003E-4</v>
      </c>
      <c r="I211" s="123">
        <v>9.3622699999999998E-4</v>
      </c>
      <c r="J211" s="123">
        <v>9.4700000000000003E-4</v>
      </c>
      <c r="K211" s="123"/>
      <c r="L211" s="123"/>
      <c r="M211" s="123">
        <v>0</v>
      </c>
      <c r="N211" s="123">
        <v>0</v>
      </c>
      <c r="O211" s="123">
        <v>0</v>
      </c>
      <c r="P211" s="123">
        <f>'Supplemental LCA Data'!$AC$52</f>
        <v>0</v>
      </c>
      <c r="Q211" s="123">
        <f>'Supplemental LCA Data'!$AD$52</f>
        <v>0</v>
      </c>
      <c r="R211" s="123">
        <f>'Supplemental LCA Data'!$AE$52</f>
        <v>0</v>
      </c>
      <c r="S211" s="123">
        <f>'Supplemental LCA Data'!$AF$52</f>
        <v>0</v>
      </c>
      <c r="T211" s="123">
        <f>'Supplemental LCA Data'!$AG$52</f>
        <v>0</v>
      </c>
      <c r="U211" s="123">
        <f>'Supplemental LCA Data'!$AH$52</f>
        <v>0</v>
      </c>
      <c r="V211" s="123"/>
      <c r="W211" s="123"/>
      <c r="X211" s="123"/>
      <c r="Y211" s="123"/>
      <c r="Z211" s="123"/>
      <c r="AA211" s="123"/>
      <c r="AB211" s="123"/>
      <c r="AC211" s="123"/>
      <c r="AD211" s="123"/>
      <c r="AE211" s="123"/>
      <c r="AF211" s="123"/>
      <c r="AG211" s="123"/>
      <c r="AH211" s="123"/>
      <c r="AI211" s="123"/>
      <c r="AJ211" s="123"/>
      <c r="AK211" s="123"/>
      <c r="AL211" s="123"/>
      <c r="AM211" s="123">
        <v>0</v>
      </c>
      <c r="AN211" s="123">
        <v>0</v>
      </c>
      <c r="AO211" s="123">
        <v>0</v>
      </c>
      <c r="AP211" s="316">
        <v>0</v>
      </c>
      <c r="AQ211" s="316">
        <v>0</v>
      </c>
      <c r="AR211" s="316">
        <v>0</v>
      </c>
      <c r="AS211" s="316">
        <v>0</v>
      </c>
      <c r="AT211" s="316">
        <v>0</v>
      </c>
      <c r="AU211" s="316">
        <v>0</v>
      </c>
      <c r="AV211" s="129">
        <v>0.31207576199999998</v>
      </c>
      <c r="AW211" s="129"/>
      <c r="AX211" s="129"/>
      <c r="AY211" s="129"/>
      <c r="AZ211" s="129"/>
      <c r="BA211" s="129">
        <v>0</v>
      </c>
      <c r="BB211" s="129">
        <v>6.1093000000000001E-2</v>
      </c>
      <c r="BC211" s="129">
        <v>1.9647000000000001E-2</v>
      </c>
      <c r="BD211" s="129">
        <v>6.8331000000000003E-2</v>
      </c>
      <c r="BE211" s="129">
        <v>7.4106000000000005E-2</v>
      </c>
      <c r="BF211" s="129">
        <v>4.2762000000000001E-2</v>
      </c>
      <c r="BG211" s="130">
        <v>1.853E-3</v>
      </c>
      <c r="BH211" s="130">
        <v>1.6559999999999999E-3</v>
      </c>
      <c r="BI211" s="130">
        <v>4.4099999999999999E-4</v>
      </c>
      <c r="BJ211" s="130">
        <v>3.6499999999999998E-4</v>
      </c>
      <c r="BK211" s="130">
        <v>6.5300000000000004E-4</v>
      </c>
    </row>
    <row r="212" spans="1:63">
      <c r="A212">
        <f t="shared" si="1"/>
        <v>209</v>
      </c>
      <c r="B212" t="s">
        <v>425</v>
      </c>
      <c r="C212" t="str">
        <f>INDEX(EPD_Measures,9)</f>
        <v>Material resources consumption</v>
      </c>
      <c r="D212" t="str">
        <f>INDEX(EPD_Calc_Units,9)</f>
        <v>kg</v>
      </c>
      <c r="E212" s="123">
        <v>1.6270211299999999</v>
      </c>
      <c r="F212" s="123">
        <f>E212*'Supplemental LCA Data'!$E$58</f>
        <v>1.6270211299999999</v>
      </c>
      <c r="G212" s="123">
        <v>1.0000015600000001</v>
      </c>
      <c r="H212" s="123">
        <v>1.0000021111778816</v>
      </c>
      <c r="I212" s="123">
        <v>1.0000015600000001</v>
      </c>
      <c r="J212" s="123">
        <v>1.0000021111778816</v>
      </c>
      <c r="K212" s="123"/>
      <c r="L212" s="123"/>
      <c r="M212" s="123">
        <v>0</v>
      </c>
      <c r="N212" s="123">
        <v>0</v>
      </c>
      <c r="O212" s="123">
        <v>0</v>
      </c>
      <c r="P212" s="123">
        <f>'Supplemental LCA Data'!$AC$53</f>
        <v>0</v>
      </c>
      <c r="Q212" s="123">
        <f>'Supplemental LCA Data'!$AD$53</f>
        <v>0</v>
      </c>
      <c r="R212" s="123">
        <f>'Supplemental LCA Data'!$AE$53</f>
        <v>0</v>
      </c>
      <c r="S212" s="123">
        <f>'Supplemental LCA Data'!$AF$53</f>
        <v>0</v>
      </c>
      <c r="T212" s="123">
        <f>'Supplemental LCA Data'!$AG$53</f>
        <v>0</v>
      </c>
      <c r="U212" s="123">
        <f>'Supplemental LCA Data'!$AH$53</f>
        <v>0</v>
      </c>
      <c r="V212" s="123"/>
      <c r="W212" s="123"/>
      <c r="X212" s="123"/>
      <c r="Y212" s="123"/>
      <c r="Z212" s="123"/>
      <c r="AA212" s="123"/>
      <c r="AB212" s="123"/>
      <c r="AC212" s="123"/>
      <c r="AD212" s="123"/>
      <c r="AE212" s="123"/>
      <c r="AF212" s="123"/>
      <c r="AG212" s="123"/>
      <c r="AH212" s="123"/>
      <c r="AI212" s="123"/>
      <c r="AJ212" s="123"/>
      <c r="AK212" s="123"/>
      <c r="AL212" s="123"/>
      <c r="AM212" s="123">
        <v>0</v>
      </c>
      <c r="AN212" s="123">
        <v>0</v>
      </c>
      <c r="AO212" s="123">
        <v>0</v>
      </c>
      <c r="AP212" s="316">
        <v>0</v>
      </c>
      <c r="AQ212" s="316">
        <v>0</v>
      </c>
      <c r="AR212" s="316">
        <v>0</v>
      </c>
      <c r="AS212" s="316">
        <v>0</v>
      </c>
      <c r="AT212" s="316">
        <v>0</v>
      </c>
      <c r="AU212" s="316">
        <v>0</v>
      </c>
      <c r="AV212" s="129">
        <v>0</v>
      </c>
      <c r="AW212" s="129"/>
      <c r="AX212" s="129"/>
      <c r="AY212" s="129"/>
      <c r="AZ212" s="129"/>
      <c r="BA212" s="129">
        <v>0.84323164500000003</v>
      </c>
      <c r="BB212" s="129">
        <v>0</v>
      </c>
      <c r="BC212" s="129">
        <v>0</v>
      </c>
      <c r="BD212" s="129">
        <v>0</v>
      </c>
      <c r="BE212" s="129">
        <v>0</v>
      </c>
      <c r="BF212" s="129">
        <v>0</v>
      </c>
      <c r="BG212" s="130">
        <v>0</v>
      </c>
      <c r="BH212" s="130">
        <v>0</v>
      </c>
      <c r="BI212" s="130">
        <v>0</v>
      </c>
      <c r="BJ212" s="130">
        <v>0</v>
      </c>
      <c r="BK212" s="130">
        <v>0</v>
      </c>
    </row>
    <row r="213" spans="1:63">
      <c r="A213">
        <f t="shared" si="1"/>
        <v>210</v>
      </c>
      <c r="B213" t="s">
        <v>425</v>
      </c>
      <c r="C213" t="str">
        <f>INDEX(EPD_Measures,10)</f>
        <v>Nonrenewable material resources</v>
      </c>
      <c r="D213" t="str">
        <f>INDEX(EPD_Calc_Units,10)</f>
        <v>kg</v>
      </c>
      <c r="E213" s="123">
        <v>1.6269560000000001</v>
      </c>
      <c r="F213" s="123">
        <f>E213*'Supplemental LCA Data'!$E$59</f>
        <v>1.6269560000000001</v>
      </c>
      <c r="G213" s="123">
        <v>1</v>
      </c>
      <c r="H213" s="123">
        <v>1.0000001919173316</v>
      </c>
      <c r="I213" s="123">
        <v>1</v>
      </c>
      <c r="J213" s="123">
        <v>1.0000001919173316</v>
      </c>
      <c r="K213" s="123"/>
      <c r="L213" s="123"/>
      <c r="M213" s="123">
        <v>0</v>
      </c>
      <c r="N213" s="123">
        <v>0</v>
      </c>
      <c r="O213" s="123">
        <v>0</v>
      </c>
      <c r="P213" s="123">
        <f>'Supplemental LCA Data'!$AC$54</f>
        <v>0</v>
      </c>
      <c r="Q213" s="123">
        <f>'Supplemental LCA Data'!$AD$54</f>
        <v>0</v>
      </c>
      <c r="R213" s="123">
        <f>'Supplemental LCA Data'!$AE$54</f>
        <v>0</v>
      </c>
      <c r="S213" s="123">
        <f>'Supplemental LCA Data'!$AF$54</f>
        <v>0</v>
      </c>
      <c r="T213" s="123">
        <f>'Supplemental LCA Data'!$AG$54</f>
        <v>0</v>
      </c>
      <c r="U213" s="123">
        <f>'Supplemental LCA Data'!$AH$54</f>
        <v>0</v>
      </c>
      <c r="V213" s="123"/>
      <c r="W213" s="123"/>
      <c r="X213" s="123"/>
      <c r="Y213" s="123"/>
      <c r="Z213" s="123"/>
      <c r="AA213" s="123"/>
      <c r="AB213" s="123"/>
      <c r="AC213" s="123"/>
      <c r="AD213" s="123"/>
      <c r="AE213" s="123"/>
      <c r="AF213" s="123"/>
      <c r="AG213" s="123"/>
      <c r="AH213" s="123"/>
      <c r="AI213" s="123"/>
      <c r="AJ213" s="123"/>
      <c r="AK213" s="123"/>
      <c r="AL213" s="123"/>
      <c r="AM213" s="123">
        <v>0</v>
      </c>
      <c r="AN213" s="123">
        <v>0</v>
      </c>
      <c r="AO213" s="123">
        <v>0</v>
      </c>
      <c r="AP213" s="316">
        <v>0</v>
      </c>
      <c r="AQ213" s="316">
        <v>0</v>
      </c>
      <c r="AR213" s="316">
        <v>0</v>
      </c>
      <c r="AS213" s="316">
        <v>0</v>
      </c>
      <c r="AT213" s="316">
        <v>0</v>
      </c>
      <c r="AU213" s="316">
        <v>0</v>
      </c>
      <c r="AV213" s="129">
        <v>0</v>
      </c>
      <c r="AW213" s="129"/>
      <c r="AX213" s="129"/>
      <c r="AY213" s="129"/>
      <c r="AZ213" s="129"/>
      <c r="BA213" s="129">
        <v>0</v>
      </c>
      <c r="BB213" s="129">
        <v>0</v>
      </c>
      <c r="BC213" s="129">
        <v>0</v>
      </c>
      <c r="BD213" s="129">
        <v>0</v>
      </c>
      <c r="BE213" s="129">
        <v>0</v>
      </c>
      <c r="BF213" s="129">
        <v>0</v>
      </c>
      <c r="BG213" s="130">
        <v>0</v>
      </c>
      <c r="BH213" s="130">
        <v>0</v>
      </c>
      <c r="BI213" s="130">
        <v>0</v>
      </c>
      <c r="BJ213" s="130">
        <v>0</v>
      </c>
      <c r="BK213" s="130">
        <v>0</v>
      </c>
    </row>
    <row r="214" spans="1:63">
      <c r="A214">
        <f t="shared" si="1"/>
        <v>211</v>
      </c>
      <c r="B214" t="s">
        <v>425</v>
      </c>
      <c r="C214" t="str">
        <f>INDEX(EPD_Measures,11)</f>
        <v>Renewable material resources</v>
      </c>
      <c r="D214" t="str">
        <f>INDEX(EPD_Calc_Units,11)</f>
        <v>kg</v>
      </c>
      <c r="E214" s="123">
        <v>6.5130399999999996E-5</v>
      </c>
      <c r="F214" s="123">
        <f>E214*'Supplemental LCA Data'!$E$60</f>
        <v>6.5130399999999996E-5</v>
      </c>
      <c r="G214" s="123">
        <v>1.5600000000000001E-6</v>
      </c>
      <c r="H214" s="123">
        <v>1.9192605499999998E-6</v>
      </c>
      <c r="I214" s="123">
        <v>1.5600000000000001E-6</v>
      </c>
      <c r="J214" s="123">
        <v>1.9192605499999998E-6</v>
      </c>
      <c r="K214" s="123"/>
      <c r="L214" s="123"/>
      <c r="M214" s="123">
        <v>0</v>
      </c>
      <c r="N214" s="123">
        <v>0</v>
      </c>
      <c r="O214" s="123">
        <v>0</v>
      </c>
      <c r="P214" s="123">
        <f>'Supplemental LCA Data'!$AC$55</f>
        <v>0</v>
      </c>
      <c r="Q214" s="123">
        <f>'Supplemental LCA Data'!$AD$55</f>
        <v>0</v>
      </c>
      <c r="R214" s="123">
        <f>'Supplemental LCA Data'!$AE$55</f>
        <v>0</v>
      </c>
      <c r="S214" s="123">
        <f>'Supplemental LCA Data'!$AF$55</f>
        <v>0</v>
      </c>
      <c r="T214" s="123">
        <f>'Supplemental LCA Data'!$AG$55</f>
        <v>0</v>
      </c>
      <c r="U214" s="123">
        <f>'Supplemental LCA Data'!$AH$55</f>
        <v>0</v>
      </c>
      <c r="V214" s="123"/>
      <c r="W214" s="123"/>
      <c r="X214" s="123"/>
      <c r="Y214" s="123"/>
      <c r="Z214" s="123"/>
      <c r="AA214" s="123"/>
      <c r="AB214" s="123"/>
      <c r="AC214" s="123"/>
      <c r="AD214" s="123"/>
      <c r="AE214" s="123"/>
      <c r="AF214" s="123"/>
      <c r="AG214" s="123"/>
      <c r="AH214" s="123"/>
      <c r="AI214" s="123"/>
      <c r="AJ214" s="123"/>
      <c r="AK214" s="123"/>
      <c r="AL214" s="123"/>
      <c r="AM214" s="123">
        <v>0</v>
      </c>
      <c r="AN214" s="123">
        <v>0</v>
      </c>
      <c r="AO214" s="123">
        <v>0</v>
      </c>
      <c r="AP214" s="316">
        <v>0</v>
      </c>
      <c r="AQ214" s="316">
        <v>0</v>
      </c>
      <c r="AR214" s="316">
        <v>0</v>
      </c>
      <c r="AS214" s="316">
        <v>0</v>
      </c>
      <c r="AT214" s="316">
        <v>0</v>
      </c>
      <c r="AU214" s="316">
        <v>0</v>
      </c>
      <c r="AV214" s="129">
        <v>0</v>
      </c>
      <c r="AW214" s="129"/>
      <c r="AX214" s="129"/>
      <c r="AY214" s="129"/>
      <c r="AZ214" s="129"/>
      <c r="BA214" s="129">
        <v>0.84323164500000003</v>
      </c>
      <c r="BB214" s="129">
        <v>0</v>
      </c>
      <c r="BC214" s="129">
        <v>0</v>
      </c>
      <c r="BD214" s="129">
        <v>0</v>
      </c>
      <c r="BE214" s="129">
        <v>0</v>
      </c>
      <c r="BF214" s="129">
        <v>0</v>
      </c>
      <c r="BG214" s="130">
        <v>0</v>
      </c>
      <c r="BH214" s="130">
        <v>0</v>
      </c>
      <c r="BI214" s="130">
        <v>0</v>
      </c>
      <c r="BJ214" s="130">
        <v>0</v>
      </c>
      <c r="BK214" s="130">
        <v>0</v>
      </c>
    </row>
    <row r="215" spans="1:63">
      <c r="A215">
        <f t="shared" si="1"/>
        <v>212</v>
      </c>
      <c r="B215" t="s">
        <v>425</v>
      </c>
      <c r="C215" t="str">
        <f>INDEX(EPD_Measures,12)</f>
        <v>Net Fresh Water</v>
      </c>
      <c r="D215" t="str">
        <f>INDEX(EPD_Calc_Units,12)</f>
        <v>m3</v>
      </c>
      <c r="E215" s="123">
        <v>8.4060799999999996E-4</v>
      </c>
      <c r="F215" s="123">
        <f>E215*'Supplemental LCA Data'!$E$61</f>
        <v>7.5654719999999995E-4</v>
      </c>
      <c r="G215" s="123">
        <f>$G$1+0</f>
        <v>6.7500000000000004E-4</v>
      </c>
      <c r="H215" s="123">
        <f>$G$1+0.000000717</f>
        <v>6.7571700000000005E-4</v>
      </c>
      <c r="I215" s="123">
        <f>$G$1+0</f>
        <v>6.7500000000000004E-4</v>
      </c>
      <c r="J215" s="123">
        <f>$G$1+0.000000717</f>
        <v>6.7571700000000005E-4</v>
      </c>
      <c r="K215" s="123">
        <v>0</v>
      </c>
      <c r="L215" s="123">
        <v>0</v>
      </c>
      <c r="M215" s="123">
        <v>0</v>
      </c>
      <c r="N215" s="123">
        <v>0</v>
      </c>
      <c r="O215" s="123">
        <v>0</v>
      </c>
      <c r="P215" s="123">
        <f>'Supplemental LCA Data'!$AC$56</f>
        <v>0</v>
      </c>
      <c r="Q215" s="123">
        <f>'Supplemental LCA Data'!$AD$56</f>
        <v>0</v>
      </c>
      <c r="R215" s="123">
        <f>'Supplemental LCA Data'!$AE$56</f>
        <v>0</v>
      </c>
      <c r="S215" s="123">
        <f>'Supplemental LCA Data'!$AF$56</f>
        <v>0</v>
      </c>
      <c r="T215" s="123">
        <f>'Supplemental LCA Data'!$AG$56</f>
        <v>0</v>
      </c>
      <c r="U215" s="123">
        <f>'Supplemental LCA Data'!$AH$56</f>
        <v>0</v>
      </c>
      <c r="V215" s="123">
        <v>0.11500386618134965</v>
      </c>
      <c r="W215" s="123">
        <f>'Supplemental LCA Data'!$E$73/1000</f>
        <v>13.732079207907059</v>
      </c>
      <c r="X215" s="123">
        <f>'Supplemental LCA Data'!$F$73/1000</f>
        <v>13.896554340061131</v>
      </c>
      <c r="Y215" s="123">
        <f>'Supplemental LCA Data'!$G$73/1000</f>
        <v>14.675578391799121</v>
      </c>
      <c r="Z215" s="123">
        <f t="shared" si="3"/>
        <v>15.105287128697766</v>
      </c>
      <c r="AA215" s="123">
        <v>0</v>
      </c>
      <c r="AB215" s="123">
        <v>0</v>
      </c>
      <c r="AC215" s="123">
        <f t="shared" si="2"/>
        <v>13.732079207907059</v>
      </c>
      <c r="AD215" s="123">
        <v>0</v>
      </c>
      <c r="AE215" s="123">
        <v>0</v>
      </c>
      <c r="AF215" s="123">
        <v>0</v>
      </c>
      <c r="AG215" s="123">
        <v>6.6615854003756548E-4</v>
      </c>
      <c r="AH215" s="123">
        <v>8.5599624991234465E-3</v>
      </c>
      <c r="AI215" s="123">
        <v>3.5226266152208971E-4</v>
      </c>
      <c r="AJ215" s="123">
        <v>3.9507938615937904E-3</v>
      </c>
      <c r="AK215" s="123">
        <v>7.4033158500000001E-2</v>
      </c>
      <c r="AL215" s="123">
        <v>0</v>
      </c>
      <c r="AM215" s="123">
        <v>0</v>
      </c>
      <c r="AN215" s="123">
        <v>0</v>
      </c>
      <c r="AO215" s="123">
        <v>0</v>
      </c>
      <c r="AP215" s="316">
        <v>0</v>
      </c>
      <c r="AQ215" s="316">
        <v>0</v>
      </c>
      <c r="AR215" s="316">
        <v>0</v>
      </c>
      <c r="AS215" s="316">
        <v>0</v>
      </c>
      <c r="AT215" s="316">
        <v>0</v>
      </c>
      <c r="AU215" s="316">
        <v>0</v>
      </c>
      <c r="AV215" s="129">
        <v>0</v>
      </c>
      <c r="AW215" s="129">
        <v>0</v>
      </c>
      <c r="AX215" s="129">
        <v>0</v>
      </c>
      <c r="AY215" s="129">
        <v>0</v>
      </c>
      <c r="AZ215" s="129">
        <v>0</v>
      </c>
      <c r="BA215" s="129">
        <v>0</v>
      </c>
      <c r="BB215" s="129">
        <v>0</v>
      </c>
      <c r="BC215" s="129">
        <v>0</v>
      </c>
      <c r="BD215" s="129">
        <v>0</v>
      </c>
      <c r="BE215" s="129">
        <v>0</v>
      </c>
      <c r="BF215" s="129">
        <v>0</v>
      </c>
      <c r="BG215" s="130">
        <v>0</v>
      </c>
      <c r="BH215" s="130">
        <v>0</v>
      </c>
      <c r="BI215" s="130">
        <v>0</v>
      </c>
      <c r="BJ215" s="130">
        <v>0</v>
      </c>
      <c r="BK215" s="130">
        <v>0</v>
      </c>
    </row>
    <row r="216" spans="1:63">
      <c r="A216">
        <f t="shared" si="1"/>
        <v>213</v>
      </c>
      <c r="B216" t="s">
        <v>425</v>
      </c>
      <c r="C216" t="str">
        <f>INDEX(EPD_Measures,13)</f>
        <v>Non-hazardous waste generated</v>
      </c>
      <c r="D216" t="str">
        <f>INDEX(EPD_Calc_Units,13)</f>
        <v>kg</v>
      </c>
      <c r="E216" s="123">
        <v>0</v>
      </c>
      <c r="F216" s="123">
        <f>E216*'Supplemental LCA Data'!$E$62</f>
        <v>0</v>
      </c>
      <c r="G216" s="123">
        <v>0</v>
      </c>
      <c r="H216" s="123">
        <v>0</v>
      </c>
      <c r="I216" s="123">
        <v>0</v>
      </c>
      <c r="J216" s="123">
        <v>0</v>
      </c>
      <c r="K216" s="123"/>
      <c r="L216" s="123"/>
      <c r="M216" s="123">
        <v>0</v>
      </c>
      <c r="N216" s="123">
        <v>0</v>
      </c>
      <c r="O216" s="123">
        <v>0</v>
      </c>
      <c r="P216" s="123">
        <f>'Supplemental LCA Data'!$AC$57</f>
        <v>0</v>
      </c>
      <c r="Q216" s="123">
        <f>'Supplemental LCA Data'!$AD$57</f>
        <v>0</v>
      </c>
      <c r="R216" s="123">
        <f>'Supplemental LCA Data'!$AE$57</f>
        <v>0</v>
      </c>
      <c r="S216" s="123">
        <f>'Supplemental LCA Data'!$AF$57</f>
        <v>0</v>
      </c>
      <c r="T216" s="123">
        <f>'Supplemental LCA Data'!$AG$57</f>
        <v>0</v>
      </c>
      <c r="U216" s="123">
        <f>'Supplemental LCA Data'!$AH$57</f>
        <v>0</v>
      </c>
      <c r="V216" s="123"/>
      <c r="W216" s="123"/>
      <c r="X216" s="123"/>
      <c r="Y216" s="123"/>
      <c r="Z216" s="123"/>
      <c r="AA216" s="123"/>
      <c r="AB216" s="123"/>
      <c r="AC216" s="123"/>
      <c r="AD216" s="123"/>
      <c r="AE216" s="123"/>
      <c r="AF216" s="123"/>
      <c r="AG216" s="123"/>
      <c r="AH216" s="123"/>
      <c r="AI216" s="123"/>
      <c r="AJ216" s="123"/>
      <c r="AK216" s="123"/>
      <c r="AL216" s="123"/>
      <c r="AM216" s="123">
        <v>0</v>
      </c>
      <c r="AN216" s="123">
        <v>0</v>
      </c>
      <c r="AO216" s="123">
        <v>0</v>
      </c>
      <c r="AP216" s="316">
        <v>0</v>
      </c>
      <c r="AQ216" s="316">
        <v>0</v>
      </c>
      <c r="AR216" s="316">
        <v>0</v>
      </c>
      <c r="AS216" s="316">
        <v>0</v>
      </c>
      <c r="AT216" s="316">
        <v>0</v>
      </c>
      <c r="AU216" s="316">
        <v>0</v>
      </c>
      <c r="AV216" s="129">
        <v>0</v>
      </c>
      <c r="AW216" s="129"/>
      <c r="AX216" s="129"/>
      <c r="AY216" s="129"/>
      <c r="AZ216" s="129"/>
      <c r="BA216" s="129">
        <v>0</v>
      </c>
      <c r="BB216" s="129">
        <v>0</v>
      </c>
      <c r="BC216" s="129">
        <v>0</v>
      </c>
      <c r="BD216" s="129">
        <v>0</v>
      </c>
      <c r="BE216" s="129">
        <v>0</v>
      </c>
      <c r="BF216" s="129">
        <v>0</v>
      </c>
      <c r="BG216" s="130">
        <v>0</v>
      </c>
      <c r="BH216" s="130">
        <v>0</v>
      </c>
      <c r="BI216" s="130">
        <v>0</v>
      </c>
      <c r="BJ216" s="130">
        <v>0</v>
      </c>
      <c r="BK216" s="130">
        <v>0</v>
      </c>
    </row>
    <row r="217" spans="1:63">
      <c r="A217">
        <f t="shared" ref="A217" si="4">ROW($A217)-ROW($A$4)+1</f>
        <v>214</v>
      </c>
      <c r="B217" t="s">
        <v>425</v>
      </c>
      <c r="C217" t="str">
        <f>INDEX(EPD_Measures,14)</f>
        <v>Hazardous waste generated</v>
      </c>
      <c r="D217" t="str">
        <f>INDEX(EPD_Calc_Units,14)</f>
        <v>kg</v>
      </c>
      <c r="E217" s="123">
        <v>0</v>
      </c>
      <c r="F217" s="123">
        <f>E217*'Supplemental LCA Data'!$E$63</f>
        <v>0</v>
      </c>
      <c r="G217" s="123">
        <v>0</v>
      </c>
      <c r="H217" s="123">
        <v>0</v>
      </c>
      <c r="I217" s="123">
        <v>0</v>
      </c>
      <c r="J217" s="123">
        <v>0</v>
      </c>
      <c r="K217" s="123"/>
      <c r="L217" s="123"/>
      <c r="M217" s="123">
        <v>0</v>
      </c>
      <c r="N217" s="123">
        <v>0</v>
      </c>
      <c r="O217" s="123">
        <v>0</v>
      </c>
      <c r="P217" s="123">
        <f>'Supplemental LCA Data'!$AC$58</f>
        <v>0</v>
      </c>
      <c r="Q217" s="123">
        <f>'Supplemental LCA Data'!$AD$58</f>
        <v>0</v>
      </c>
      <c r="R217" s="123">
        <f>'Supplemental LCA Data'!$AE$58</f>
        <v>0</v>
      </c>
      <c r="S217" s="123">
        <f>'Supplemental LCA Data'!$AF$58</f>
        <v>0</v>
      </c>
      <c r="T217" s="123">
        <f>'Supplemental LCA Data'!$AG$58</f>
        <v>0</v>
      </c>
      <c r="U217" s="123">
        <f>'Supplemental LCA Data'!$AH$58</f>
        <v>0</v>
      </c>
      <c r="V217" s="123"/>
      <c r="W217" s="123"/>
      <c r="X217" s="123"/>
      <c r="Y217" s="123"/>
      <c r="Z217" s="123"/>
      <c r="AA217" s="123"/>
      <c r="AB217" s="123"/>
      <c r="AC217" s="123"/>
      <c r="AD217" s="123"/>
      <c r="AE217" s="123"/>
      <c r="AF217" s="123"/>
      <c r="AG217" s="123"/>
      <c r="AH217" s="123"/>
      <c r="AI217" s="123"/>
      <c r="AJ217" s="123"/>
      <c r="AK217" s="123"/>
      <c r="AL217" s="123"/>
      <c r="AM217" s="123">
        <v>0</v>
      </c>
      <c r="AN217" s="123">
        <v>0</v>
      </c>
      <c r="AO217" s="123">
        <v>0</v>
      </c>
      <c r="AP217" s="316">
        <v>0</v>
      </c>
      <c r="AQ217" s="316">
        <v>0</v>
      </c>
      <c r="AR217" s="316">
        <v>0</v>
      </c>
      <c r="AS217" s="316">
        <v>0</v>
      </c>
      <c r="AT217" s="316">
        <v>0</v>
      </c>
      <c r="AU217" s="316">
        <v>0</v>
      </c>
      <c r="AV217" s="129">
        <v>0</v>
      </c>
      <c r="AW217" s="129"/>
      <c r="AX217" s="129"/>
      <c r="AY217" s="129"/>
      <c r="AZ217" s="129"/>
      <c r="BA217" s="129">
        <v>0</v>
      </c>
      <c r="BB217" s="129">
        <v>0</v>
      </c>
      <c r="BC217" s="129">
        <v>0</v>
      </c>
      <c r="BD217" s="129">
        <v>0</v>
      </c>
      <c r="BE217" s="129">
        <v>0</v>
      </c>
      <c r="BF217" s="129">
        <v>0</v>
      </c>
      <c r="BG217" s="130">
        <v>0</v>
      </c>
      <c r="BH217" s="130">
        <v>0</v>
      </c>
      <c r="BI217" s="130">
        <v>0</v>
      </c>
      <c r="BJ217" s="130">
        <v>0</v>
      </c>
      <c r="BK217" s="130">
        <v>0</v>
      </c>
    </row>
    <row r="222" spans="1:63">
      <c r="E222" s="108"/>
      <c r="F222" s="108"/>
    </row>
    <row r="223" spans="1:63">
      <c r="E223" s="108"/>
      <c r="F223" s="108"/>
    </row>
  </sheetData>
  <sheetProtection password="840D" sheet="1" objects="1" scenarios="1" selectLockedCells="1" selectUnlockedCells="1"/>
  <mergeCells count="4">
    <mergeCell ref="E3:AO3"/>
    <mergeCell ref="AV3:BF3"/>
    <mergeCell ref="BG3:BK3"/>
    <mergeCell ref="AP3:AU3"/>
  </mergeCells>
  <conditionalFormatting sqref="E8:BK217">
    <cfRule type="cellIs" dxfId="0" priority="1" operator="equal">
      <formula>0</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H90"/>
  <sheetViews>
    <sheetView topLeftCell="A43" workbookViewId="0">
      <selection activeCell="E62" sqref="E62"/>
    </sheetView>
  </sheetViews>
  <sheetFormatPr baseColWidth="10" defaultColWidth="8.83203125" defaultRowHeight="13"/>
  <cols>
    <col min="1" max="1" width="19.83203125" style="367" customWidth="1"/>
    <col min="2" max="2" width="9.83203125" style="367" customWidth="1"/>
    <col min="3" max="3" width="41.6640625" style="367" customWidth="1"/>
    <col min="4" max="4" width="12.5" style="367" customWidth="1"/>
    <col min="5" max="5" width="12.6640625" style="367" customWidth="1"/>
    <col min="6" max="12" width="11.5" style="367" customWidth="1"/>
    <col min="13" max="27" width="8.83203125" style="367"/>
    <col min="28" max="28" width="30.33203125" style="367" bestFit="1" customWidth="1"/>
    <col min="29" max="16384" width="8.83203125" style="367"/>
  </cols>
  <sheetData>
    <row r="1" spans="1:27">
      <c r="A1" s="374" t="s">
        <v>562</v>
      </c>
      <c r="Q1" s="367" t="s">
        <v>569</v>
      </c>
    </row>
    <row r="2" spans="1:27">
      <c r="C2" s="367" t="s">
        <v>512</v>
      </c>
      <c r="E2" s="367" t="s">
        <v>513</v>
      </c>
      <c r="F2" s="367" t="s">
        <v>514</v>
      </c>
      <c r="G2" s="367" t="s">
        <v>515</v>
      </c>
      <c r="H2" s="367" t="s">
        <v>516</v>
      </c>
      <c r="I2" s="367" t="s">
        <v>517</v>
      </c>
      <c r="J2" s="367" t="s">
        <v>518</v>
      </c>
      <c r="K2" s="367" t="s">
        <v>519</v>
      </c>
      <c r="L2" s="367" t="s">
        <v>520</v>
      </c>
      <c r="Q2" s="367" t="str">
        <f>E2</f>
        <v>GWP</v>
      </c>
      <c r="R2" s="367" t="str">
        <f t="shared" ref="R2:U3" si="0">F2</f>
        <v>OZD</v>
      </c>
      <c r="S2" s="367" t="str">
        <f t="shared" si="0"/>
        <v>ACI</v>
      </c>
      <c r="T2" s="367" t="str">
        <f t="shared" si="0"/>
        <v>EUT</v>
      </c>
      <c r="U2" s="367" t="str">
        <f t="shared" si="0"/>
        <v>PCO</v>
      </c>
      <c r="V2" s="367" t="s">
        <v>518</v>
      </c>
    </row>
    <row r="3" spans="1:27">
      <c r="D3" s="367" t="s">
        <v>136</v>
      </c>
      <c r="E3" s="367" t="s">
        <v>521</v>
      </c>
      <c r="F3" s="367" t="s">
        <v>522</v>
      </c>
      <c r="G3" s="367" t="s">
        <v>523</v>
      </c>
      <c r="H3" s="367" t="s">
        <v>524</v>
      </c>
      <c r="I3" s="367" t="s">
        <v>525</v>
      </c>
      <c r="J3" s="367" t="s">
        <v>32</v>
      </c>
      <c r="K3" s="367" t="s">
        <v>526</v>
      </c>
      <c r="L3" s="367" t="s">
        <v>526</v>
      </c>
      <c r="Q3" s="367" t="str">
        <f>E3</f>
        <v>kg CO2 eq</v>
      </c>
      <c r="R3" s="367" t="str">
        <f t="shared" si="0"/>
        <v>kg CFC-11 eq</v>
      </c>
      <c r="S3" s="367" t="str">
        <f t="shared" si="0"/>
        <v>mol H+ eq</v>
      </c>
      <c r="T3" s="367" t="str">
        <f t="shared" si="0"/>
        <v>kg N eq</v>
      </c>
      <c r="U3" s="367" t="str">
        <f t="shared" si="0"/>
        <v>kg O3 eq</v>
      </c>
      <c r="V3" s="367" t="s">
        <v>32</v>
      </c>
    </row>
    <row r="4" spans="1:27">
      <c r="B4" s="367" t="s">
        <v>528</v>
      </c>
      <c r="C4" s="367" t="s">
        <v>529</v>
      </c>
      <c r="D4" s="367" t="s">
        <v>530</v>
      </c>
      <c r="E4" s="368">
        <v>0.421848</v>
      </c>
      <c r="F4" s="369">
        <v>4.6349635999999998E-9</v>
      </c>
      <c r="G4" s="369">
        <v>0.16642515999999999</v>
      </c>
      <c r="H4" s="369">
        <v>7.2864813000000003E-5</v>
      </c>
      <c r="I4" s="369">
        <v>3.9797576000000001E-2</v>
      </c>
      <c r="J4" s="368">
        <v>2.5456645</v>
      </c>
      <c r="K4" s="369">
        <v>0</v>
      </c>
      <c r="L4" s="369">
        <v>0</v>
      </c>
      <c r="N4" s="367">
        <f>$D$33</f>
        <v>0.45359290943563974</v>
      </c>
      <c r="O4" s="367" t="s">
        <v>22</v>
      </c>
      <c r="Q4" s="367">
        <f>E4*(1/$N4)</f>
        <v>0.93001453775999987</v>
      </c>
      <c r="R4" s="367">
        <f t="shared" ref="R4:V15" si="1">F4*(1/$N4)</f>
        <v>1.0218333451831999E-8</v>
      </c>
      <c r="S4" s="367">
        <f t="shared" si="1"/>
        <v>0.36690423623919993</v>
      </c>
      <c r="T4" s="367">
        <f t="shared" si="1"/>
        <v>1.6063922403605999E-4</v>
      </c>
      <c r="U4" s="367">
        <f t="shared" si="1"/>
        <v>8.7738532001120001E-2</v>
      </c>
      <c r="V4" s="367">
        <f t="shared" si="1"/>
        <v>5.6122228699899992</v>
      </c>
    </row>
    <row r="5" spans="1:27">
      <c r="B5" s="367" t="s">
        <v>531</v>
      </c>
      <c r="C5" s="367" t="s">
        <v>532</v>
      </c>
      <c r="D5" s="367" t="s">
        <v>530</v>
      </c>
      <c r="E5" s="368">
        <v>0</v>
      </c>
      <c r="F5" s="369">
        <v>0</v>
      </c>
      <c r="G5" s="369">
        <v>0</v>
      </c>
      <c r="H5" s="369">
        <v>0</v>
      </c>
      <c r="I5" s="369">
        <v>0</v>
      </c>
      <c r="J5" s="368">
        <v>0</v>
      </c>
      <c r="K5" s="369">
        <v>0</v>
      </c>
      <c r="L5" s="369">
        <v>0</v>
      </c>
      <c r="N5" s="367">
        <f>$D$33</f>
        <v>0.45359290943563974</v>
      </c>
      <c r="O5" s="367" t="s">
        <v>22</v>
      </c>
      <c r="Q5" s="367">
        <f t="shared" ref="Q5:Q15" si="2">E5*(1/$N5)</f>
        <v>0</v>
      </c>
      <c r="R5" s="367">
        <f t="shared" si="1"/>
        <v>0</v>
      </c>
      <c r="S5" s="367">
        <f t="shared" si="1"/>
        <v>0</v>
      </c>
      <c r="T5" s="367">
        <f t="shared" si="1"/>
        <v>0</v>
      </c>
      <c r="U5" s="367">
        <f t="shared" si="1"/>
        <v>0</v>
      </c>
      <c r="V5" s="367">
        <f t="shared" si="1"/>
        <v>0</v>
      </c>
    </row>
    <row r="6" spans="1:27">
      <c r="B6" s="367" t="s">
        <v>419</v>
      </c>
      <c r="C6" s="367" t="s">
        <v>533</v>
      </c>
      <c r="D6" s="367" t="s">
        <v>530</v>
      </c>
      <c r="E6" s="368">
        <v>9.0720000000000009E-2</v>
      </c>
      <c r="F6" s="369">
        <v>9.4591608000000005E-9</v>
      </c>
      <c r="G6" s="369">
        <v>2.0435440999999999E-2</v>
      </c>
      <c r="H6" s="369">
        <v>1.0626613E-4</v>
      </c>
      <c r="I6" s="369">
        <v>7.8335958000000008E-3</v>
      </c>
      <c r="J6" s="368">
        <v>1.2072252000000001</v>
      </c>
      <c r="K6" s="369">
        <v>0</v>
      </c>
      <c r="L6" s="369">
        <v>0</v>
      </c>
      <c r="N6" s="367">
        <f>$D$33</f>
        <v>0.45359290943563974</v>
      </c>
      <c r="O6" s="367" t="s">
        <v>22</v>
      </c>
      <c r="Q6" s="367">
        <f t="shared" si="2"/>
        <v>0.20000312640000001</v>
      </c>
      <c r="R6" s="367">
        <f t="shared" si="1"/>
        <v>2.0853855082896E-8</v>
      </c>
      <c r="S6" s="367">
        <f t="shared" si="1"/>
        <v>4.5052381937419991E-2</v>
      </c>
      <c r="T6" s="367">
        <f t="shared" si="1"/>
        <v>2.3427643552059998E-4</v>
      </c>
      <c r="U6" s="367">
        <f t="shared" si="1"/>
        <v>1.7270101972596E-2</v>
      </c>
      <c r="V6" s="367">
        <f t="shared" si="1"/>
        <v>2.6614728204240001</v>
      </c>
      <c r="Z6" s="367" t="s">
        <v>578</v>
      </c>
    </row>
    <row r="7" spans="1:27">
      <c r="B7" s="367" t="s">
        <v>534</v>
      </c>
      <c r="C7" s="367" t="s">
        <v>535</v>
      </c>
      <c r="D7" s="367" t="s">
        <v>530</v>
      </c>
      <c r="E7" s="368">
        <v>1.8144000000000001E-3</v>
      </c>
      <c r="F7" s="369">
        <v>1.647346E-10</v>
      </c>
      <c r="G7" s="369">
        <v>4.5521625000000002E-4</v>
      </c>
      <c r="H7" s="369">
        <v>2.9380252999999999E-6</v>
      </c>
      <c r="I7" s="369">
        <v>2.0303709999999999E-4</v>
      </c>
      <c r="J7" s="368">
        <v>2.4336955E-2</v>
      </c>
      <c r="K7" s="369">
        <v>0</v>
      </c>
      <c r="L7" s="369">
        <v>0</v>
      </c>
      <c r="N7" s="367">
        <f>$D$33</f>
        <v>0.45359290943563974</v>
      </c>
      <c r="O7" s="367" t="s">
        <v>22</v>
      </c>
      <c r="Q7" s="367">
        <f t="shared" si="2"/>
        <v>4.000062528E-3</v>
      </c>
      <c r="R7" s="367">
        <f t="shared" si="1"/>
        <v>3.6317719385199997E-10</v>
      </c>
      <c r="S7" s="367">
        <f t="shared" si="1"/>
        <v>1.003578849075E-3</v>
      </c>
      <c r="T7" s="367">
        <f t="shared" si="1"/>
        <v>6.4772293368859991E-6</v>
      </c>
      <c r="U7" s="367">
        <f t="shared" si="1"/>
        <v>4.4761965140199995E-4</v>
      </c>
      <c r="V7" s="367">
        <f t="shared" si="1"/>
        <v>5.3653737732099999E-2</v>
      </c>
      <c r="Z7" s="367" t="s">
        <v>513</v>
      </c>
      <c r="AA7" s="367" t="s">
        <v>518</v>
      </c>
    </row>
    <row r="8" spans="1:27">
      <c r="B8" s="367" t="s">
        <v>536</v>
      </c>
      <c r="C8" s="367" t="s">
        <v>537</v>
      </c>
      <c r="D8" s="367" t="s">
        <v>530</v>
      </c>
      <c r="E8" s="368">
        <v>2.7216000000000002E-3</v>
      </c>
      <c r="F8" s="369">
        <v>2.7633919000000001E-10</v>
      </c>
      <c r="G8" s="369">
        <v>7.2130306000000005E-4</v>
      </c>
      <c r="H8" s="369">
        <v>7.1067435999999998E-6</v>
      </c>
      <c r="I8" s="369">
        <v>2.4897301E-4</v>
      </c>
      <c r="J8" s="368">
        <v>5.6376689000000001E-2</v>
      </c>
      <c r="K8" s="369">
        <v>0</v>
      </c>
      <c r="L8" s="369">
        <v>0</v>
      </c>
      <c r="N8" s="367">
        <f>$D$33</f>
        <v>0.45359290943563974</v>
      </c>
      <c r="O8" s="367" t="s">
        <v>22</v>
      </c>
      <c r="Q8" s="367">
        <f t="shared" si="2"/>
        <v>6.0000937920000001E-3</v>
      </c>
      <c r="R8" s="367">
        <f t="shared" si="1"/>
        <v>6.0922290505779998E-10</v>
      </c>
      <c r="S8" s="367">
        <f t="shared" si="1"/>
        <v>1.5901991521372E-3</v>
      </c>
      <c r="T8" s="367">
        <f t="shared" si="1"/>
        <v>1.5667669075431998E-5</v>
      </c>
      <c r="U8" s="367">
        <f t="shared" si="1"/>
        <v>5.4889087730619992E-4</v>
      </c>
      <c r="V8" s="367">
        <f t="shared" si="1"/>
        <v>0.12428917610317999</v>
      </c>
      <c r="Z8" s="367" t="s">
        <v>521</v>
      </c>
      <c r="AA8" s="367" t="s">
        <v>32</v>
      </c>
    </row>
    <row r="9" spans="1:27">
      <c r="B9" s="367" t="s">
        <v>538</v>
      </c>
      <c r="C9" s="367" t="s">
        <v>539</v>
      </c>
      <c r="D9" s="367" t="s">
        <v>540</v>
      </c>
      <c r="E9" s="368">
        <v>4.2553191489361701E-2</v>
      </c>
      <c r="F9" s="369">
        <v>6.1244325999999997E-9</v>
      </c>
      <c r="G9" s="369">
        <v>1.0648872E-2</v>
      </c>
      <c r="H9" s="369">
        <v>3.315078E-5</v>
      </c>
      <c r="I9" s="369">
        <v>2.0301384E-3</v>
      </c>
      <c r="J9" s="368">
        <v>0.71620212999999999</v>
      </c>
      <c r="K9" s="369">
        <v>0</v>
      </c>
      <c r="L9" s="369">
        <v>0</v>
      </c>
      <c r="N9" s="367">
        <f t="shared" ref="N9:N14" si="3">1/$D$34*$D$28</f>
        <v>3.543694604965935E-2</v>
      </c>
      <c r="O9" s="367" t="s">
        <v>22</v>
      </c>
      <c r="Q9" s="375">
        <f t="shared" si="2"/>
        <v>1.2008142978723404</v>
      </c>
      <c r="R9" s="375">
        <f t="shared" si="1"/>
        <v>1.7282619646223362E-7</v>
      </c>
      <c r="S9" s="375">
        <f t="shared" si="1"/>
        <v>0.30050196721459205</v>
      </c>
      <c r="T9" s="375">
        <f t="shared" si="1"/>
        <v>9.3548636932608005E-4</v>
      </c>
      <c r="U9" s="375">
        <f t="shared" si="1"/>
        <v>5.7288751608422409E-2</v>
      </c>
      <c r="V9" s="375">
        <f t="shared" si="1"/>
        <v>20.210605309959682</v>
      </c>
      <c r="W9" s="367" t="str">
        <f t="shared" ref="W9:W14" si="4">C9</f>
        <v>admixture (accelerator)</v>
      </c>
    </row>
    <row r="10" spans="1:27">
      <c r="B10" s="367" t="s">
        <v>541</v>
      </c>
      <c r="C10" s="367" t="s">
        <v>542</v>
      </c>
      <c r="D10" s="367" t="s">
        <v>540</v>
      </c>
      <c r="E10" s="368">
        <v>1.0638297872340425E-2</v>
      </c>
      <c r="F10" s="369">
        <v>3.7800708999999998E-10</v>
      </c>
      <c r="G10" s="369">
        <v>1.3583311E-3</v>
      </c>
      <c r="H10" s="369">
        <v>7.2606397E-6</v>
      </c>
      <c r="I10" s="369">
        <v>3.0855618000000002E-4</v>
      </c>
      <c r="J10" s="368">
        <v>6.0769504000000002E-2</v>
      </c>
      <c r="K10" s="369">
        <v>0</v>
      </c>
      <c r="L10" s="369">
        <v>0</v>
      </c>
      <c r="N10" s="367">
        <f t="shared" si="3"/>
        <v>3.543694604965935E-2</v>
      </c>
      <c r="O10" s="367" t="s">
        <v>22</v>
      </c>
      <c r="Q10" s="375">
        <f t="shared" si="2"/>
        <v>0.3002035744680851</v>
      </c>
      <c r="R10" s="375">
        <f t="shared" si="1"/>
        <v>1.066703348167424E-8</v>
      </c>
      <c r="S10" s="375">
        <f t="shared" si="1"/>
        <v>3.8330930043929602E-2</v>
      </c>
      <c r="T10" s="375">
        <f t="shared" si="1"/>
        <v>2.0488897914129923E-4</v>
      </c>
      <c r="U10" s="375">
        <f t="shared" si="1"/>
        <v>8.7071888070604821E-3</v>
      </c>
      <c r="V10" s="375">
        <f t="shared" si="1"/>
        <v>1.7148628980285443</v>
      </c>
      <c r="W10" s="367" t="str">
        <f t="shared" si="4"/>
        <v>admixture (air entrainer)</v>
      </c>
      <c r="Z10" s="378">
        <v>2.3235816907721167</v>
      </c>
      <c r="AA10" s="378">
        <v>84.795548447624427</v>
      </c>
    </row>
    <row r="11" spans="1:27">
      <c r="B11" s="367" t="s">
        <v>543</v>
      </c>
      <c r="C11" s="367" t="s">
        <v>544</v>
      </c>
      <c r="D11" s="367" t="s">
        <v>540</v>
      </c>
      <c r="E11" s="368">
        <v>4.2553191489361701E-2</v>
      </c>
      <c r="F11" s="369">
        <v>2.2031915000000002E-9</v>
      </c>
      <c r="G11" s="369">
        <v>6.8917021E-3</v>
      </c>
      <c r="H11" s="369">
        <v>9.4773447999999994E-5</v>
      </c>
      <c r="I11" s="369">
        <v>1.5423531E-3</v>
      </c>
      <c r="J11" s="368">
        <v>0.51689006999999998</v>
      </c>
      <c r="K11" s="369">
        <v>0</v>
      </c>
      <c r="L11" s="369">
        <v>0</v>
      </c>
      <c r="N11" s="367">
        <f t="shared" si="3"/>
        <v>3.543694604965935E-2</v>
      </c>
      <c r="O11" s="367" t="s">
        <v>22</v>
      </c>
      <c r="Q11" s="375">
        <f t="shared" si="2"/>
        <v>1.2008142978723404</v>
      </c>
      <c r="R11" s="375">
        <f t="shared" si="1"/>
        <v>6.2172160572544013E-8</v>
      </c>
      <c r="S11" s="375">
        <f t="shared" si="1"/>
        <v>0.19447787883138562</v>
      </c>
      <c r="T11" s="375">
        <f t="shared" si="1"/>
        <v>2.6744248183009282E-3</v>
      </c>
      <c r="U11" s="375">
        <f t="shared" si="1"/>
        <v>4.3523871888921602E-2</v>
      </c>
      <c r="V11" s="375">
        <f t="shared" si="1"/>
        <v>14.586191182379521</v>
      </c>
      <c r="W11" s="367" t="str">
        <f t="shared" si="4"/>
        <v>admixture (retarding)</v>
      </c>
    </row>
    <row r="12" spans="1:27">
      <c r="B12" s="367" t="s">
        <v>433</v>
      </c>
      <c r="C12" s="367" t="s">
        <v>545</v>
      </c>
      <c r="D12" s="367" t="s">
        <v>540</v>
      </c>
      <c r="E12" s="368">
        <v>1.0638297872340425E-2</v>
      </c>
      <c r="F12" s="369">
        <v>1.2256383E-9</v>
      </c>
      <c r="G12" s="369">
        <v>5.5686064000000004E-3</v>
      </c>
      <c r="H12" s="369">
        <v>9.2335957000000001E-5</v>
      </c>
      <c r="I12" s="369">
        <v>1.4118446E-3</v>
      </c>
      <c r="J12" s="368">
        <v>0.13828014</v>
      </c>
      <c r="K12" s="369">
        <v>0</v>
      </c>
      <c r="L12" s="369">
        <v>0</v>
      </c>
      <c r="N12" s="367">
        <f t="shared" si="3"/>
        <v>3.543694604965935E-2</v>
      </c>
      <c r="O12" s="367" t="s">
        <v>22</v>
      </c>
      <c r="Q12" s="375">
        <f t="shared" si="2"/>
        <v>0.3002035744680851</v>
      </c>
      <c r="R12" s="375">
        <f t="shared" si="1"/>
        <v>3.4586453874508802E-8</v>
      </c>
      <c r="S12" s="375">
        <f t="shared" si="1"/>
        <v>0.15714126133207043</v>
      </c>
      <c r="T12" s="375">
        <f t="shared" si="1"/>
        <v>2.6056409282731521E-3</v>
      </c>
      <c r="U12" s="375">
        <f t="shared" si="1"/>
        <v>3.9841034778265602E-2</v>
      </c>
      <c r="V12" s="375">
        <f t="shared" si="1"/>
        <v>3.9021460767590401</v>
      </c>
      <c r="W12" s="367" t="str">
        <f t="shared" si="4"/>
        <v>admixture (waterproofing)</v>
      </c>
    </row>
    <row r="13" spans="1:27">
      <c r="B13" s="367" t="s">
        <v>414</v>
      </c>
      <c r="C13" s="367" t="s">
        <v>546</v>
      </c>
      <c r="D13" s="367" t="s">
        <v>540</v>
      </c>
      <c r="E13" s="368">
        <v>1.0638297872340425E-2</v>
      </c>
      <c r="F13" s="369">
        <v>1.7346808999999999E-9</v>
      </c>
      <c r="G13" s="369">
        <v>2.6605213E-3</v>
      </c>
      <c r="H13" s="369">
        <v>1.9467660000000001E-6</v>
      </c>
      <c r="I13" s="369">
        <v>4.5797075999999998E-4</v>
      </c>
      <c r="J13" s="368">
        <v>0.11618191</v>
      </c>
      <c r="K13" s="369">
        <v>0</v>
      </c>
      <c r="L13" s="369">
        <v>0</v>
      </c>
      <c r="N13" s="367">
        <f t="shared" si="3"/>
        <v>3.543694604965935E-2</v>
      </c>
      <c r="O13" s="367" t="s">
        <v>22</v>
      </c>
      <c r="Q13" s="375">
        <f t="shared" si="2"/>
        <v>0.3002035744680851</v>
      </c>
      <c r="R13" s="375">
        <f t="shared" si="1"/>
        <v>4.8951196233702401E-8</v>
      </c>
      <c r="S13" s="375">
        <f t="shared" si="1"/>
        <v>7.5077612395596807E-2</v>
      </c>
      <c r="T13" s="375">
        <f t="shared" si="1"/>
        <v>5.4936054514176007E-5</v>
      </c>
      <c r="U13" s="375">
        <f t="shared" si="1"/>
        <v>1.2923539160463361E-2</v>
      </c>
      <c r="V13" s="375">
        <f t="shared" si="1"/>
        <v>3.2785531190297603</v>
      </c>
      <c r="W13" s="367" t="str">
        <f t="shared" si="4"/>
        <v>admixture (plasticiser)</v>
      </c>
      <c r="Z13" s="378">
        <v>1.3652362393858919</v>
      </c>
      <c r="AA13" s="378">
        <v>63.978126864810605</v>
      </c>
    </row>
    <row r="14" spans="1:27">
      <c r="B14" s="367" t="s">
        <v>547</v>
      </c>
      <c r="C14" s="367" t="s">
        <v>548</v>
      </c>
      <c r="D14" s="367" t="s">
        <v>540</v>
      </c>
      <c r="E14" s="368">
        <v>4.2553191489361701E-2</v>
      </c>
      <c r="F14" s="369">
        <v>3.9847518000000001E-9</v>
      </c>
      <c r="G14" s="369">
        <v>1.7505E-2</v>
      </c>
      <c r="H14" s="369">
        <v>1.7819290999999999E-5</v>
      </c>
      <c r="I14" s="369">
        <v>1.5913556E-3</v>
      </c>
      <c r="J14" s="368">
        <v>0.62198226999999995</v>
      </c>
      <c r="K14" s="369">
        <v>0</v>
      </c>
      <c r="L14" s="369">
        <v>0</v>
      </c>
      <c r="N14" s="367">
        <f t="shared" si="3"/>
        <v>3.543694604965935E-2</v>
      </c>
      <c r="O14" s="367" t="s">
        <v>22</v>
      </c>
      <c r="Q14" s="375">
        <f t="shared" si="2"/>
        <v>1.2008142978723404</v>
      </c>
      <c r="R14" s="375">
        <f t="shared" si="1"/>
        <v>1.1244625297044481E-7</v>
      </c>
      <c r="S14" s="375">
        <f t="shared" si="1"/>
        <v>0.49397597568000001</v>
      </c>
      <c r="T14" s="375">
        <f t="shared" si="1"/>
        <v>5.0284499615257602E-4</v>
      </c>
      <c r="U14" s="375">
        <f t="shared" si="1"/>
        <v>4.4906680100761605E-2</v>
      </c>
      <c r="V14" s="375">
        <f t="shared" si="1"/>
        <v>17.55180226671872</v>
      </c>
      <c r="W14" s="367" t="str">
        <f t="shared" si="4"/>
        <v>admixture (superplasticiser)</v>
      </c>
    </row>
    <row r="15" spans="1:27">
      <c r="B15" s="367" t="s">
        <v>549</v>
      </c>
      <c r="C15" s="367" t="s">
        <v>550</v>
      </c>
      <c r="D15" s="367" t="s">
        <v>526</v>
      </c>
      <c r="E15" s="368">
        <v>1.137E-5</v>
      </c>
      <c r="F15" s="369">
        <v>0</v>
      </c>
      <c r="G15" s="369">
        <v>0</v>
      </c>
      <c r="H15" s="369">
        <v>0</v>
      </c>
      <c r="I15" s="369">
        <v>0</v>
      </c>
      <c r="J15" s="368">
        <v>0</v>
      </c>
      <c r="K15" s="369">
        <v>0.4</v>
      </c>
      <c r="L15" s="369">
        <v>0</v>
      </c>
      <c r="N15" s="367">
        <f>1/$D$32*D29</f>
        <v>3.785412</v>
      </c>
      <c r="O15" s="367" t="s">
        <v>22</v>
      </c>
      <c r="Q15" s="367">
        <f t="shared" si="2"/>
        <v>3.0036360639211792E-6</v>
      </c>
      <c r="R15" s="367">
        <f t="shared" si="1"/>
        <v>0</v>
      </c>
      <c r="S15" s="367">
        <f t="shared" si="1"/>
        <v>0</v>
      </c>
      <c r="T15" s="367">
        <f t="shared" si="1"/>
        <v>0</v>
      </c>
      <c r="U15" s="367">
        <f t="shared" si="1"/>
        <v>0</v>
      </c>
      <c r="V15" s="367">
        <f t="shared" si="1"/>
        <v>0</v>
      </c>
    </row>
    <row r="16" spans="1:27">
      <c r="P16" s="373" t="s">
        <v>570</v>
      </c>
      <c r="Q16" s="375">
        <f>AVERAGE(Q9:Q14)</f>
        <v>0.75050893617021286</v>
      </c>
      <c r="R16" s="375">
        <f t="shared" ref="R16:U16" si="5">AVERAGE(R9:R14)</f>
        <v>7.3608215599184654E-8</v>
      </c>
      <c r="S16" s="375">
        <f t="shared" si="5"/>
        <v>0.20991760424959574</v>
      </c>
      <c r="T16" s="375">
        <f t="shared" si="5"/>
        <v>1.1630370242847021E-3</v>
      </c>
      <c r="U16" s="375">
        <f t="shared" si="5"/>
        <v>3.4531844390649179E-2</v>
      </c>
      <c r="V16" s="375">
        <f>AVERAGE(V9:V14)</f>
        <v>10.207360142145879</v>
      </c>
      <c r="W16" s="367" t="s">
        <v>603</v>
      </c>
    </row>
    <row r="17" spans="3:16">
      <c r="C17" s="367" t="s">
        <v>551</v>
      </c>
      <c r="I17" s="370" t="s">
        <v>518</v>
      </c>
      <c r="J17" s="367" t="s">
        <v>552</v>
      </c>
    </row>
    <row r="18" spans="3:16">
      <c r="P18" s="374" t="s">
        <v>793</v>
      </c>
    </row>
    <row r="19" spans="3:16">
      <c r="C19" s="367" t="s">
        <v>553</v>
      </c>
      <c r="P19" s="374" t="s">
        <v>797</v>
      </c>
    </row>
    <row r="21" spans="3:16">
      <c r="C21" s="367" t="s">
        <v>554</v>
      </c>
    </row>
    <row r="22" spans="3:16">
      <c r="J22" s="376">
        <f>E9*$D$31</f>
        <v>5.4468085106382977</v>
      </c>
    </row>
    <row r="23" spans="3:16">
      <c r="C23" s="371" t="s">
        <v>555</v>
      </c>
      <c r="J23" s="376">
        <f>E10*$D$31</f>
        <v>1.3617021276595744</v>
      </c>
      <c r="N23" s="367" t="s">
        <v>705</v>
      </c>
      <c r="O23" s="367" t="s">
        <v>714</v>
      </c>
    </row>
    <row r="24" spans="3:16">
      <c r="N24" s="367" t="s">
        <v>706</v>
      </c>
      <c r="O24" s="367" t="s">
        <v>715</v>
      </c>
    </row>
    <row r="25" spans="3:16">
      <c r="C25" s="372" t="s">
        <v>556</v>
      </c>
      <c r="N25" s="367" t="s">
        <v>707</v>
      </c>
      <c r="O25" s="367" t="s">
        <v>716</v>
      </c>
    </row>
    <row r="26" spans="3:16">
      <c r="N26" s="367" t="s">
        <v>708</v>
      </c>
      <c r="O26" s="367" t="s">
        <v>717</v>
      </c>
    </row>
    <row r="27" spans="3:16">
      <c r="C27" s="373" t="s">
        <v>566</v>
      </c>
      <c r="D27" s="367">
        <v>10</v>
      </c>
      <c r="E27" s="367" t="s">
        <v>527</v>
      </c>
      <c r="N27" s="367" t="s">
        <v>709</v>
      </c>
      <c r="O27" s="367" t="s">
        <v>718</v>
      </c>
    </row>
    <row r="28" spans="3:16">
      <c r="C28" s="373" t="s">
        <v>567</v>
      </c>
      <c r="D28" s="367">
        <f>D27*D30</f>
        <v>1.1982656298327359</v>
      </c>
      <c r="E28" s="367" t="s">
        <v>565</v>
      </c>
      <c r="N28" s="367" t="s">
        <v>700</v>
      </c>
      <c r="O28" s="367" t="s">
        <v>700</v>
      </c>
    </row>
    <row r="29" spans="3:16">
      <c r="C29" s="373" t="s">
        <v>568</v>
      </c>
      <c r="D29" s="367">
        <v>1</v>
      </c>
      <c r="E29" s="367" t="s">
        <v>565</v>
      </c>
      <c r="N29" s="367" t="s">
        <v>710</v>
      </c>
      <c r="O29" s="367" t="s">
        <v>719</v>
      </c>
    </row>
    <row r="30" spans="3:16">
      <c r="C30" s="373" t="s">
        <v>558</v>
      </c>
      <c r="D30" s="367">
        <f>INDEX(Conversion_Table,MATCH("lbs",Conversion_Rows,0),MATCH("tonne",Conversion_Columns,0))/INDEX(Conversion_Table,MATCH("gallon",Conversion_Rows,0),MATCH("m3",Conversion_Columns,0))</f>
        <v>0.11982656298327359</v>
      </c>
      <c r="E30" s="367" t="s">
        <v>557</v>
      </c>
      <c r="N30" s="367" t="s">
        <v>711</v>
      </c>
      <c r="O30" s="367" t="s">
        <v>719</v>
      </c>
    </row>
    <row r="31" spans="3:16">
      <c r="C31" s="373" t="s">
        <v>559</v>
      </c>
      <c r="D31" s="367">
        <v>128</v>
      </c>
      <c r="E31" s="367" t="s">
        <v>540</v>
      </c>
      <c r="N31" s="367" t="s">
        <v>701</v>
      </c>
      <c r="O31" s="367" t="s">
        <v>701</v>
      </c>
    </row>
    <row r="32" spans="3:16">
      <c r="C32" s="373" t="s">
        <v>560</v>
      </c>
      <c r="D32" s="367">
        <f>INDEX(Conversion_Table,MATCH("litre",Conversion_Rows,0),MATCH("gallon",Conversion_Columns,0))</f>
        <v>0.26417203728418465</v>
      </c>
      <c r="E32" s="367" t="s">
        <v>213</v>
      </c>
      <c r="N32" s="367" t="s">
        <v>712</v>
      </c>
      <c r="O32" s="367" t="s">
        <v>22</v>
      </c>
    </row>
    <row r="33" spans="1:34">
      <c r="C33" s="373" t="s">
        <v>563</v>
      </c>
      <c r="D33" s="367">
        <f>INDEX(Conversion_Table,MATCH("lbs",Conversion_Rows,0),MATCH("kg",Conversion_Columns,0))</f>
        <v>0.45359290943563974</v>
      </c>
      <c r="E33" s="367" t="s">
        <v>22</v>
      </c>
      <c r="N33" s="367" t="s">
        <v>713</v>
      </c>
      <c r="O33" s="367" t="s">
        <v>22</v>
      </c>
    </row>
    <row r="34" spans="1:34">
      <c r="C34" s="373" t="s">
        <v>564</v>
      </c>
      <c r="D34" s="367">
        <f>D31*D32</f>
        <v>33.814020772375635</v>
      </c>
      <c r="E34" s="367" t="s">
        <v>540</v>
      </c>
      <c r="N34" s="367" t="s">
        <v>702</v>
      </c>
    </row>
    <row r="35" spans="1:34">
      <c r="C35" s="373"/>
      <c r="N35" s="367" t="s">
        <v>703</v>
      </c>
    </row>
    <row r="36" spans="1:34">
      <c r="C36" s="373"/>
      <c r="N36" s="367" t="s">
        <v>704</v>
      </c>
    </row>
    <row r="37" spans="1:34">
      <c r="C37" s="373"/>
    </row>
    <row r="39" spans="1:34">
      <c r="C39" s="373"/>
    </row>
    <row r="40" spans="1:34">
      <c r="C40" s="373"/>
      <c r="O40" s="374" t="s">
        <v>794</v>
      </c>
    </row>
    <row r="41" spans="1:34" ht="261">
      <c r="C41" s="373"/>
      <c r="Q41" s="608" t="s">
        <v>784</v>
      </c>
      <c r="R41" s="608" t="s">
        <v>785</v>
      </c>
      <c r="S41" s="608" t="s">
        <v>786</v>
      </c>
      <c r="T41" s="608" t="s">
        <v>787</v>
      </c>
      <c r="U41" s="608" t="s">
        <v>788</v>
      </c>
      <c r="V41" s="608" t="s">
        <v>789</v>
      </c>
      <c r="W41" s="608" t="s">
        <v>790</v>
      </c>
      <c r="X41" s="608" t="s">
        <v>791</v>
      </c>
      <c r="Y41" s="608" t="s">
        <v>792</v>
      </c>
      <c r="AC41" s="605" t="str">
        <f>'Plant Inputs'!$D$42</f>
        <v>Chemical Admixture - Air Entraining Agent</v>
      </c>
      <c r="AD41" s="605" t="str">
        <f>'Plant Inputs'!$D$43</f>
        <v>Chemical Admixture - Water Reducer/Plasticizer</v>
      </c>
      <c r="AE41" s="605" t="str">
        <f>'Plant Inputs'!$D$44</f>
        <v>Chemical Admixture - Accelerator</v>
      </c>
      <c r="AF41" s="605" t="str">
        <f>'Plant Inputs'!$D$45</f>
        <v>Chemical Admixture - High Range Water Reducer (HRWR)/Super Plasticizer</v>
      </c>
      <c r="AG41" s="605" t="str">
        <f>'Plant Inputs'!$D$46</f>
        <v>Chemical Admixture - Corrosion Inhibiting</v>
      </c>
      <c r="AH41" s="605" t="str">
        <f>'Plant Inputs'!$D$47</f>
        <v>Chemical Admixture - Viscosity Modifying Admixture (VMA)</v>
      </c>
    </row>
    <row r="42" spans="1:34" ht="15">
      <c r="C42" s="373"/>
      <c r="H42" s="606" t="s">
        <v>784</v>
      </c>
      <c r="I42" s="620" t="s">
        <v>538</v>
      </c>
      <c r="O42" s="619" t="s">
        <v>148</v>
      </c>
      <c r="P42" s="616" t="s">
        <v>2</v>
      </c>
      <c r="Q42" s="609" t="s">
        <v>766</v>
      </c>
      <c r="R42" s="609" t="s">
        <v>767</v>
      </c>
      <c r="S42" s="609" t="s">
        <v>768</v>
      </c>
      <c r="T42" s="609" t="s">
        <v>769</v>
      </c>
      <c r="U42" s="609" t="s">
        <v>770</v>
      </c>
      <c r="V42" s="609" t="s">
        <v>771</v>
      </c>
      <c r="W42" s="609" t="s">
        <v>772</v>
      </c>
      <c r="X42" s="609" t="s">
        <v>773</v>
      </c>
      <c r="Y42" s="609" t="s">
        <v>774</v>
      </c>
      <c r="AB42" s="367" t="s">
        <v>796</v>
      </c>
    </row>
    <row r="43" spans="1:34" ht="15">
      <c r="A43" s="367" t="s">
        <v>586</v>
      </c>
      <c r="C43" s="373"/>
      <c r="H43" s="606" t="s">
        <v>785</v>
      </c>
      <c r="I43" s="620" t="s">
        <v>775</v>
      </c>
      <c r="O43" s="617"/>
      <c r="P43" s="615" t="s">
        <v>778</v>
      </c>
      <c r="Q43" s="611" t="s">
        <v>538</v>
      </c>
      <c r="R43" s="611" t="s">
        <v>775</v>
      </c>
      <c r="S43" s="611" t="s">
        <v>776</v>
      </c>
      <c r="T43" s="611" t="s">
        <v>543</v>
      </c>
      <c r="U43" s="611" t="s">
        <v>433</v>
      </c>
      <c r="V43" s="611" t="s">
        <v>414</v>
      </c>
      <c r="W43" s="611" t="s">
        <v>547</v>
      </c>
      <c r="X43" s="611" t="s">
        <v>777</v>
      </c>
      <c r="Y43" s="611" t="s">
        <v>349</v>
      </c>
      <c r="AB43" s="607">
        <f>Conversions!$P$28</f>
        <v>2.2046199999999998</v>
      </c>
      <c r="AH43" s="374" t="s">
        <v>798</v>
      </c>
    </row>
    <row r="44" spans="1:34" ht="15">
      <c r="A44" s="367" t="s">
        <v>587</v>
      </c>
      <c r="H44" s="606" t="s">
        <v>786</v>
      </c>
      <c r="I44" s="620" t="s">
        <v>776</v>
      </c>
      <c r="O44" s="618"/>
      <c r="P44" s="615" t="s">
        <v>136</v>
      </c>
      <c r="Q44" s="610" t="s">
        <v>28</v>
      </c>
      <c r="R44" s="610" t="s">
        <v>28</v>
      </c>
      <c r="S44" s="610" t="s">
        <v>28</v>
      </c>
      <c r="T44" s="610" t="s">
        <v>28</v>
      </c>
      <c r="U44" s="610" t="s">
        <v>28</v>
      </c>
      <c r="V44" s="610" t="s">
        <v>28</v>
      </c>
      <c r="W44" s="610" t="s">
        <v>28</v>
      </c>
      <c r="X44" s="610" t="s">
        <v>28</v>
      </c>
      <c r="Y44" s="610" t="s">
        <v>28</v>
      </c>
      <c r="AC44" s="367" t="s">
        <v>22</v>
      </c>
      <c r="AD44" s="367" t="s">
        <v>22</v>
      </c>
      <c r="AE44" s="367" t="s">
        <v>22</v>
      </c>
      <c r="AF44" s="367" t="s">
        <v>22</v>
      </c>
      <c r="AG44" s="367" t="s">
        <v>22</v>
      </c>
      <c r="AH44" s="367" t="s">
        <v>22</v>
      </c>
    </row>
    <row r="45" spans="1:34" ht="15">
      <c r="H45" s="606" t="s">
        <v>787</v>
      </c>
      <c r="I45" s="620" t="s">
        <v>543</v>
      </c>
      <c r="O45" s="614" t="s">
        <v>513</v>
      </c>
      <c r="P45" s="2" t="s">
        <v>748</v>
      </c>
      <c r="Q45" s="612">
        <v>0.57266250059707602</v>
      </c>
      <c r="R45" s="612">
        <v>0.57266250059707602</v>
      </c>
      <c r="S45" s="612">
        <v>4.7202514322088003E-2</v>
      </c>
      <c r="T45" s="612">
        <v>0.69693859026648097</v>
      </c>
      <c r="U45" s="612">
        <v>0.17218437357232499</v>
      </c>
      <c r="V45" s="612">
        <v>0.104099455800035</v>
      </c>
      <c r="W45" s="612">
        <v>0.34926016058043002</v>
      </c>
      <c r="X45" s="612">
        <v>0.104099455800035</v>
      </c>
      <c r="Y45" s="612">
        <v>0.104099455800035</v>
      </c>
      <c r="AB45" s="367" t="s">
        <v>705</v>
      </c>
      <c r="AC45" s="621">
        <f>$AB$43*$S45</f>
        <v>0.10406360712476165</v>
      </c>
      <c r="AD45" s="621">
        <f>$AB$43*$V45</f>
        <v>0.22949974224587316</v>
      </c>
      <c r="AE45" s="621">
        <f>$AB$43*$Q45</f>
        <v>1.2625032020663256</v>
      </c>
      <c r="AF45" s="621">
        <f>$AB$43*$W45</f>
        <v>0.76998593521882752</v>
      </c>
      <c r="AG45" s="621">
        <f>$AB$43*$Y45</f>
        <v>0.22949974224587316</v>
      </c>
      <c r="AH45" s="623">
        <f>AVERAGE(AC45:AG45)</f>
        <v>0.51911044578033227</v>
      </c>
    </row>
    <row r="46" spans="1:34" ht="15">
      <c r="A46" s="367" t="s">
        <v>588</v>
      </c>
      <c r="H46" s="606" t="s">
        <v>788</v>
      </c>
      <c r="I46" s="620" t="s">
        <v>433</v>
      </c>
      <c r="O46" s="614" t="s">
        <v>749</v>
      </c>
      <c r="P46" s="2" t="s">
        <v>750</v>
      </c>
      <c r="Q46" s="612">
        <v>1.0927040916009301E-9</v>
      </c>
      <c r="R46" s="612">
        <v>1.0927040916009301E-9</v>
      </c>
      <c r="S46" s="612">
        <v>2.1854081832018701E-10</v>
      </c>
      <c r="T46" s="612">
        <v>8.2800571065670799E-9</v>
      </c>
      <c r="U46" s="612">
        <v>3.64234697200311E-10</v>
      </c>
      <c r="V46" s="612">
        <v>0</v>
      </c>
      <c r="W46" s="612">
        <v>1.47871122400126E-9</v>
      </c>
      <c r="X46" s="612">
        <v>0</v>
      </c>
      <c r="Y46" s="612">
        <v>0</v>
      </c>
      <c r="AB46" s="367" t="s">
        <v>706</v>
      </c>
      <c r="AC46" s="621">
        <f>$AB$43*$S47</f>
        <v>5.7703135192831948E-4</v>
      </c>
      <c r="AD46" s="621">
        <f>$AB$43*$V47</f>
        <v>1.2139986365417917E-3</v>
      </c>
      <c r="AE46" s="621">
        <f>$AB$43*$Q47</f>
        <v>4.7483946670140312E-3</v>
      </c>
      <c r="AF46" s="621">
        <f>$AB$43*$W47</f>
        <v>3.9528555604969102</v>
      </c>
      <c r="AG46" s="621">
        <f>$AB$43*$Y47</f>
        <v>1.2139986365417917E-3</v>
      </c>
      <c r="AH46" s="623">
        <f t="shared" ref="AH46:AH58" si="6">AVERAGE(AC46:AG46)</f>
        <v>0.79212179675778727</v>
      </c>
    </row>
    <row r="47" spans="1:34" ht="15">
      <c r="H47" s="606" t="s">
        <v>789</v>
      </c>
      <c r="I47" s="620" t="s">
        <v>414</v>
      </c>
      <c r="O47" s="614" t="s">
        <v>751</v>
      </c>
      <c r="P47" s="2" t="s">
        <v>752</v>
      </c>
      <c r="Q47" s="612">
        <v>2.15383815215957E-3</v>
      </c>
      <c r="R47" s="612">
        <v>2.15383815215957E-3</v>
      </c>
      <c r="S47" s="612">
        <v>2.6173732975674698E-4</v>
      </c>
      <c r="T47" s="612">
        <v>1.34535505839973E-3</v>
      </c>
      <c r="U47" s="612">
        <v>1.03509785679979E-3</v>
      </c>
      <c r="V47" s="612">
        <v>5.5066117359989101E-4</v>
      </c>
      <c r="W47" s="612">
        <v>1.7929872542646399</v>
      </c>
      <c r="X47" s="612">
        <v>5.5066117359989101E-4</v>
      </c>
      <c r="Y47" s="612">
        <v>5.5066117359989101E-4</v>
      </c>
      <c r="AB47" s="367" t="s">
        <v>707</v>
      </c>
      <c r="AC47" s="621">
        <f>$AB$43*$S48</f>
        <v>1.9624831959085375E-4</v>
      </c>
      <c r="AD47" s="621">
        <f>$AB$43*$V48</f>
        <v>4.226795252829316E-5</v>
      </c>
      <c r="AE47" s="621">
        <f>$AB$43*$Q48</f>
        <v>8.7898401280121123E-4</v>
      </c>
      <c r="AF47" s="621">
        <f>$AB$43*$W48</f>
        <v>0.24926944204227258</v>
      </c>
      <c r="AG47" s="621">
        <f>$AB$43*$Y48</f>
        <v>4.226795252829316E-5</v>
      </c>
      <c r="AH47" s="623">
        <f t="shared" si="6"/>
        <v>5.0085842055944255E-2</v>
      </c>
    </row>
    <row r="48" spans="1:34" ht="15">
      <c r="A48" s="405" t="s">
        <v>589</v>
      </c>
      <c r="B48" s="405" t="s">
        <v>136</v>
      </c>
      <c r="C48" s="405" t="s">
        <v>590</v>
      </c>
      <c r="D48" s="405" t="s">
        <v>591</v>
      </c>
      <c r="E48" s="405" t="s">
        <v>601</v>
      </c>
      <c r="H48" s="606" t="s">
        <v>790</v>
      </c>
      <c r="I48" s="620" t="s">
        <v>547</v>
      </c>
      <c r="O48" s="614" t="s">
        <v>753</v>
      </c>
      <c r="P48" s="2" t="s">
        <v>754</v>
      </c>
      <c r="Q48" s="612">
        <v>3.98700915713915E-4</v>
      </c>
      <c r="R48" s="612">
        <v>3.98700915713915E-4</v>
      </c>
      <c r="S48" s="612">
        <v>8.9016846255070606E-5</v>
      </c>
      <c r="T48" s="612">
        <v>1.1935459546472201E-3</v>
      </c>
      <c r="U48" s="612">
        <v>1.19019470613175E-3</v>
      </c>
      <c r="V48" s="612">
        <v>1.9172443563195999E-5</v>
      </c>
      <c r="W48" s="612">
        <v>0.113066851449353</v>
      </c>
      <c r="X48" s="612">
        <v>1.9172443563195999E-5</v>
      </c>
      <c r="Y48" s="612">
        <v>1.9172443563195999E-5</v>
      </c>
      <c r="AB48" s="367" t="s">
        <v>708</v>
      </c>
      <c r="AC48" s="621">
        <f>$AB$43*$S49</f>
        <v>8.7017595456788718E-3</v>
      </c>
      <c r="AD48" s="621">
        <f>$AB$43*$V49</f>
        <v>1.3524104726696053E-2</v>
      </c>
      <c r="AE48" s="621">
        <f>$AB$43*$Q49</f>
        <v>5.7241581200289861E-2</v>
      </c>
      <c r="AF48" s="621">
        <f>$AB$43*$W49</f>
        <v>43.192743848068233</v>
      </c>
      <c r="AG48" s="621">
        <f>$AB$43*$Y49</f>
        <v>1.3524104726696053E-2</v>
      </c>
      <c r="AH48" s="623">
        <f t="shared" si="6"/>
        <v>8.6571470796535195</v>
      </c>
    </row>
    <row r="49" spans="1:34" ht="15">
      <c r="A49" s="405" t="s">
        <v>103</v>
      </c>
      <c r="B49" s="405" t="s">
        <v>598</v>
      </c>
      <c r="C49" s="405">
        <v>0.95</v>
      </c>
      <c r="D49" s="405">
        <v>0.85</v>
      </c>
      <c r="E49" s="406">
        <f>D49/C49</f>
        <v>0.89473684210526316</v>
      </c>
      <c r="F49" s="404"/>
      <c r="H49" s="606" t="s">
        <v>791</v>
      </c>
      <c r="I49" s="620" t="s">
        <v>777</v>
      </c>
      <c r="O49" s="614" t="s">
        <v>755</v>
      </c>
      <c r="P49" s="2" t="s">
        <v>756</v>
      </c>
      <c r="Q49" s="612">
        <v>2.5964375357335898E-2</v>
      </c>
      <c r="R49" s="612">
        <v>2.5964375357335898E-2</v>
      </c>
      <c r="S49" s="612">
        <v>3.9470564295338304E-3</v>
      </c>
      <c r="T49" s="612">
        <v>1.96951333230043E-2</v>
      </c>
      <c r="U49" s="612">
        <v>1.8056730330636799E-2</v>
      </c>
      <c r="V49" s="612">
        <v>6.1344380104943501E-3</v>
      </c>
      <c r="W49" s="612">
        <v>19.591922348553599</v>
      </c>
      <c r="X49" s="612">
        <v>6.1344380104943501E-3</v>
      </c>
      <c r="Y49" s="612">
        <v>6.1344380104943501E-3</v>
      </c>
      <c r="AB49" s="367" t="s">
        <v>709</v>
      </c>
      <c r="AC49" s="622">
        <f>$AB$43*$S46</f>
        <v>4.817994588850506E-10</v>
      </c>
      <c r="AD49" s="622">
        <f>$AB$43*$V46</f>
        <v>0</v>
      </c>
      <c r="AE49" s="622">
        <f>$AB$43*$Q46</f>
        <v>2.4089972944252421E-9</v>
      </c>
      <c r="AF49" s="622">
        <f>$AB$43*$W46</f>
        <v>3.2599963386576577E-9</v>
      </c>
      <c r="AG49" s="622">
        <f>$AB$43*$Y46</f>
        <v>0</v>
      </c>
      <c r="AH49" s="623">
        <f t="shared" si="6"/>
        <v>1.2301586183935901E-9</v>
      </c>
    </row>
    <row r="50" spans="1:34" ht="15">
      <c r="A50" s="405" t="s">
        <v>104</v>
      </c>
      <c r="B50" s="405" t="s">
        <v>32</v>
      </c>
      <c r="C50" s="405">
        <v>6.62</v>
      </c>
      <c r="D50" s="405">
        <v>6.02</v>
      </c>
      <c r="E50" s="406">
        <f t="shared" ref="E50:E56" si="7">D50/C50</f>
        <v>0.90936555891238657</v>
      </c>
      <c r="F50" s="404"/>
      <c r="H50" s="606" t="s">
        <v>792</v>
      </c>
      <c r="I50" s="620" t="s">
        <v>349</v>
      </c>
      <c r="O50" s="614" t="s">
        <v>518</v>
      </c>
      <c r="P50" s="2" t="s">
        <v>757</v>
      </c>
      <c r="Q50" s="612">
        <v>10.341906720003699</v>
      </c>
      <c r="R50" s="612">
        <v>10.341906720003699</v>
      </c>
      <c r="S50" s="612">
        <v>0.95254404000033899</v>
      </c>
      <c r="T50" s="612">
        <v>7.1214006800025302</v>
      </c>
      <c r="U50" s="612">
        <v>2.5401174400009001</v>
      </c>
      <c r="V50" s="612">
        <v>2.08652504000074</v>
      </c>
      <c r="W50" s="612">
        <v>8.3007409200029496</v>
      </c>
      <c r="X50" s="612">
        <v>2.08652504000074</v>
      </c>
      <c r="Y50" s="612">
        <v>2.08652504000074</v>
      </c>
      <c r="AB50" s="367" t="s">
        <v>700</v>
      </c>
      <c r="AC50" s="621">
        <f>AC51+AC52</f>
        <v>2.099997641465547</v>
      </c>
      <c r="AD50" s="621">
        <f t="shared" ref="AD50:AG50" si="8">AD51+AD52</f>
        <v>4.5999948336864307</v>
      </c>
      <c r="AE50" s="621">
        <f t="shared" si="8"/>
        <v>22.799974393054555</v>
      </c>
      <c r="AF50" s="621">
        <f t="shared" si="8"/>
        <v>18.299979447056902</v>
      </c>
      <c r="AG50" s="621">
        <f t="shared" si="8"/>
        <v>4.5999948336864307</v>
      </c>
      <c r="AH50" s="623">
        <f t="shared" si="6"/>
        <v>10.479988229789974</v>
      </c>
    </row>
    <row r="51" spans="1:34" ht="15">
      <c r="A51" s="405" t="s">
        <v>592</v>
      </c>
      <c r="B51" s="405" t="s">
        <v>32</v>
      </c>
      <c r="C51" s="405">
        <v>6.27</v>
      </c>
      <c r="D51" s="405">
        <v>5.69</v>
      </c>
      <c r="E51" s="405">
        <f t="shared" si="7"/>
        <v>0.9074960127591708</v>
      </c>
      <c r="F51" s="404"/>
      <c r="O51" s="614" t="s">
        <v>758</v>
      </c>
      <c r="P51" s="2" t="s">
        <v>757</v>
      </c>
      <c r="Q51" s="612">
        <v>10.341906720003699</v>
      </c>
      <c r="R51" s="612">
        <v>10.341906720003699</v>
      </c>
      <c r="S51" s="612">
        <v>0.95254404000033899</v>
      </c>
      <c r="T51" s="612">
        <v>7.1214006800025302</v>
      </c>
      <c r="U51" s="612">
        <v>2.5401174400009001</v>
      </c>
      <c r="V51" s="612">
        <v>2.08652504000074</v>
      </c>
      <c r="W51" s="612">
        <v>8.3007409200029496</v>
      </c>
      <c r="X51" s="612">
        <v>2.08652504000074</v>
      </c>
      <c r="Y51" s="612">
        <v>2.08652504000074</v>
      </c>
      <c r="AB51" s="367" t="s">
        <v>710</v>
      </c>
      <c r="AC51" s="621">
        <f t="shared" ref="AC51:AC52" si="9">$AB$43*$S51</f>
        <v>2.099997641465547</v>
      </c>
      <c r="AD51" s="621">
        <f>$AB$43*$V51</f>
        <v>4.5999948336864307</v>
      </c>
      <c r="AE51" s="621">
        <f>$AB$43*$Q51</f>
        <v>22.799974393054555</v>
      </c>
      <c r="AF51" s="621">
        <f>$AB$43*$W51</f>
        <v>18.299979447056902</v>
      </c>
      <c r="AG51" s="621">
        <f>$AB$43*$Y51</f>
        <v>4.5999948336864307</v>
      </c>
      <c r="AH51" s="623">
        <f t="shared" si="6"/>
        <v>10.479988229789974</v>
      </c>
    </row>
    <row r="52" spans="1:34" ht="15">
      <c r="A52" s="405" t="s">
        <v>593</v>
      </c>
      <c r="B52" s="405" t="s">
        <v>599</v>
      </c>
      <c r="C52" s="405">
        <v>4.1000000000000003E-3</v>
      </c>
      <c r="D52" s="405">
        <v>3.7000000000000002E-3</v>
      </c>
      <c r="E52" s="405">
        <f t="shared" si="7"/>
        <v>0.90243902439024382</v>
      </c>
      <c r="F52" s="404"/>
      <c r="O52" s="614" t="s">
        <v>759</v>
      </c>
      <c r="P52" s="2" t="s">
        <v>757</v>
      </c>
      <c r="Q52" s="613">
        <v>0</v>
      </c>
      <c r="R52" s="613">
        <v>0</v>
      </c>
      <c r="S52" s="613">
        <v>0</v>
      </c>
      <c r="T52" s="613">
        <v>0</v>
      </c>
      <c r="U52" s="613">
        <v>0</v>
      </c>
      <c r="V52" s="613">
        <v>0</v>
      </c>
      <c r="W52" s="613">
        <v>0</v>
      </c>
      <c r="X52" s="613">
        <v>0</v>
      </c>
      <c r="Y52" s="613">
        <v>0</v>
      </c>
      <c r="AB52" s="367" t="s">
        <v>711</v>
      </c>
      <c r="AC52" s="621">
        <f t="shared" si="9"/>
        <v>0</v>
      </c>
      <c r="AD52" s="621">
        <f>$AB$43*$V52</f>
        <v>0</v>
      </c>
      <c r="AE52" s="621">
        <f>$AB$43*$Q52</f>
        <v>0</v>
      </c>
      <c r="AF52" s="621">
        <f>$AB$43*$W52</f>
        <v>0</v>
      </c>
      <c r="AG52" s="621">
        <f>$AB$43*$Y52</f>
        <v>0</v>
      </c>
      <c r="AH52" s="623">
        <f t="shared" si="6"/>
        <v>0</v>
      </c>
    </row>
    <row r="53" spans="1:34" ht="15">
      <c r="A53" s="405" t="s">
        <v>594</v>
      </c>
      <c r="B53" s="405" t="s">
        <v>524</v>
      </c>
      <c r="C53" s="405">
        <v>1.2999999999999999E-4</v>
      </c>
      <c r="D53" s="405">
        <v>1.2E-4</v>
      </c>
      <c r="E53" s="405">
        <f t="shared" si="7"/>
        <v>0.92307692307692313</v>
      </c>
      <c r="F53" s="404"/>
      <c r="O53" s="614" t="s">
        <v>760</v>
      </c>
      <c r="P53" s="2" t="s">
        <v>761</v>
      </c>
      <c r="Q53" s="2">
        <v>0</v>
      </c>
      <c r="R53" s="2">
        <v>0</v>
      </c>
      <c r="S53" s="2">
        <v>0</v>
      </c>
      <c r="T53" s="2">
        <v>0</v>
      </c>
      <c r="U53" s="2">
        <v>0</v>
      </c>
      <c r="V53" s="2">
        <v>0</v>
      </c>
      <c r="W53" s="2">
        <v>0</v>
      </c>
      <c r="X53" s="2">
        <v>0</v>
      </c>
      <c r="Y53" s="2">
        <v>0</v>
      </c>
      <c r="AB53" s="367" t="s">
        <v>701</v>
      </c>
      <c r="AC53" s="621">
        <f>AC54+AC55</f>
        <v>0</v>
      </c>
      <c r="AD53" s="621">
        <f t="shared" ref="AD53:AG53" si="10">AD54+AD55</f>
        <v>0</v>
      </c>
      <c r="AE53" s="621">
        <f t="shared" si="10"/>
        <v>0</v>
      </c>
      <c r="AF53" s="621">
        <f t="shared" si="10"/>
        <v>0</v>
      </c>
      <c r="AG53" s="621">
        <f t="shared" si="10"/>
        <v>0</v>
      </c>
      <c r="AH53" s="623">
        <f t="shared" si="6"/>
        <v>0</v>
      </c>
    </row>
    <row r="54" spans="1:34" ht="15">
      <c r="A54" s="405" t="s">
        <v>595</v>
      </c>
      <c r="B54" s="405" t="s">
        <v>600</v>
      </c>
      <c r="C54" s="405">
        <v>3.6999999999999999E-4</v>
      </c>
      <c r="D54" s="405">
        <v>3.2000000000000003E-4</v>
      </c>
      <c r="E54" s="405">
        <f t="shared" si="7"/>
        <v>0.86486486486486491</v>
      </c>
      <c r="F54" s="404"/>
      <c r="O54" s="614" t="s">
        <v>762</v>
      </c>
      <c r="P54" s="2" t="s">
        <v>761</v>
      </c>
      <c r="Q54" s="613">
        <v>0</v>
      </c>
      <c r="R54" s="613">
        <v>0</v>
      </c>
      <c r="S54" s="613">
        <v>0</v>
      </c>
      <c r="T54" s="613">
        <v>0</v>
      </c>
      <c r="U54" s="613">
        <v>0</v>
      </c>
      <c r="V54" s="613">
        <v>0</v>
      </c>
      <c r="W54" s="613">
        <v>0</v>
      </c>
      <c r="X54" s="613">
        <v>0</v>
      </c>
      <c r="Y54" s="613">
        <v>0</v>
      </c>
      <c r="AB54" s="367" t="s">
        <v>712</v>
      </c>
      <c r="AC54" s="621">
        <f>$AB$43*$S53</f>
        <v>0</v>
      </c>
      <c r="AD54" s="621">
        <f>$AB$43*$V53</f>
        <v>0</v>
      </c>
      <c r="AE54" s="621">
        <f>$AB$43*$Q53</f>
        <v>0</v>
      </c>
      <c r="AF54" s="621">
        <f>$AB$43*$W53</f>
        <v>0</v>
      </c>
      <c r="AG54" s="621">
        <f>$AB$43*$Y53</f>
        <v>0</v>
      </c>
      <c r="AH54" s="623">
        <f t="shared" si="6"/>
        <v>0</v>
      </c>
    </row>
    <row r="55" spans="1:34" ht="15">
      <c r="A55" s="405" t="s">
        <v>596</v>
      </c>
      <c r="B55" s="405" t="s">
        <v>525</v>
      </c>
      <c r="C55" s="405">
        <v>4.8000000000000001E-2</v>
      </c>
      <c r="D55" s="405">
        <v>4.2999999999999997E-2</v>
      </c>
      <c r="E55" s="405">
        <f t="shared" si="7"/>
        <v>0.89583333333333326</v>
      </c>
      <c r="F55" s="404"/>
      <c r="O55" s="614" t="s">
        <v>779</v>
      </c>
      <c r="P55" s="2" t="s">
        <v>24</v>
      </c>
      <c r="Q55" s="2">
        <v>0</v>
      </c>
      <c r="R55" s="2">
        <v>0</v>
      </c>
      <c r="S55" s="2">
        <v>0</v>
      </c>
      <c r="T55" s="2">
        <v>0</v>
      </c>
      <c r="U55" s="2">
        <v>0</v>
      </c>
      <c r="V55" s="2">
        <v>0</v>
      </c>
      <c r="W55" s="2">
        <v>0</v>
      </c>
      <c r="X55" s="2">
        <v>0</v>
      </c>
      <c r="Y55" s="2">
        <v>0</v>
      </c>
      <c r="AB55" s="367" t="s">
        <v>713</v>
      </c>
      <c r="AC55" s="621">
        <f>$AB$43*$S54</f>
        <v>0</v>
      </c>
      <c r="AD55" s="621">
        <f>$AB$43*$V54</f>
        <v>0</v>
      </c>
      <c r="AE55" s="621">
        <f>$AB$43*$Q54</f>
        <v>0</v>
      </c>
      <c r="AF55" s="621">
        <f>$AB$43*$W54</f>
        <v>0</v>
      </c>
      <c r="AG55" s="621">
        <f>$AB$43*$Y54</f>
        <v>0</v>
      </c>
      <c r="AH55" s="623">
        <f t="shared" si="6"/>
        <v>0</v>
      </c>
    </row>
    <row r="56" spans="1:34" ht="15">
      <c r="A56" s="405" t="s">
        <v>597</v>
      </c>
      <c r="B56" s="405" t="s">
        <v>522</v>
      </c>
      <c r="C56" s="405">
        <v>1.1000000000000001E-11</v>
      </c>
      <c r="D56" s="405">
        <v>9.5999999999999995E-12</v>
      </c>
      <c r="E56" s="405">
        <f t="shared" si="7"/>
        <v>0.87272727272727257</v>
      </c>
      <c r="F56" s="404"/>
      <c r="O56" s="614" t="s">
        <v>780</v>
      </c>
      <c r="P56" s="2" t="s">
        <v>24</v>
      </c>
      <c r="Q56" s="2">
        <v>0</v>
      </c>
      <c r="R56" s="2">
        <v>0</v>
      </c>
      <c r="S56" s="2">
        <v>0</v>
      </c>
      <c r="T56" s="2">
        <v>0</v>
      </c>
      <c r="U56" s="2">
        <v>0</v>
      </c>
      <c r="V56" s="2">
        <v>0</v>
      </c>
      <c r="W56" s="2">
        <v>0</v>
      </c>
      <c r="X56" s="2">
        <v>0</v>
      </c>
      <c r="Y56" s="2">
        <v>0</v>
      </c>
      <c r="AB56" s="367" t="s">
        <v>739</v>
      </c>
      <c r="AC56" s="621">
        <v>0</v>
      </c>
      <c r="AD56" s="621">
        <v>0</v>
      </c>
      <c r="AE56" s="621">
        <v>0</v>
      </c>
      <c r="AF56" s="621">
        <v>0</v>
      </c>
      <c r="AG56" s="621">
        <v>0</v>
      </c>
      <c r="AH56" s="623">
        <f t="shared" si="6"/>
        <v>0</v>
      </c>
    </row>
    <row r="57" spans="1:34" ht="15">
      <c r="A57" s="367" t="s">
        <v>711</v>
      </c>
      <c r="E57" s="405">
        <v>0.9074960127591708</v>
      </c>
      <c r="F57" s="367" t="s">
        <v>813</v>
      </c>
      <c r="O57" s="614" t="s">
        <v>781</v>
      </c>
      <c r="P57" s="2" t="s">
        <v>24</v>
      </c>
      <c r="Q57" s="2">
        <v>0</v>
      </c>
      <c r="R57" s="2">
        <v>0</v>
      </c>
      <c r="S57" s="2">
        <v>0</v>
      </c>
      <c r="T57" s="2">
        <v>0</v>
      </c>
      <c r="U57" s="2">
        <v>0</v>
      </c>
      <c r="V57" s="2">
        <v>0</v>
      </c>
      <c r="W57" s="2">
        <v>0</v>
      </c>
      <c r="X57" s="2">
        <v>0</v>
      </c>
      <c r="Y57" s="2">
        <v>0</v>
      </c>
      <c r="AB57" s="367" t="s">
        <v>737</v>
      </c>
      <c r="AC57" s="621">
        <v>0</v>
      </c>
      <c r="AD57" s="621">
        <v>0</v>
      </c>
      <c r="AE57" s="621">
        <v>0</v>
      </c>
      <c r="AF57" s="621">
        <v>0</v>
      </c>
      <c r="AG57" s="621">
        <v>0</v>
      </c>
      <c r="AH57" s="623">
        <f t="shared" si="6"/>
        <v>0</v>
      </c>
    </row>
    <row r="58" spans="1:34" ht="15">
      <c r="A58" s="367" t="s">
        <v>701</v>
      </c>
      <c r="E58" s="405">
        <v>1</v>
      </c>
      <c r="F58" s="367" t="s">
        <v>814</v>
      </c>
      <c r="O58" s="614" t="s">
        <v>782</v>
      </c>
      <c r="P58" s="2" t="s">
        <v>22</v>
      </c>
      <c r="Q58" s="2">
        <v>0</v>
      </c>
      <c r="R58" s="2">
        <v>0</v>
      </c>
      <c r="S58" s="2">
        <v>0</v>
      </c>
      <c r="T58" s="2">
        <v>0</v>
      </c>
      <c r="U58" s="2">
        <v>0</v>
      </c>
      <c r="V58" s="2">
        <v>0</v>
      </c>
      <c r="W58" s="2">
        <v>0</v>
      </c>
      <c r="X58" s="2">
        <v>0</v>
      </c>
      <c r="Y58" s="2">
        <v>0</v>
      </c>
      <c r="AB58" s="367" t="s">
        <v>738</v>
      </c>
      <c r="AC58" s="621">
        <v>0</v>
      </c>
      <c r="AD58" s="621">
        <v>0</v>
      </c>
      <c r="AE58" s="621">
        <v>0</v>
      </c>
      <c r="AF58" s="621">
        <v>0</v>
      </c>
      <c r="AG58" s="621">
        <v>0</v>
      </c>
      <c r="AH58" s="623">
        <f t="shared" si="6"/>
        <v>0</v>
      </c>
    </row>
    <row r="59" spans="1:34" ht="15">
      <c r="A59" s="367" t="s">
        <v>712</v>
      </c>
      <c r="E59" s="405">
        <v>1</v>
      </c>
      <c r="F59" s="367" t="s">
        <v>814</v>
      </c>
      <c r="O59" s="614" t="s">
        <v>783</v>
      </c>
      <c r="P59" s="2" t="s">
        <v>22</v>
      </c>
      <c r="Q59" s="2">
        <v>0</v>
      </c>
      <c r="R59" s="2">
        <v>0</v>
      </c>
      <c r="S59" s="2">
        <v>0</v>
      </c>
      <c r="T59" s="2">
        <v>0</v>
      </c>
      <c r="U59" s="2">
        <v>0</v>
      </c>
      <c r="V59" s="2">
        <v>0</v>
      </c>
      <c r="W59" s="2">
        <v>0</v>
      </c>
      <c r="X59" s="2">
        <v>0</v>
      </c>
      <c r="Y59" s="2">
        <v>0</v>
      </c>
    </row>
    <row r="60" spans="1:34">
      <c r="A60" s="367" t="s">
        <v>713</v>
      </c>
      <c r="E60" s="405">
        <v>1</v>
      </c>
      <c r="F60" s="367" t="s">
        <v>814</v>
      </c>
    </row>
    <row r="61" spans="1:34">
      <c r="A61" s="367" t="s">
        <v>739</v>
      </c>
      <c r="E61" s="405">
        <v>0.9</v>
      </c>
      <c r="F61" s="367" t="s">
        <v>814</v>
      </c>
    </row>
    <row r="62" spans="1:34">
      <c r="A62" s="367" t="s">
        <v>737</v>
      </c>
      <c r="E62" s="405">
        <v>1</v>
      </c>
      <c r="F62" s="367" t="s">
        <v>814</v>
      </c>
    </row>
    <row r="63" spans="1:34">
      <c r="A63" s="367" t="s">
        <v>738</v>
      </c>
      <c r="E63" s="405">
        <v>1</v>
      </c>
      <c r="F63" s="367" t="s">
        <v>814</v>
      </c>
    </row>
    <row r="69" spans="1:7">
      <c r="A69" s="367" t="s">
        <v>613</v>
      </c>
    </row>
    <row r="70" spans="1:7">
      <c r="A70" s="405"/>
      <c r="B70" s="405" t="s">
        <v>607</v>
      </c>
      <c r="C70" s="405" t="s">
        <v>609</v>
      </c>
      <c r="D70" s="405" t="s">
        <v>611</v>
      </c>
      <c r="E70" s="405" t="s">
        <v>608</v>
      </c>
      <c r="F70" s="405" t="s">
        <v>610</v>
      </c>
      <c r="G70" s="405" t="s">
        <v>612</v>
      </c>
    </row>
    <row r="71" spans="1:7">
      <c r="A71" s="405" t="s">
        <v>604</v>
      </c>
      <c r="B71" s="405">
        <v>891.95544554366245</v>
      </c>
      <c r="C71" s="405">
        <v>1038.0563118652285</v>
      </c>
      <c r="D71" s="405">
        <v>1501.2328955993121</v>
      </c>
      <c r="E71" s="405">
        <v>891.95544554366245</v>
      </c>
      <c r="F71" s="405">
        <v>1131.2138489469655</v>
      </c>
      <c r="G71" s="405">
        <v>1501.2328955993121</v>
      </c>
    </row>
    <row r="72" spans="1:7">
      <c r="A72" s="405" t="s">
        <v>605</v>
      </c>
      <c r="B72" s="405">
        <v>17379.305548594213</v>
      </c>
      <c r="C72" s="405">
        <v>21115.558668452628</v>
      </c>
      <c r="D72" s="405">
        <v>25458.767950129284</v>
      </c>
      <c r="E72" s="405">
        <v>17379.305548594213</v>
      </c>
      <c r="F72" s="405">
        <v>21599.171010579372</v>
      </c>
      <c r="G72" s="405">
        <v>25866.149969431106</v>
      </c>
    </row>
    <row r="73" spans="1:7">
      <c r="A73" s="405" t="s">
        <v>606</v>
      </c>
      <c r="B73" s="405">
        <v>13732.07920790706</v>
      </c>
      <c r="C73" s="405">
        <v>13896.554340061131</v>
      </c>
      <c r="D73" s="405">
        <v>14675.578391799121</v>
      </c>
      <c r="E73" s="405">
        <v>13732.07920790706</v>
      </c>
      <c r="F73" s="405">
        <v>13896.554340061131</v>
      </c>
      <c r="G73" s="405">
        <v>14675.578391799121</v>
      </c>
    </row>
    <row r="77" spans="1:7">
      <c r="C77" s="367" t="s">
        <v>705</v>
      </c>
    </row>
    <row r="78" spans="1:7">
      <c r="C78" s="367" t="s">
        <v>706</v>
      </c>
    </row>
    <row r="79" spans="1:7">
      <c r="C79" s="367" t="s">
        <v>707</v>
      </c>
    </row>
    <row r="80" spans="1:7">
      <c r="C80" s="367" t="s">
        <v>708</v>
      </c>
    </row>
    <row r="81" spans="3:3">
      <c r="C81" s="367" t="s">
        <v>709</v>
      </c>
    </row>
    <row r="82" spans="3:3">
      <c r="C82" s="367" t="s">
        <v>700</v>
      </c>
    </row>
    <row r="83" spans="3:3">
      <c r="C83" s="367" t="s">
        <v>710</v>
      </c>
    </row>
    <row r="84" spans="3:3">
      <c r="C84" s="367" t="s">
        <v>711</v>
      </c>
    </row>
    <row r="85" spans="3:3">
      <c r="C85" s="367" t="s">
        <v>701</v>
      </c>
    </row>
    <row r="86" spans="3:3">
      <c r="C86" s="367" t="s">
        <v>712</v>
      </c>
    </row>
    <row r="87" spans="3:3">
      <c r="C87" s="367" t="s">
        <v>713</v>
      </c>
    </row>
    <row r="88" spans="3:3">
      <c r="C88" s="367" t="s">
        <v>739</v>
      </c>
    </row>
    <row r="89" spans="3:3">
      <c r="C89" s="367" t="s">
        <v>737</v>
      </c>
    </row>
    <row r="90" spans="3:3">
      <c r="C90" s="367" t="s">
        <v>738</v>
      </c>
    </row>
  </sheetData>
  <hyperlinks>
    <hyperlink ref="C25" r:id="rId1" xr:uid="{00000000-0004-0000-0E00-000000000000}"/>
  </hyperlinks>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GA1288"/>
  <sheetViews>
    <sheetView zoomScale="90" zoomScaleNormal="90" workbookViewId="0">
      <selection activeCell="D9" sqref="D9"/>
    </sheetView>
  </sheetViews>
  <sheetFormatPr baseColWidth="10" defaultColWidth="9.1640625" defaultRowHeight="15"/>
  <cols>
    <col min="1" max="1" width="2" style="3" customWidth="1"/>
    <col min="3" max="3" width="42.1640625" customWidth="1"/>
    <col min="4" max="4" width="25" customWidth="1"/>
    <col min="5" max="5" width="15.1640625" bestFit="1" customWidth="1"/>
    <col min="6" max="6" width="15.6640625" customWidth="1"/>
    <col min="7" max="7" width="16.1640625" customWidth="1"/>
    <col min="8" max="8" width="15.6640625" customWidth="1"/>
    <col min="9" max="12" width="16.5" customWidth="1"/>
    <col min="13" max="13" width="8.1640625" customWidth="1"/>
    <col min="15" max="15" width="7.5" style="3" customWidth="1"/>
    <col min="16" max="16" width="8.5" style="3" hidden="1" customWidth="1"/>
    <col min="17" max="17" width="13.33203125" style="3" hidden="1" customWidth="1"/>
    <col min="18" max="18" width="9" style="3" hidden="1" customWidth="1"/>
    <col min="19" max="24" width="8.33203125" style="3" hidden="1" customWidth="1"/>
    <col min="25" max="25" width="7.5" style="172" hidden="1" customWidth="1"/>
    <col min="26" max="28" width="6.83203125" style="172" hidden="1" customWidth="1"/>
    <col min="29" max="29" width="4.6640625" style="3" hidden="1" customWidth="1"/>
    <col min="30" max="30" width="22.83203125" style="3" hidden="1" customWidth="1"/>
    <col min="31" max="31" width="5.6640625" style="3" hidden="1" customWidth="1"/>
    <col min="32" max="32" width="12" style="3" hidden="1" customWidth="1"/>
    <col min="33" max="33" width="12.5" style="3" hidden="1" customWidth="1"/>
    <col min="34" max="34" width="8.5" style="3" hidden="1" customWidth="1"/>
    <col min="35" max="35" width="17" style="3" hidden="1" customWidth="1"/>
    <col min="36" max="36" width="12" style="3" hidden="1" customWidth="1"/>
    <col min="37" max="38" width="12.5" style="3" hidden="1" customWidth="1"/>
    <col min="39" max="39" width="3.33203125" style="3" hidden="1" customWidth="1"/>
    <col min="40" max="40" width="18.6640625" style="3" hidden="1" customWidth="1"/>
    <col min="41" max="44" width="15.1640625" style="3" hidden="1" customWidth="1"/>
    <col min="45" max="50" width="19.6640625" style="3" hidden="1" customWidth="1"/>
    <col min="51" max="51" width="10.83203125" style="3" hidden="1" customWidth="1"/>
    <col min="52" max="52" width="9.1640625" style="3" hidden="1" customWidth="1"/>
    <col min="53" max="64" width="15.6640625" style="3" hidden="1" customWidth="1"/>
    <col min="65" max="66" width="11.5" style="3" hidden="1" customWidth="1"/>
    <col min="67" max="68" width="9.1640625" style="3" hidden="1" customWidth="1"/>
    <col min="69" max="78" width="0" style="3" hidden="1" customWidth="1"/>
    <col min="79" max="179" width="9.1640625" style="3"/>
  </cols>
  <sheetData>
    <row r="1" spans="2:183" s="3" customFormat="1">
      <c r="Y1" s="172"/>
      <c r="Z1" s="172"/>
      <c r="AA1" s="172"/>
      <c r="AB1" s="172"/>
    </row>
    <row r="2" spans="2:183" s="3" customFormat="1" ht="19">
      <c r="C2" s="212" t="s">
        <v>451</v>
      </c>
      <c r="Y2" s="172"/>
      <c r="Z2" s="172"/>
      <c r="AA2" s="172"/>
      <c r="AB2" s="172"/>
    </row>
    <row r="3" spans="2:183" s="3" customFormat="1" ht="16" thickBot="1">
      <c r="Y3" s="172"/>
      <c r="Z3" s="172"/>
      <c r="AA3" s="172"/>
      <c r="AB3" s="172"/>
    </row>
    <row r="4" spans="2:183" ht="21" thickBot="1">
      <c r="B4" s="16" t="s">
        <v>340</v>
      </c>
      <c r="C4" s="17"/>
      <c r="D4" s="17"/>
      <c r="E4" s="17"/>
      <c r="F4" s="17"/>
      <c r="G4" s="17"/>
      <c r="H4" s="17"/>
      <c r="I4" s="17"/>
      <c r="J4" s="18"/>
      <c r="K4" s="18"/>
      <c r="L4" s="70"/>
      <c r="M4" s="70"/>
      <c r="N4" s="70"/>
    </row>
    <row r="5" spans="2:183" ht="16" thickBot="1">
      <c r="B5" s="73" t="s">
        <v>239</v>
      </c>
      <c r="C5" s="74"/>
      <c r="D5" s="74"/>
      <c r="E5" s="74"/>
      <c r="F5" s="74"/>
      <c r="G5" s="74"/>
      <c r="H5" s="74"/>
      <c r="I5" s="74"/>
      <c r="J5" s="74"/>
      <c r="K5" s="74"/>
      <c r="L5" s="74"/>
      <c r="M5" s="74"/>
      <c r="N5" s="79"/>
      <c r="AN5" s="587" t="s">
        <v>134</v>
      </c>
      <c r="AO5" s="588"/>
      <c r="AP5" s="588"/>
      <c r="AQ5" s="588"/>
      <c r="AR5" s="588"/>
      <c r="AS5" s="588"/>
      <c r="AT5" s="588"/>
      <c r="AU5" s="588"/>
      <c r="AV5" s="588"/>
      <c r="AW5" s="588"/>
      <c r="AX5" s="588"/>
      <c r="AY5" s="588"/>
      <c r="AZ5" s="588"/>
      <c r="BA5" s="589"/>
      <c r="FX5" s="3"/>
      <c r="FY5" s="3"/>
    </row>
    <row r="6" spans="2:183">
      <c r="B6" s="31"/>
      <c r="C6" s="12"/>
      <c r="D6" s="12"/>
      <c r="E6" s="12"/>
      <c r="F6" s="12"/>
      <c r="G6" s="12"/>
      <c r="H6" s="12"/>
      <c r="I6" s="93"/>
      <c r="J6" s="93"/>
      <c r="K6" s="93"/>
      <c r="L6" s="95"/>
      <c r="M6" s="95"/>
      <c r="N6" s="96"/>
      <c r="Q6" s="3" t="s">
        <v>450</v>
      </c>
      <c r="R6" s="654" t="s">
        <v>219</v>
      </c>
      <c r="S6" s="654"/>
      <c r="T6" s="654"/>
      <c r="U6" s="654"/>
      <c r="Y6" s="172" t="s">
        <v>449</v>
      </c>
      <c r="AN6" s="512" t="str">
        <f>INDEX(EPD_Measures,1)</f>
        <v>Global warming potential (GWP)</v>
      </c>
      <c r="AO6" s="512" t="str">
        <f>INDEX(EPD_Measures,2)</f>
        <v>Acidification potential</v>
      </c>
      <c r="AP6" s="512" t="str">
        <f>INDEX(EPD_Measures,3)</f>
        <v>Eutrophication potential</v>
      </c>
      <c r="AQ6" s="512" t="str">
        <f>INDEX(EPD_Measures,4)</f>
        <v>Smog creation potential</v>
      </c>
      <c r="AR6" s="512" t="str">
        <f>INDEX(EPD_Measures,5)</f>
        <v>Ozone depletion potential</v>
      </c>
      <c r="AS6" s="512" t="str">
        <f>INDEX(EPD_Measures,6)</f>
        <v>Total primary energy consumption</v>
      </c>
      <c r="AT6" s="512" t="str">
        <f>INDEX(EPD_Measures,7)</f>
        <v>Nonrenewable energy resources</v>
      </c>
      <c r="AU6" s="512" t="str">
        <f>INDEX(EPD_Measures,8)</f>
        <v>Renewable energy resources</v>
      </c>
      <c r="AV6" s="512" t="str">
        <f>INDEX(EPD_Measures,9)</f>
        <v>Material resources consumption</v>
      </c>
      <c r="AW6" s="512" t="str">
        <f>INDEX(EPD_Measures,10)</f>
        <v>Nonrenewable material resources</v>
      </c>
      <c r="AX6" s="512" t="str">
        <f>INDEX(EPD_Measures,11)</f>
        <v>Renewable material resources</v>
      </c>
      <c r="AY6" s="512" t="str">
        <f>INDEX(EPD_Measures,12)</f>
        <v>Net Fresh Water</v>
      </c>
      <c r="AZ6" s="512" t="str">
        <f>INDEX(EPD_Measures,13)</f>
        <v>Non-hazardous waste generated</v>
      </c>
      <c r="BA6" s="512" t="str">
        <f>INDEX(EPD_Measures,14)</f>
        <v>Hazardous waste generated</v>
      </c>
      <c r="FX6" s="3"/>
      <c r="FY6" s="3"/>
    </row>
    <row r="7" spans="2:183" ht="15" customHeight="1">
      <c r="B7" s="43" t="s">
        <v>629</v>
      </c>
      <c r="C7" s="44"/>
      <c r="D7" s="44"/>
      <c r="E7" s="44"/>
      <c r="F7" s="44"/>
      <c r="G7" s="44"/>
      <c r="H7" s="12"/>
      <c r="I7" s="80" t="s">
        <v>77</v>
      </c>
      <c r="J7" s="81"/>
      <c r="K7" s="81"/>
      <c r="L7" s="81"/>
      <c r="M7" s="81"/>
      <c r="N7" s="82"/>
      <c r="R7" s="654"/>
      <c r="S7" s="654"/>
      <c r="T7" s="654"/>
      <c r="U7" s="654"/>
      <c r="V7" s="170"/>
      <c r="W7" s="170"/>
      <c r="X7" s="170"/>
      <c r="Y7" s="332" t="str">
        <f>DistanceDisplayUnit</f>
        <v>mile</v>
      </c>
      <c r="AJ7" s="3" t="s">
        <v>102</v>
      </c>
      <c r="AK7" s="3" t="s">
        <v>102</v>
      </c>
      <c r="AL7" s="3" t="s">
        <v>506</v>
      </c>
      <c r="AN7" s="169" t="str">
        <f>INDEX(EPD_Calc_Units,1)</f>
        <v>kg</v>
      </c>
      <c r="AO7" s="169" t="str">
        <f>INDEX(EPD_Calc_Units,2)</f>
        <v>kg</v>
      </c>
      <c r="AP7" s="169" t="str">
        <f>INDEX(EPD_Calc_Units,3)</f>
        <v>kg</v>
      </c>
      <c r="AQ7" s="169" t="str">
        <f>INDEX(EPD_Calc_Units,4)</f>
        <v>kg</v>
      </c>
      <c r="AR7" s="169" t="str">
        <f>INDEX(EPD_Calc_Units,5)</f>
        <v>kg</v>
      </c>
      <c r="AS7" s="169" t="str">
        <f>INDEX(EPD_Calc_Units,6)</f>
        <v>MJ</v>
      </c>
      <c r="AT7" s="169" t="str">
        <f>INDEX(EPD_Calc_Units,7)</f>
        <v>MJ</v>
      </c>
      <c r="AU7" s="169" t="str">
        <f>INDEX(EPD_Calc_Units,8)</f>
        <v>MJ</v>
      </c>
      <c r="AV7" s="169" t="str">
        <f>INDEX(EPD_Calc_Units,9)</f>
        <v>kg</v>
      </c>
      <c r="AW7" s="169" t="str">
        <f>INDEX(EPD_Calc_Units,10)</f>
        <v>kg</v>
      </c>
      <c r="AX7" s="169" t="str">
        <f>INDEX(EPD_Calc_Units,11)</f>
        <v>kg</v>
      </c>
      <c r="AY7" s="169" t="str">
        <f>INDEX(EPD_Calc_Units,12)</f>
        <v>m3</v>
      </c>
      <c r="AZ7" s="169" t="str">
        <f>INDEX(EPD_Calc_Units,13)</f>
        <v>kg</v>
      </c>
      <c r="BA7" s="35" t="str">
        <f>INDEX(EPD_Calc_Units,14)</f>
        <v>kg</v>
      </c>
      <c r="FX7" s="3"/>
      <c r="FY7" s="3"/>
    </row>
    <row r="8" spans="2:183" ht="33" customHeight="1">
      <c r="B8" s="23" t="s">
        <v>2</v>
      </c>
      <c r="C8" s="24" t="s">
        <v>5</v>
      </c>
      <c r="D8" s="431" t="s">
        <v>207</v>
      </c>
      <c r="E8" s="431" t="s">
        <v>12</v>
      </c>
      <c r="F8" s="431" t="s">
        <v>6</v>
      </c>
      <c r="G8" s="431" t="s">
        <v>102</v>
      </c>
      <c r="H8" s="431" t="s">
        <v>6</v>
      </c>
      <c r="I8" s="433" t="s">
        <v>13</v>
      </c>
      <c r="J8" s="433" t="s">
        <v>14</v>
      </c>
      <c r="K8" s="433" t="s">
        <v>16</v>
      </c>
      <c r="L8" s="433" t="s">
        <v>15</v>
      </c>
      <c r="M8" s="434" t="s">
        <v>631</v>
      </c>
      <c r="N8" s="435" t="s">
        <v>6</v>
      </c>
      <c r="R8" s="3" t="s">
        <v>13</v>
      </c>
      <c r="S8" s="3" t="s">
        <v>14</v>
      </c>
      <c r="T8" s="3" t="s">
        <v>16</v>
      </c>
      <c r="U8" s="3" t="s">
        <v>15</v>
      </c>
      <c r="V8" s="172" t="s">
        <v>126</v>
      </c>
      <c r="W8" s="172" t="s">
        <v>79</v>
      </c>
      <c r="X8" s="208"/>
      <c r="Y8" s="172" t="s">
        <v>13</v>
      </c>
      <c r="Z8" s="172" t="s">
        <v>14</v>
      </c>
      <c r="AA8" s="172" t="s">
        <v>16</v>
      </c>
      <c r="AB8" s="172" t="s">
        <v>15</v>
      </c>
      <c r="AE8" s="3" t="s">
        <v>627</v>
      </c>
      <c r="AF8" s="3" t="s">
        <v>218</v>
      </c>
      <c r="AG8" s="171" t="s">
        <v>126</v>
      </c>
      <c r="AH8" s="172" t="s">
        <v>79</v>
      </c>
      <c r="AI8" s="172"/>
      <c r="AJ8" s="331" t="str">
        <f>MassCalcUnit</f>
        <v>tonne</v>
      </c>
      <c r="AK8" s="171" t="str">
        <f>'CPCI Data'!$W$14</f>
        <v>kg</v>
      </c>
      <c r="AL8" s="329" t="str">
        <f>MassDisplayUnit</f>
        <v>short ton</v>
      </c>
      <c r="AN8" s="171"/>
      <c r="AO8" s="171"/>
      <c r="AP8" s="171"/>
      <c r="AQ8" s="171"/>
      <c r="AR8" s="171"/>
      <c r="FX8" s="3"/>
      <c r="FY8" s="3"/>
    </row>
    <row r="9" spans="2:183">
      <c r="B9" s="26">
        <v>1</v>
      </c>
      <c r="C9" s="46" t="str">
        <f>AD9&amp;" Source #"&amp;AC9</f>
        <v>Portland Cement Source #1</v>
      </c>
      <c r="D9" s="104" t="s">
        <v>442</v>
      </c>
      <c r="E9" s="508"/>
      <c r="F9" s="106" t="str">
        <f>MassDisplayUnit</f>
        <v>short ton</v>
      </c>
      <c r="G9" s="506">
        <f>AL9</f>
        <v>0</v>
      </c>
      <c r="H9" s="204" t="str">
        <f>MassDisplayUnit</f>
        <v>short ton</v>
      </c>
      <c r="I9" s="520"/>
      <c r="J9" s="520"/>
      <c r="K9" s="520"/>
      <c r="L9" s="520"/>
      <c r="M9" s="436" t="s">
        <v>386</v>
      </c>
      <c r="N9" s="410" t="str">
        <f>DistanceDisplayUnit</f>
        <v>mile</v>
      </c>
      <c r="Q9" s="3">
        <f>IF(AND($D9&lt;&gt;"Insert Location",$E9&lt;&gt;0,OR(ISNUMBER($I9),ISNUMBER($J9),ISNUMBER($K9),ISNUMBER($L9))),1,0)</f>
        <v>0</v>
      </c>
      <c r="R9" s="3">
        <f t="shared" ref="R9:U12" si="0">$Q9*I9</f>
        <v>0</v>
      </c>
      <c r="S9" s="3">
        <f t="shared" si="0"/>
        <v>0</v>
      </c>
      <c r="T9" s="3">
        <f t="shared" si="0"/>
        <v>0</v>
      </c>
      <c r="U9" s="3">
        <f t="shared" si="0"/>
        <v>0</v>
      </c>
      <c r="V9" s="209" t="str">
        <f>N9</f>
        <v>mile</v>
      </c>
      <c r="W9" s="209">
        <f>INDEX(Conversion_Table,MATCH($V9,Conversion_Rows,0),MATCH($Y$7,Conversion_Columns,0))</f>
        <v>1</v>
      </c>
      <c r="X9" s="209" t="str">
        <f>$Y$7&amp;"/"&amp;$V9</f>
        <v>mile/mile</v>
      </c>
      <c r="Y9" s="210">
        <f t="shared" ref="Y9:AB12" si="1">R9*$W9</f>
        <v>0</v>
      </c>
      <c r="Z9" s="210">
        <f t="shared" si="1"/>
        <v>0</v>
      </c>
      <c r="AA9" s="210">
        <f t="shared" si="1"/>
        <v>0</v>
      </c>
      <c r="AB9" s="210">
        <f t="shared" si="1"/>
        <v>0</v>
      </c>
      <c r="AC9" s="3">
        <v>1</v>
      </c>
      <c r="AD9" s="3" t="str">
        <f>'Plant Inputs'!$D$30</f>
        <v>Portland Cement</v>
      </c>
      <c r="AE9" s="171">
        <f>IF($D9="Offshore",'Plant Inputs'!$AP$16,IF(COUNTIF(Locations_USA,$D9)=1,VLOOKUP($D9,Locations_USA,3,FALSE),IF(COUNTIF(Locations_CAN,$D9)=1,VLOOKUP($D9,Locations_CAN,3,FALSE),NA())))</f>
        <v>0</v>
      </c>
      <c r="AF9" s="172">
        <f>$Q9*$E9</f>
        <v>0</v>
      </c>
      <c r="AG9" s="171" t="str">
        <f>F9</f>
        <v>short ton</v>
      </c>
      <c r="AH9" s="171">
        <f>INDEX(Conversion_Table,MATCH($AG9,Conversion_Rows,0),MATCH($AJ$8,Conversion_Columns,0))</f>
        <v>0.90718499588591606</v>
      </c>
      <c r="AI9" s="172" t="str">
        <f>$AJ$8&amp;"/"&amp;AG9</f>
        <v>tonne/short ton</v>
      </c>
      <c r="AJ9" s="3">
        <f>AF9*AH9</f>
        <v>0</v>
      </c>
      <c r="AK9" s="171">
        <f>INDEX(Conversion_Table,MATCH($AJ$8,Conversion_Rows,0),MATCH($AK$8,Conversion_Columns,0))*AJ9</f>
        <v>0</v>
      </c>
      <c r="AL9" s="171">
        <f>$AJ9*INDEX(Conversion_Table,MATCH($AJ$8,Conversion_Rows,0),MATCH($AL$8,Conversion_Columns,0))</f>
        <v>0</v>
      </c>
      <c r="AN9" s="180">
        <f t="array" ref="AN9">IF($Q9=1,IFERROR(INDEX(LCIA_Data,MATCH($AE9&amp;AN$6,LCIA_Rows_B&amp;LCIA_Rows_C,0),MATCH($AD9,LCIA_Columns,0)),NA())*$AK9,0)</f>
        <v>0</v>
      </c>
      <c r="AO9" s="180">
        <f t="array" ref="AO9">IF($Q9=1,IFERROR(INDEX(LCIA_Data,MATCH($AE9&amp;AO$6,LCIA_Rows_B&amp;LCIA_Rows_C,0),MATCH($AD9,LCIA_Columns,0)),NA())*$AK9,0)</f>
        <v>0</v>
      </c>
      <c r="AP9" s="180">
        <f t="array" ref="AP9">IF($Q9=1,IFERROR(INDEX(LCIA_Data,MATCH($AE9&amp;AP$6,LCIA_Rows_B&amp;LCIA_Rows_C,0),MATCH($AD9,LCIA_Columns,0)),NA())*$AK9,0)</f>
        <v>0</v>
      </c>
      <c r="AQ9" s="180">
        <f t="array" ref="AQ9">IF($Q9=1,IFERROR(INDEX(LCIA_Data,MATCH($AE9&amp;AQ$6,LCIA_Rows_B&amp;LCIA_Rows_C,0),MATCH($AD9,LCIA_Columns,0)),NA())*$AK9,0)</f>
        <v>0</v>
      </c>
      <c r="AR9" s="180">
        <f t="array" ref="AR9">IF($Q9=1,IFERROR(INDEX(LCIA_Data,MATCH($AE9&amp;AR$6,LCIA_Rows_B&amp;LCIA_Rows_C,0),MATCH($AD9,LCIA_Columns,0)),NA())*$AK9,0)</f>
        <v>0</v>
      </c>
      <c r="AS9" s="180">
        <f t="array" ref="AS9">IF($Q9=1,IFERROR(INDEX(LCIA_Data,MATCH($AE9&amp;AS$6,LCIA_Rows_B&amp;LCIA_Rows_C,0),MATCH($AD9,LCIA_Columns,0)),NA())*$AK9,0)</f>
        <v>0</v>
      </c>
      <c r="AT9" s="180">
        <f t="array" ref="AT9">IF($Q9=1,IFERROR(INDEX(LCIA_Data,MATCH($AE9&amp;AT$6,LCIA_Rows_B&amp;LCIA_Rows_C,0),MATCH($AD9,LCIA_Columns,0)),NA())*$AK9,0)</f>
        <v>0</v>
      </c>
      <c r="AU9" s="180">
        <f t="array" ref="AU9">IF($Q9=1,IFERROR(INDEX(LCIA_Data,MATCH($AE9&amp;AU$6,LCIA_Rows_B&amp;LCIA_Rows_C,0),MATCH($AD9,LCIA_Columns,0)),NA())*$AK9,0)</f>
        <v>0</v>
      </c>
      <c r="AV9" s="180">
        <f t="array" ref="AV9">IF($Q9=1,IFERROR(INDEX(LCIA_Data,MATCH($AE9&amp;AV$6,LCIA_Rows_B&amp;LCIA_Rows_C,0),MATCH($AD9,LCIA_Columns,0)),NA())*$AK9,0)</f>
        <v>0</v>
      </c>
      <c r="AW9" s="180">
        <f t="array" ref="AW9">IF($Q9=1,IFERROR(INDEX(LCIA_Data,MATCH($AE9&amp;AW$6,LCIA_Rows_B&amp;LCIA_Rows_C,0),MATCH($AD9,LCIA_Columns,0)),NA())*$AK9,0)</f>
        <v>0</v>
      </c>
      <c r="AX9" s="180">
        <f t="array" ref="AX9">IF($Q9=1,IFERROR(INDEX(LCIA_Data,MATCH($AE9&amp;AX$6,LCIA_Rows_B&amp;LCIA_Rows_C,0),MATCH($AD9,LCIA_Columns,0)),NA())*$AK9,0)</f>
        <v>0</v>
      </c>
      <c r="AY9" s="180">
        <f t="array" ref="AY9">IF($Q9=1,IFERROR(INDEX(LCIA_Data,MATCH($AE9&amp;AY$6,LCIA_Rows_B&amp;LCIA_Rows_C,0),MATCH($AD9,LCIA_Columns,0)),NA())*$AK9,0)</f>
        <v>0</v>
      </c>
      <c r="AZ9" s="180">
        <f t="array" ref="AZ9">IF($Q9=1,IFERROR(INDEX(LCIA_Data,MATCH($AE9&amp;AZ$6,LCIA_Rows_B&amp;LCIA_Rows_C,0),MATCH($AD9,LCIA_Columns,0)),NA())*$AK9,0)</f>
        <v>0</v>
      </c>
      <c r="BA9" s="180">
        <f t="array" ref="BA9">IF($Q9=1,IFERROR(INDEX(LCIA_Data,MATCH($AE9&amp;BA$6,LCIA_Rows_B&amp;LCIA_Rows_C,0),MATCH($AD9,LCIA_Columns,0)),NA())*$AK9,0)</f>
        <v>0</v>
      </c>
      <c r="FX9" s="3"/>
      <c r="FY9" s="3"/>
      <c r="FZ9" s="3"/>
      <c r="GA9" s="3"/>
    </row>
    <row r="10" spans="2:183">
      <c r="B10" s="26">
        <v>2</v>
      </c>
      <c r="C10" s="46" t="str">
        <f>AD10&amp;" Source #"&amp;AC10</f>
        <v>Portland Cement Source #2</v>
      </c>
      <c r="D10" s="104" t="s">
        <v>442</v>
      </c>
      <c r="E10" s="508"/>
      <c r="F10" s="106" t="str">
        <f>MassDisplayUnit</f>
        <v>short ton</v>
      </c>
      <c r="G10" s="506">
        <f>AL10</f>
        <v>0</v>
      </c>
      <c r="H10" s="204" t="str">
        <f>MassDisplayUnit</f>
        <v>short ton</v>
      </c>
      <c r="I10" s="521"/>
      <c r="J10" s="521"/>
      <c r="K10" s="521"/>
      <c r="L10" s="521"/>
      <c r="M10" s="436" t="s">
        <v>386</v>
      </c>
      <c r="N10" s="408" t="str">
        <f>DistanceDisplayUnit</f>
        <v>mile</v>
      </c>
      <c r="Q10" s="3">
        <f>IF(AND($D10&lt;&gt;"Insert Location",$E10&lt;&gt;0,OR(ISNUMBER($I10),ISNUMBER($J10),ISNUMBER($K10),ISNUMBER($L10))),1,0)</f>
        <v>0</v>
      </c>
      <c r="R10" s="3">
        <f t="shared" si="0"/>
        <v>0</v>
      </c>
      <c r="S10" s="3">
        <f t="shared" si="0"/>
        <v>0</v>
      </c>
      <c r="T10" s="3">
        <f t="shared" si="0"/>
        <v>0</v>
      </c>
      <c r="U10" s="3">
        <f t="shared" si="0"/>
        <v>0</v>
      </c>
      <c r="V10" s="209" t="str">
        <f>N10</f>
        <v>mile</v>
      </c>
      <c r="W10" s="209">
        <f>INDEX(Conversion_Table,MATCH($V10,Conversion_Rows,0),MATCH($Y$7,Conversion_Columns,0))</f>
        <v>1</v>
      </c>
      <c r="X10" s="209" t="str">
        <f>$Y$7&amp;"/"&amp;$V10</f>
        <v>mile/mile</v>
      </c>
      <c r="Y10" s="210">
        <f t="shared" si="1"/>
        <v>0</v>
      </c>
      <c r="Z10" s="210">
        <f t="shared" si="1"/>
        <v>0</v>
      </c>
      <c r="AA10" s="210">
        <f t="shared" si="1"/>
        <v>0</v>
      </c>
      <c r="AB10" s="210">
        <f t="shared" si="1"/>
        <v>0</v>
      </c>
      <c r="AC10" s="3">
        <v>2</v>
      </c>
      <c r="AD10" s="3" t="str">
        <f>'Plant Inputs'!$D$30</f>
        <v>Portland Cement</v>
      </c>
      <c r="AE10" s="171">
        <f>IF($D10="Offshore",'Plant Inputs'!$AP$16,IF(COUNTIF(Locations_USA,$D10)=1,VLOOKUP($D10,Locations_USA,3,FALSE),IF(COUNTIF(Locations_CAN,$D10)=1,VLOOKUP($D10,Locations_CAN,3,FALSE),NA())))</f>
        <v>0</v>
      </c>
      <c r="AF10" s="172">
        <f>$Q10*$E10</f>
        <v>0</v>
      </c>
      <c r="AG10" s="171" t="str">
        <f>F10</f>
        <v>short ton</v>
      </c>
      <c r="AH10" s="171">
        <f>INDEX(Conversion_Table,MATCH($AG10,Conversion_Rows,0),MATCH($AJ$8,Conversion_Columns,0))</f>
        <v>0.90718499588591606</v>
      </c>
      <c r="AI10" s="172" t="str">
        <f>$AJ$8&amp;"/"&amp;AG10</f>
        <v>tonne/short ton</v>
      </c>
      <c r="AJ10" s="3">
        <f>AF10*AH10</f>
        <v>0</v>
      </c>
      <c r="AK10" s="171">
        <f>INDEX(Conversion_Table,MATCH($AJ$8,Conversion_Rows,0),MATCH($AK$8,Conversion_Columns,0))*AJ10</f>
        <v>0</v>
      </c>
      <c r="AL10" s="171">
        <f>$AJ10*INDEX(Conversion_Table,MATCH($AJ$8,Conversion_Rows,0),MATCH($AL$8,Conversion_Columns,0))</f>
        <v>0</v>
      </c>
      <c r="AN10" s="180">
        <f t="array" ref="AN10">IF($Q10=1,IFERROR(INDEX(LCIA_Data,MATCH($AE10&amp;AN$6,LCIA_Rows_B&amp;LCIA_Rows_C,0),MATCH($AD10,LCIA_Columns,0)),NA())*$AK10,0)</f>
        <v>0</v>
      </c>
      <c r="AO10" s="180">
        <f t="array" ref="AO10">IF($Q10=1,IFERROR(INDEX(LCIA_Data,MATCH($AE10&amp;AO$6,LCIA_Rows_B&amp;LCIA_Rows_C,0),MATCH($AD10,LCIA_Columns,0)),NA())*$AK10,0)</f>
        <v>0</v>
      </c>
      <c r="AP10" s="180">
        <f t="array" ref="AP10">IF($Q10=1,IFERROR(INDEX(LCIA_Data,MATCH($AE10&amp;AP$6,LCIA_Rows_B&amp;LCIA_Rows_C,0),MATCH($AD10,LCIA_Columns,0)),NA())*$AK10,0)</f>
        <v>0</v>
      </c>
      <c r="AQ10" s="180">
        <f t="array" ref="AQ10">IF($Q10=1,IFERROR(INDEX(LCIA_Data,MATCH($AE10&amp;AQ$6,LCIA_Rows_B&amp;LCIA_Rows_C,0),MATCH($AD10,LCIA_Columns,0)),NA())*$AK10,0)</f>
        <v>0</v>
      </c>
      <c r="AR10" s="180">
        <f t="array" ref="AR10">IF($Q10=1,IFERROR(INDEX(LCIA_Data,MATCH($AE10&amp;AR$6,LCIA_Rows_B&amp;LCIA_Rows_C,0),MATCH($AD10,LCIA_Columns,0)),NA())*$AK10,0)</f>
        <v>0</v>
      </c>
      <c r="AS10" s="180">
        <f t="array" ref="AS10">IF($Q10=1,IFERROR(INDEX(LCIA_Data,MATCH($AE10&amp;AS$6,LCIA_Rows_B&amp;LCIA_Rows_C,0),MATCH($AD10,LCIA_Columns,0)),NA())*$AK10,0)</f>
        <v>0</v>
      </c>
      <c r="AT10" s="180">
        <f t="array" ref="AT10">IF($Q10=1,IFERROR(INDEX(LCIA_Data,MATCH($AE10&amp;AT$6,LCIA_Rows_B&amp;LCIA_Rows_C,0),MATCH($AD10,LCIA_Columns,0)),NA())*$AK10,0)</f>
        <v>0</v>
      </c>
      <c r="AU10" s="180">
        <f t="array" ref="AU10">IF($Q10=1,IFERROR(INDEX(LCIA_Data,MATCH($AE10&amp;AU$6,LCIA_Rows_B&amp;LCIA_Rows_C,0),MATCH($AD10,LCIA_Columns,0)),NA())*$AK10,0)</f>
        <v>0</v>
      </c>
      <c r="AV10" s="180">
        <f t="array" ref="AV10">IF($Q10=1,IFERROR(INDEX(LCIA_Data,MATCH($AE10&amp;AV$6,LCIA_Rows_B&amp;LCIA_Rows_C,0),MATCH($AD10,LCIA_Columns,0)),NA())*$AK10,0)</f>
        <v>0</v>
      </c>
      <c r="AW10" s="180">
        <f t="array" ref="AW10">IF($Q10=1,IFERROR(INDEX(LCIA_Data,MATCH($AE10&amp;AW$6,LCIA_Rows_B&amp;LCIA_Rows_C,0),MATCH($AD10,LCIA_Columns,0)),NA())*$AK10,0)</f>
        <v>0</v>
      </c>
      <c r="AX10" s="180">
        <f t="array" ref="AX10">IF($Q10=1,IFERROR(INDEX(LCIA_Data,MATCH($AE10&amp;AX$6,LCIA_Rows_B&amp;LCIA_Rows_C,0),MATCH($AD10,LCIA_Columns,0)),NA())*$AK10,0)</f>
        <v>0</v>
      </c>
      <c r="AY10" s="180">
        <f t="array" ref="AY10">IF($Q10=1,IFERROR(INDEX(LCIA_Data,MATCH($AE10&amp;AY$6,LCIA_Rows_B&amp;LCIA_Rows_C,0),MATCH($AD10,LCIA_Columns,0)),NA())*$AK10,0)</f>
        <v>0</v>
      </c>
      <c r="AZ10" s="180">
        <f t="array" ref="AZ10">IF($Q10=1,IFERROR(INDEX(LCIA_Data,MATCH($AE10&amp;AZ$6,LCIA_Rows_B&amp;LCIA_Rows_C,0),MATCH($AD10,LCIA_Columns,0)),NA())*$AK10,0)</f>
        <v>0</v>
      </c>
      <c r="BA10" s="180">
        <f t="array" ref="BA10">IF($Q10=1,IFERROR(INDEX(LCIA_Data,MATCH($AE10&amp;BA$6,LCIA_Rows_B&amp;LCIA_Rows_C,0),MATCH($AD10,LCIA_Columns,0)),NA())*$AK10,0)</f>
        <v>0</v>
      </c>
      <c r="BC10" s="3" t="s">
        <v>584</v>
      </c>
      <c r="FX10" s="3"/>
      <c r="FY10" s="3"/>
      <c r="FZ10" s="3"/>
      <c r="GA10" s="3"/>
    </row>
    <row r="11" spans="2:183">
      <c r="B11" s="26">
        <v>3</v>
      </c>
      <c r="C11" s="46" t="str">
        <f>AD11&amp;" Source #"&amp;AC11</f>
        <v>Portland Cement Source #3</v>
      </c>
      <c r="D11" s="104" t="s">
        <v>442</v>
      </c>
      <c r="E11" s="508"/>
      <c r="F11" s="106" t="str">
        <f>MassDisplayUnit</f>
        <v>short ton</v>
      </c>
      <c r="G11" s="506">
        <f>AL11</f>
        <v>0</v>
      </c>
      <c r="H11" s="204" t="str">
        <f>MassDisplayUnit</f>
        <v>short ton</v>
      </c>
      <c r="I11" s="521"/>
      <c r="J11" s="521"/>
      <c r="K11" s="521"/>
      <c r="L11" s="521"/>
      <c r="M11" s="436" t="s">
        <v>386</v>
      </c>
      <c r="N11" s="408" t="str">
        <f>DistanceDisplayUnit</f>
        <v>mile</v>
      </c>
      <c r="Q11" s="3">
        <f>IF(AND($D11&lt;&gt;"Insert Location",$E11&lt;&gt;0,OR(ISNUMBER($I11),ISNUMBER($J11),ISNUMBER($K11),ISNUMBER($L11))),1,0)</f>
        <v>0</v>
      </c>
      <c r="R11" s="3">
        <f t="shared" si="0"/>
        <v>0</v>
      </c>
      <c r="S11" s="3">
        <f t="shared" si="0"/>
        <v>0</v>
      </c>
      <c r="T11" s="3">
        <f t="shared" si="0"/>
        <v>0</v>
      </c>
      <c r="U11" s="3">
        <f t="shared" si="0"/>
        <v>0</v>
      </c>
      <c r="V11" s="209" t="str">
        <f>N11</f>
        <v>mile</v>
      </c>
      <c r="W11" s="209">
        <f>INDEX(Conversion_Table,MATCH($V11,Conversion_Rows,0),MATCH($Y$7,Conversion_Columns,0))</f>
        <v>1</v>
      </c>
      <c r="X11" s="209" t="str">
        <f>$Y$7&amp;"/"&amp;$V11</f>
        <v>mile/mile</v>
      </c>
      <c r="Y11" s="210">
        <f t="shared" si="1"/>
        <v>0</v>
      </c>
      <c r="Z11" s="210">
        <f t="shared" si="1"/>
        <v>0</v>
      </c>
      <c r="AA11" s="210">
        <f t="shared" si="1"/>
        <v>0</v>
      </c>
      <c r="AB11" s="210">
        <f t="shared" si="1"/>
        <v>0</v>
      </c>
      <c r="AC11" s="3">
        <v>3</v>
      </c>
      <c r="AD11" s="3" t="str">
        <f>'Plant Inputs'!$D$30</f>
        <v>Portland Cement</v>
      </c>
      <c r="AE11" s="171">
        <f>IF($D11="Offshore",'Plant Inputs'!$AP$16,IF(COUNTIF(Locations_USA,$D11)=1,VLOOKUP($D11,Locations_USA,3,FALSE),IF(COUNTIF(Locations_CAN,$D11)=1,VLOOKUP($D11,Locations_CAN,3,FALSE),NA())))</f>
        <v>0</v>
      </c>
      <c r="AF11" s="172">
        <f>$Q11*$E11</f>
        <v>0</v>
      </c>
      <c r="AG11" s="171" t="str">
        <f>F11</f>
        <v>short ton</v>
      </c>
      <c r="AH11" s="171">
        <f>INDEX(Conversion_Table,MATCH($AG11,Conversion_Rows,0),MATCH($AJ$8,Conversion_Columns,0))</f>
        <v>0.90718499588591606</v>
      </c>
      <c r="AI11" s="172" t="str">
        <f>$AJ$8&amp;"/"&amp;AG11</f>
        <v>tonne/short ton</v>
      </c>
      <c r="AJ11" s="3">
        <f>AF11*AH11</f>
        <v>0</v>
      </c>
      <c r="AK11" s="171">
        <f>INDEX(Conversion_Table,MATCH($AJ$8,Conversion_Rows,0),MATCH($AK$8,Conversion_Columns,0))*AJ11</f>
        <v>0</v>
      </c>
      <c r="AL11" s="171">
        <f>$AJ11*INDEX(Conversion_Table,MATCH($AJ$8,Conversion_Rows,0),MATCH($AL$8,Conversion_Columns,0))</f>
        <v>0</v>
      </c>
      <c r="AN11" s="180">
        <f t="array" ref="AN11">IF($Q11=1,IFERROR(INDEX(LCIA_Data,MATCH($AE11&amp;AN$6,LCIA_Rows_B&amp;LCIA_Rows_C,0),MATCH($AD11,LCIA_Columns,0)),NA())*$AK11,0)</f>
        <v>0</v>
      </c>
      <c r="AO11" s="180">
        <f t="array" ref="AO11">IF($Q11=1,IFERROR(INDEX(LCIA_Data,MATCH($AE11&amp;AO$6,LCIA_Rows_B&amp;LCIA_Rows_C,0),MATCH($AD11,LCIA_Columns,0)),NA())*$AK11,0)</f>
        <v>0</v>
      </c>
      <c r="AP11" s="180">
        <f t="array" ref="AP11">IF($Q11=1,IFERROR(INDEX(LCIA_Data,MATCH($AE11&amp;AP$6,LCIA_Rows_B&amp;LCIA_Rows_C,0),MATCH($AD11,LCIA_Columns,0)),NA())*$AK11,0)</f>
        <v>0</v>
      </c>
      <c r="AQ11" s="180">
        <f t="array" ref="AQ11">IF($Q11=1,IFERROR(INDEX(LCIA_Data,MATCH($AE11&amp;AQ$6,LCIA_Rows_B&amp;LCIA_Rows_C,0),MATCH($AD11,LCIA_Columns,0)),NA())*$AK11,0)</f>
        <v>0</v>
      </c>
      <c r="AR11" s="180">
        <f t="array" ref="AR11">IF($Q11=1,IFERROR(INDEX(LCIA_Data,MATCH($AE11&amp;AR$6,LCIA_Rows_B&amp;LCIA_Rows_C,0),MATCH($AD11,LCIA_Columns,0)),NA())*$AK11,0)</f>
        <v>0</v>
      </c>
      <c r="AS11" s="180">
        <f t="array" ref="AS11">IF($Q11=1,IFERROR(INDEX(LCIA_Data,MATCH($AE11&amp;AS$6,LCIA_Rows_B&amp;LCIA_Rows_C,0),MATCH($AD11,LCIA_Columns,0)),NA())*$AK11,0)</f>
        <v>0</v>
      </c>
      <c r="AT11" s="180">
        <f t="array" ref="AT11">IF($Q11=1,IFERROR(INDEX(LCIA_Data,MATCH($AE11&amp;AT$6,LCIA_Rows_B&amp;LCIA_Rows_C,0),MATCH($AD11,LCIA_Columns,0)),NA())*$AK11,0)</f>
        <v>0</v>
      </c>
      <c r="AU11" s="180">
        <f t="array" ref="AU11">IF($Q11=1,IFERROR(INDEX(LCIA_Data,MATCH($AE11&amp;AU$6,LCIA_Rows_B&amp;LCIA_Rows_C,0),MATCH($AD11,LCIA_Columns,0)),NA())*$AK11,0)</f>
        <v>0</v>
      </c>
      <c r="AV11" s="180">
        <f t="array" ref="AV11">IF($Q11=1,IFERROR(INDEX(LCIA_Data,MATCH($AE11&amp;AV$6,LCIA_Rows_B&amp;LCIA_Rows_C,0),MATCH($AD11,LCIA_Columns,0)),NA())*$AK11,0)</f>
        <v>0</v>
      </c>
      <c r="AW11" s="180">
        <f t="array" ref="AW11">IF($Q11=1,IFERROR(INDEX(LCIA_Data,MATCH($AE11&amp;AW$6,LCIA_Rows_B&amp;LCIA_Rows_C,0),MATCH($AD11,LCIA_Columns,0)),NA())*$AK11,0)</f>
        <v>0</v>
      </c>
      <c r="AX11" s="180">
        <f t="array" ref="AX11">IF($Q11=1,IFERROR(INDEX(LCIA_Data,MATCH($AE11&amp;AX$6,LCIA_Rows_B&amp;LCIA_Rows_C,0),MATCH($AD11,LCIA_Columns,0)),NA())*$AK11,0)</f>
        <v>0</v>
      </c>
      <c r="AY11" s="180">
        <f t="array" ref="AY11">IF($Q11=1,IFERROR(INDEX(LCIA_Data,MATCH($AE11&amp;AY$6,LCIA_Rows_B&amp;LCIA_Rows_C,0),MATCH($AD11,LCIA_Columns,0)),NA())*$AK11,0)</f>
        <v>0</v>
      </c>
      <c r="AZ11" s="180">
        <f t="array" ref="AZ11">IF($Q11=1,IFERROR(INDEX(LCIA_Data,MATCH($AE11&amp;AZ$6,LCIA_Rows_B&amp;LCIA_Rows_C,0),MATCH($AD11,LCIA_Columns,0)),NA())*$AK11,0)</f>
        <v>0</v>
      </c>
      <c r="BA11" s="180">
        <f t="array" ref="BA11">IF($Q11=1,IFERROR(INDEX(LCIA_Data,MATCH($AE11&amp;BA$6,LCIA_Rows_B&amp;LCIA_Rows_C,0),MATCH($AD11,LCIA_Columns,0)),NA())*$AK11,0)</f>
        <v>0</v>
      </c>
      <c r="BC11" s="35" t="str">
        <f>INDEX(EPD_Measures,1)</f>
        <v>Global warming potential (GWP)</v>
      </c>
      <c r="BD11" s="35" t="str">
        <f>INDEX(EPD_Measures,2)</f>
        <v>Acidification potential</v>
      </c>
      <c r="BE11" s="35" t="str">
        <f>INDEX(EPD_Measures,3)</f>
        <v>Eutrophication potential</v>
      </c>
      <c r="BF11" s="35" t="str">
        <f>INDEX(EPD_Measures,4)</f>
        <v>Smog creation potential</v>
      </c>
      <c r="BG11" s="35" t="str">
        <f>INDEX(EPD_Measures,5)</f>
        <v>Ozone depletion potential</v>
      </c>
      <c r="BH11" s="35" t="str">
        <f>INDEX(EPD_Measures,6)</f>
        <v>Total primary energy consumption</v>
      </c>
      <c r="BI11" s="35" t="str">
        <f>INDEX(EPD_Measures,7)</f>
        <v>Nonrenewable energy resources</v>
      </c>
      <c r="BJ11" s="35" t="str">
        <f>INDEX(EPD_Measures,8)</f>
        <v>Renewable energy resources</v>
      </c>
      <c r="BK11" s="35" t="str">
        <f>INDEX(EPD_Measures,9)</f>
        <v>Material resources consumption</v>
      </c>
      <c r="BL11" s="35" t="str">
        <f>INDEX(EPD_Measures,10)</f>
        <v>Nonrenewable material resources</v>
      </c>
      <c r="BM11" s="35" t="str">
        <f>INDEX(EPD_Measures,11)</f>
        <v>Renewable material resources</v>
      </c>
      <c r="BN11" s="35" t="str">
        <f>INDEX(EPD_Measures,12)</f>
        <v>Net Fresh Water</v>
      </c>
      <c r="BO11" s="35" t="str">
        <f>INDEX(EPD_Measures,13)</f>
        <v>Non-hazardous waste generated</v>
      </c>
      <c r="BP11" s="35" t="str">
        <f>INDEX(EPD_Measures,14)</f>
        <v>Hazardous waste generated</v>
      </c>
      <c r="FX11" s="3"/>
      <c r="FY11" s="3"/>
      <c r="FZ11" s="3"/>
      <c r="GA11" s="3"/>
    </row>
    <row r="12" spans="2:183" ht="16" thickBot="1">
      <c r="B12" s="32">
        <v>4</v>
      </c>
      <c r="C12" s="47" t="str">
        <f>AD12&amp;" Source #"&amp;AC12</f>
        <v>Portland Cement Source #4</v>
      </c>
      <c r="D12" s="105" t="s">
        <v>442</v>
      </c>
      <c r="E12" s="509"/>
      <c r="F12" s="106" t="str">
        <f>MassDisplayUnit</f>
        <v>short ton</v>
      </c>
      <c r="G12" s="506">
        <f>AL12</f>
        <v>0</v>
      </c>
      <c r="H12" s="204" t="str">
        <f>MassDisplayUnit</f>
        <v>short ton</v>
      </c>
      <c r="I12" s="521"/>
      <c r="J12" s="521"/>
      <c r="K12" s="521"/>
      <c r="L12" s="521"/>
      <c r="M12" s="436" t="s">
        <v>386</v>
      </c>
      <c r="N12" s="410" t="str">
        <f>DistanceDisplayUnit</f>
        <v>mile</v>
      </c>
      <c r="Q12" s="3">
        <f>IF(AND($D12&lt;&gt;"Insert Location",$E12&lt;&gt;0,OR(ISNUMBER($I12),ISNUMBER($J12),ISNUMBER($K12),ISNUMBER($L12))),1,0)</f>
        <v>0</v>
      </c>
      <c r="R12" s="3">
        <f t="shared" si="0"/>
        <v>0</v>
      </c>
      <c r="S12" s="3">
        <f t="shared" si="0"/>
        <v>0</v>
      </c>
      <c r="T12" s="3">
        <f t="shared" si="0"/>
        <v>0</v>
      </c>
      <c r="U12" s="3">
        <f t="shared" si="0"/>
        <v>0</v>
      </c>
      <c r="V12" s="209" t="str">
        <f>N12</f>
        <v>mile</v>
      </c>
      <c r="W12" s="209">
        <f>INDEX(Conversion_Table,MATCH($V12,Conversion_Rows,0),MATCH($Y$7,Conversion_Columns,0))</f>
        <v>1</v>
      </c>
      <c r="X12" s="209" t="str">
        <f>$Y$7&amp;"/"&amp;$V12</f>
        <v>mile/mile</v>
      </c>
      <c r="Y12" s="210">
        <f t="shared" si="1"/>
        <v>0</v>
      </c>
      <c r="Z12" s="210">
        <f t="shared" si="1"/>
        <v>0</v>
      </c>
      <c r="AA12" s="210">
        <f t="shared" si="1"/>
        <v>0</v>
      </c>
      <c r="AB12" s="210">
        <f t="shared" si="1"/>
        <v>0</v>
      </c>
      <c r="AC12" s="3">
        <v>4</v>
      </c>
      <c r="AD12" s="3" t="str">
        <f>'Plant Inputs'!$D$30</f>
        <v>Portland Cement</v>
      </c>
      <c r="AE12" s="171">
        <f>IF($D12="Offshore",'Plant Inputs'!$AP$16,IF(COUNTIF(Locations_USA,$D12)=1,VLOOKUP($D12,Locations_USA,3,FALSE),IF(COUNTIF(Locations_CAN,$D12)=1,VLOOKUP($D12,Locations_CAN,3,FALSE),NA())))</f>
        <v>0</v>
      </c>
      <c r="AF12" s="172">
        <f>$Q12*$E12</f>
        <v>0</v>
      </c>
      <c r="AG12" s="171" t="str">
        <f>F12</f>
        <v>short ton</v>
      </c>
      <c r="AH12" s="171">
        <f>INDEX(Conversion_Table,MATCH($AG12,Conversion_Rows,0),MATCH($AJ$8,Conversion_Columns,0))</f>
        <v>0.90718499588591606</v>
      </c>
      <c r="AI12" s="172" t="str">
        <f>$AJ$8&amp;"/"&amp;AG12</f>
        <v>tonne/short ton</v>
      </c>
      <c r="AJ12" s="3">
        <f>AF12*AH12</f>
        <v>0</v>
      </c>
      <c r="AK12" s="171">
        <f>INDEX(Conversion_Table,MATCH($AJ$8,Conversion_Rows,0),MATCH($AK$8,Conversion_Columns,0))*AJ12</f>
        <v>0</v>
      </c>
      <c r="AL12" s="171">
        <f>$AJ12*INDEX(Conversion_Table,MATCH($AJ$8,Conversion_Rows,0),MATCH($AL$8,Conversion_Columns,0))</f>
        <v>0</v>
      </c>
      <c r="AN12" s="180">
        <f t="array" ref="AN12">IF($Q12=1,IFERROR(INDEX(LCIA_Data,MATCH($AE12&amp;AN$6,LCIA_Rows_B&amp;LCIA_Rows_C,0),MATCH($AD12,LCIA_Columns,0)),NA())*$AK12,0)</f>
        <v>0</v>
      </c>
      <c r="AO12" s="180">
        <f t="array" ref="AO12">IF($Q12=1,IFERROR(INDEX(LCIA_Data,MATCH($AE12&amp;AO$6,LCIA_Rows_B&amp;LCIA_Rows_C,0),MATCH($AD12,LCIA_Columns,0)),NA())*$AK12,0)</f>
        <v>0</v>
      </c>
      <c r="AP12" s="180">
        <f t="array" ref="AP12">IF($Q12=1,IFERROR(INDEX(LCIA_Data,MATCH($AE12&amp;AP$6,LCIA_Rows_B&amp;LCIA_Rows_C,0),MATCH($AD12,LCIA_Columns,0)),NA())*$AK12,0)</f>
        <v>0</v>
      </c>
      <c r="AQ12" s="180">
        <f t="array" ref="AQ12">IF($Q12=1,IFERROR(INDEX(LCIA_Data,MATCH($AE12&amp;AQ$6,LCIA_Rows_B&amp;LCIA_Rows_C,0),MATCH($AD12,LCIA_Columns,0)),NA())*$AK12,0)</f>
        <v>0</v>
      </c>
      <c r="AR12" s="180">
        <f t="array" ref="AR12">IF($Q12=1,IFERROR(INDEX(LCIA_Data,MATCH($AE12&amp;AR$6,LCIA_Rows_B&amp;LCIA_Rows_C,0),MATCH($AD12,LCIA_Columns,0)),NA())*$AK12,0)</f>
        <v>0</v>
      </c>
      <c r="AS12" s="180">
        <f t="array" ref="AS12">IF($Q12=1,IFERROR(INDEX(LCIA_Data,MATCH($AE12&amp;AS$6,LCIA_Rows_B&amp;LCIA_Rows_C,0),MATCH($AD12,LCIA_Columns,0)),NA())*$AK12,0)</f>
        <v>0</v>
      </c>
      <c r="AT12" s="180">
        <f t="array" ref="AT12">IF($Q12=1,IFERROR(INDEX(LCIA_Data,MATCH($AE12&amp;AT$6,LCIA_Rows_B&amp;LCIA_Rows_C,0),MATCH($AD12,LCIA_Columns,0)),NA())*$AK12,0)</f>
        <v>0</v>
      </c>
      <c r="AU12" s="180">
        <f t="array" ref="AU12">IF($Q12=1,IFERROR(INDEX(LCIA_Data,MATCH($AE12&amp;AU$6,LCIA_Rows_B&amp;LCIA_Rows_C,0),MATCH($AD12,LCIA_Columns,0)),NA())*$AK12,0)</f>
        <v>0</v>
      </c>
      <c r="AV12" s="180">
        <f t="array" ref="AV12">IF($Q12=1,IFERROR(INDEX(LCIA_Data,MATCH($AE12&amp;AV$6,LCIA_Rows_B&amp;LCIA_Rows_C,0),MATCH($AD12,LCIA_Columns,0)),NA())*$AK12,0)</f>
        <v>0</v>
      </c>
      <c r="AW12" s="180">
        <f t="array" ref="AW12">IF($Q12=1,IFERROR(INDEX(LCIA_Data,MATCH($AE12&amp;AW$6,LCIA_Rows_B&amp;LCIA_Rows_C,0),MATCH($AD12,LCIA_Columns,0)),NA())*$AK12,0)</f>
        <v>0</v>
      </c>
      <c r="AX12" s="180">
        <f t="array" ref="AX12">IF($Q12=1,IFERROR(INDEX(LCIA_Data,MATCH($AE12&amp;AX$6,LCIA_Rows_B&amp;LCIA_Rows_C,0),MATCH($AD12,LCIA_Columns,0)),NA())*$AK12,0)</f>
        <v>0</v>
      </c>
      <c r="AY12" s="180">
        <f t="array" ref="AY12">IF($Q12=1,IFERROR(INDEX(LCIA_Data,MATCH($AE12&amp;AY$6,LCIA_Rows_B&amp;LCIA_Rows_C,0),MATCH($AD12,LCIA_Columns,0)),NA())*$AK12,0)</f>
        <v>0</v>
      </c>
      <c r="AZ12" s="180">
        <f t="array" ref="AZ12">IF($Q12=1,IFERROR(INDEX(LCIA_Data,MATCH($AE12&amp;AZ$6,LCIA_Rows_B&amp;LCIA_Rows_C,0),MATCH($AD12,LCIA_Columns,0)),NA())*$AK12,0)</f>
        <v>0</v>
      </c>
      <c r="BA12" s="180">
        <f t="array" ref="BA12">IF($Q12=1,IFERROR(INDEX(LCIA_Data,MATCH($AE12&amp;BA$6,LCIA_Rows_B&amp;LCIA_Rows_C,0),MATCH($AD12,LCIA_Columns,0)),NA())*$AK12,0)</f>
        <v>0</v>
      </c>
      <c r="BC12" s="35" t="str">
        <f>INDEX(EPD_Calc_Units,1)</f>
        <v>kg</v>
      </c>
      <c r="BD12" s="35" t="str">
        <f>INDEX(EPD_Calc_Units,2)</f>
        <v>kg</v>
      </c>
      <c r="BE12" s="35" t="str">
        <f>INDEX(EPD_Calc_Units,3)</f>
        <v>kg</v>
      </c>
      <c r="BF12" s="35" t="str">
        <f>INDEX(EPD_Calc_Units,4)</f>
        <v>kg</v>
      </c>
      <c r="BG12" s="35" t="str">
        <f>INDEX(EPD_Calc_Units,5)</f>
        <v>kg</v>
      </c>
      <c r="BH12" s="35" t="str">
        <f>INDEX(EPD_Calc_Units,6)</f>
        <v>MJ</v>
      </c>
      <c r="BI12" s="35" t="str">
        <f>INDEX(EPD_Calc_Units,7)</f>
        <v>MJ</v>
      </c>
      <c r="BJ12" s="35" t="str">
        <f>INDEX(EPD_Calc_Units,8)</f>
        <v>MJ</v>
      </c>
      <c r="BK12" s="35" t="str">
        <f>INDEX(EPD_Calc_Units,9)</f>
        <v>kg</v>
      </c>
      <c r="BL12" s="35" t="str">
        <f>INDEX(EPD_Calc_Units,10)</f>
        <v>kg</v>
      </c>
      <c r="BM12" s="35" t="str">
        <f>INDEX(EPD_Calc_Units,11)</f>
        <v>kg</v>
      </c>
      <c r="BN12" s="35" t="str">
        <f>INDEX(EPD_Calc_Units,12)</f>
        <v>m3</v>
      </c>
      <c r="BO12" s="35" t="str">
        <f>INDEX(EPD_Calc_Units,13)</f>
        <v>kg</v>
      </c>
      <c r="BP12" s="35" t="str">
        <f>INDEX(EPD_Calc_Units,14)</f>
        <v>kg</v>
      </c>
      <c r="FX12" s="3"/>
      <c r="FY12" s="3"/>
      <c r="FZ12" s="3"/>
      <c r="GA12" s="3"/>
    </row>
    <row r="13" spans="2:183" ht="16" thickBot="1">
      <c r="B13" s="174"/>
      <c r="C13" s="174"/>
      <c r="D13" s="174"/>
      <c r="E13" s="174"/>
      <c r="F13" s="107" t="s">
        <v>19</v>
      </c>
      <c r="G13" s="507">
        <f>IF(AND($G9=0,$G10=0,$G11=0,$G12=0),0,$AL13)</f>
        <v>0</v>
      </c>
      <c r="H13" s="205" t="str">
        <f>MassDisplayUnit</f>
        <v>short ton</v>
      </c>
      <c r="I13" s="507">
        <f>Y13</f>
        <v>0</v>
      </c>
      <c r="J13" s="507">
        <f>Z13</f>
        <v>0</v>
      </c>
      <c r="K13" s="507">
        <f>AA13</f>
        <v>0</v>
      </c>
      <c r="L13" s="507">
        <f>AB13</f>
        <v>0</v>
      </c>
      <c r="M13" s="428"/>
      <c r="N13" s="206" t="str">
        <f>DistanceDisplayUnit</f>
        <v>mile</v>
      </c>
      <c r="Q13" s="3">
        <f>OR(SUM($Q9:$Q12)&gt;0,OR(AND($G25&lt;&gt;0,SUM($I25:$L25)&lt;&gt;0),AND($G58&lt;&gt;0,SUM($I58:$L58)&lt;&gt;0)))*1</f>
        <v>0</v>
      </c>
      <c r="R13" s="3" t="str">
        <f>IFERROR((R9*$G9+R10*$G10+R11*$G11+R12*$G12)/$G13,"")</f>
        <v/>
      </c>
      <c r="S13" s="3" t="str">
        <f>IFERROR((S9*$G9+S10*$G10+S11*$G11+S12*$G12)/$G13,"")</f>
        <v/>
      </c>
      <c r="T13" s="3" t="str">
        <f>IFERROR((T9*$G9+T10*$G10+T11*$G11+T12*$G12)/$G13,"")</f>
        <v/>
      </c>
      <c r="U13" s="3" t="str">
        <f>IFERROR((U9*$G9+U10*$G10+U11*$G11+U12*$G12)/$G13,"")</f>
        <v/>
      </c>
      <c r="W13" s="209"/>
      <c r="X13" s="209" t="str">
        <f>N13</f>
        <v>mile</v>
      </c>
      <c r="Y13" s="210">
        <f>IFERROR((Y9*$G9+Y10*$G10+Y11*$G11+Y12*$G12)/$G13,0)</f>
        <v>0</v>
      </c>
      <c r="Z13" s="210">
        <f>IFERROR((Z9*$G9+Z10*$G10+Z11*$G11+Z12*$G12)/$G13,0)</f>
        <v>0</v>
      </c>
      <c r="AA13" s="210">
        <f>IFERROR((AA9*$G9+AA10*$G10+AA11*$G11+AA12*$G12)/$G13,0)</f>
        <v>0</v>
      </c>
      <c r="AB13" s="210">
        <f>IFERROR((AB9*$G9+AB10*$G10+AB11*$G11+AB12*$G12)/$G13,0)</f>
        <v>0</v>
      </c>
      <c r="AC13" s="171"/>
      <c r="AD13" s="171"/>
      <c r="AE13" s="171"/>
      <c r="AF13" s="172">
        <f>$Q13*$E13</f>
        <v>0</v>
      </c>
      <c r="AI13" s="171" t="s">
        <v>19</v>
      </c>
      <c r="AJ13" s="173">
        <f>SUM(AJ9:AJ12)</f>
        <v>0</v>
      </c>
      <c r="AK13" s="173">
        <f>SUM(AK9:AK12)</f>
        <v>0</v>
      </c>
      <c r="AL13" s="171">
        <f>$AJ13*INDEX(Conversion_Table,MATCH($AJ$8,Conversion_Rows,0),MATCH($AL$8,Conversion_Columns,0))</f>
        <v>0</v>
      </c>
      <c r="AN13" s="180">
        <f>SUM(AN9:AN12)</f>
        <v>0</v>
      </c>
      <c r="AO13" s="180">
        <f t="shared" ref="AO13:AR13" si="2">SUM(AO9:AO12)</f>
        <v>0</v>
      </c>
      <c r="AP13" s="180">
        <f t="shared" si="2"/>
        <v>0</v>
      </c>
      <c r="AQ13" s="180">
        <f t="shared" si="2"/>
        <v>0</v>
      </c>
      <c r="AR13" s="180">
        <f t="shared" si="2"/>
        <v>0</v>
      </c>
      <c r="AS13" s="180">
        <f>SUM(AS9:AS12)</f>
        <v>0</v>
      </c>
      <c r="AT13" s="180">
        <f t="shared" ref="AT13:AX13" si="3">SUM(AT9:AT12)</f>
        <v>0</v>
      </c>
      <c r="AU13" s="180">
        <f t="shared" si="3"/>
        <v>0</v>
      </c>
      <c r="AV13" s="180">
        <f t="shared" si="3"/>
        <v>0</v>
      </c>
      <c r="AW13" s="180">
        <f t="shared" si="3"/>
        <v>0</v>
      </c>
      <c r="AX13" s="180">
        <f t="shared" si="3"/>
        <v>0</v>
      </c>
      <c r="AY13" s="180">
        <f t="shared" ref="AY13:BA13" si="4">SUM(AY9:AY12)</f>
        <v>0</v>
      </c>
      <c r="AZ13" s="180">
        <f t="shared" si="4"/>
        <v>0</v>
      </c>
      <c r="BA13" s="180">
        <f t="shared" si="4"/>
        <v>0</v>
      </c>
      <c r="BB13" s="173"/>
      <c r="BC13" s="3">
        <f t="shared" ref="BC13:BM13" si="5">IF($AK13=0,0,AN13/$AK13)</f>
        <v>0</v>
      </c>
      <c r="BD13" s="3">
        <f t="shared" si="5"/>
        <v>0</v>
      </c>
      <c r="BE13" s="3">
        <f t="shared" si="5"/>
        <v>0</v>
      </c>
      <c r="BF13" s="3">
        <f t="shared" si="5"/>
        <v>0</v>
      </c>
      <c r="BG13" s="3">
        <f t="shared" si="5"/>
        <v>0</v>
      </c>
      <c r="BH13" s="3">
        <f t="shared" si="5"/>
        <v>0</v>
      </c>
      <c r="BI13" s="3">
        <f t="shared" si="5"/>
        <v>0</v>
      </c>
      <c r="BJ13" s="3">
        <f t="shared" si="5"/>
        <v>0</v>
      </c>
      <c r="BK13" s="3">
        <f t="shared" si="5"/>
        <v>0</v>
      </c>
      <c r="BL13" s="3">
        <f t="shared" si="5"/>
        <v>0</v>
      </c>
      <c r="BM13" s="3">
        <f t="shared" si="5"/>
        <v>0</v>
      </c>
      <c r="BN13" s="3">
        <f t="shared" ref="BN13:BP13" si="6">IF($AK13=0,0,AY13/$AK13)</f>
        <v>0</v>
      </c>
      <c r="BO13" s="3">
        <f t="shared" si="6"/>
        <v>0</v>
      </c>
      <c r="BP13" s="3">
        <f t="shared" si="6"/>
        <v>0</v>
      </c>
      <c r="FX13" s="3"/>
      <c r="FY13" s="3"/>
      <c r="FZ13" s="3"/>
      <c r="GA13" s="3"/>
    </row>
    <row r="14" spans="2:183" s="3" customFormat="1">
      <c r="Y14" s="172"/>
      <c r="Z14" s="172"/>
      <c r="AA14" s="172"/>
      <c r="AB14" s="172"/>
    </row>
    <row r="15" spans="2:183" s="3" customFormat="1" ht="16" thickBot="1">
      <c r="Y15" s="172"/>
      <c r="Z15" s="172"/>
      <c r="AA15" s="172"/>
      <c r="AB15" s="172"/>
    </row>
    <row r="16" spans="2:183" ht="21" thickBot="1">
      <c r="B16" s="16" t="s">
        <v>615</v>
      </c>
      <c r="C16" s="17"/>
      <c r="D16" s="17"/>
      <c r="E16" s="17"/>
      <c r="F16" s="17"/>
      <c r="G16" s="17"/>
      <c r="H16" s="17"/>
      <c r="I16" s="17"/>
      <c r="J16" s="18"/>
      <c r="K16" s="18"/>
      <c r="L16" s="70"/>
      <c r="M16" s="70"/>
      <c r="N16" s="70"/>
      <c r="FX16" s="3"/>
      <c r="FY16" s="3"/>
      <c r="FZ16" s="3"/>
      <c r="GA16" s="3"/>
    </row>
    <row r="17" spans="2:183" ht="16" thickBot="1">
      <c r="B17" s="73" t="s">
        <v>239</v>
      </c>
      <c r="C17" s="74"/>
      <c r="D17" s="74"/>
      <c r="E17" s="74"/>
      <c r="F17" s="74"/>
      <c r="G17" s="74"/>
      <c r="H17" s="74"/>
      <c r="I17" s="74"/>
      <c r="J17" s="74"/>
      <c r="K17" s="74"/>
      <c r="L17" s="74"/>
      <c r="M17" s="74"/>
      <c r="N17" s="79"/>
      <c r="AN17" s="587" t="s">
        <v>134</v>
      </c>
      <c r="AO17" s="588"/>
      <c r="AP17" s="588"/>
      <c r="AQ17" s="588"/>
      <c r="AR17" s="588"/>
      <c r="AS17" s="588"/>
      <c r="AT17" s="588"/>
      <c r="AU17" s="588"/>
      <c r="AV17" s="588"/>
      <c r="AW17" s="588"/>
      <c r="AX17" s="588"/>
      <c r="AY17" s="588"/>
      <c r="AZ17" s="588"/>
      <c r="BA17" s="589"/>
      <c r="FX17" s="3"/>
      <c r="FY17" s="3"/>
      <c r="FZ17" s="3"/>
      <c r="GA17" s="3"/>
    </row>
    <row r="18" spans="2:183">
      <c r="B18" s="207" t="s">
        <v>629</v>
      </c>
      <c r="C18" s="12"/>
      <c r="D18" s="12"/>
      <c r="E18" s="12"/>
      <c r="F18" s="12"/>
      <c r="G18" s="12"/>
      <c r="H18" s="12"/>
      <c r="I18" s="93"/>
      <c r="J18" s="93"/>
      <c r="K18" s="93"/>
      <c r="L18" s="95"/>
      <c r="M18" s="95"/>
      <c r="N18" s="96"/>
      <c r="Q18" s="3" t="s">
        <v>450</v>
      </c>
      <c r="R18" s="654" t="s">
        <v>448</v>
      </c>
      <c r="S18" s="654"/>
      <c r="T18" s="654"/>
      <c r="U18" s="654"/>
      <c r="Y18" s="172" t="s">
        <v>449</v>
      </c>
      <c r="AN18" s="512" t="str">
        <f>INDEX(EPD_Measures,1)</f>
        <v>Global warming potential (GWP)</v>
      </c>
      <c r="AO18" s="512" t="str">
        <f>INDEX(EPD_Measures,2)</f>
        <v>Acidification potential</v>
      </c>
      <c r="AP18" s="512" t="str">
        <f>INDEX(EPD_Measures,3)</f>
        <v>Eutrophication potential</v>
      </c>
      <c r="AQ18" s="512" t="str">
        <f>INDEX(EPD_Measures,4)</f>
        <v>Smog creation potential</v>
      </c>
      <c r="AR18" s="512" t="str">
        <f>INDEX(EPD_Measures,5)</f>
        <v>Ozone depletion potential</v>
      </c>
      <c r="AS18" s="512" t="str">
        <f>INDEX(EPD_Measures,6)</f>
        <v>Total primary energy consumption</v>
      </c>
      <c r="AT18" s="512" t="str">
        <f>INDEX(EPD_Measures,7)</f>
        <v>Nonrenewable energy resources</v>
      </c>
      <c r="AU18" s="512" t="str">
        <f>INDEX(EPD_Measures,8)</f>
        <v>Renewable energy resources</v>
      </c>
      <c r="AV18" s="512" t="str">
        <f>INDEX(EPD_Measures,9)</f>
        <v>Material resources consumption</v>
      </c>
      <c r="AW18" s="512" t="str">
        <f>INDEX(EPD_Measures,10)</f>
        <v>Nonrenewable material resources</v>
      </c>
      <c r="AX18" s="512" t="str">
        <f>INDEX(EPD_Measures,11)</f>
        <v>Renewable material resources</v>
      </c>
      <c r="AY18" s="512" t="str">
        <f>INDEX(EPD_Measures,12)</f>
        <v>Net Fresh Water</v>
      </c>
      <c r="AZ18" s="512" t="str">
        <f>INDEX(EPD_Measures,13)</f>
        <v>Non-hazardous waste generated</v>
      </c>
      <c r="BA18" s="512" t="str">
        <f>INDEX(EPD_Measures,14)</f>
        <v>Hazardous waste generated</v>
      </c>
      <c r="FX18" s="3"/>
      <c r="FY18" s="3"/>
      <c r="FZ18" s="3"/>
      <c r="GA18" s="3"/>
    </row>
    <row r="19" spans="2:183" ht="15" customHeight="1">
      <c r="B19" s="43" t="s">
        <v>628</v>
      </c>
      <c r="C19" s="44"/>
      <c r="D19" s="44"/>
      <c r="E19" s="44"/>
      <c r="F19" s="44"/>
      <c r="G19" s="44"/>
      <c r="H19" s="12"/>
      <c r="I19" s="80" t="s">
        <v>77</v>
      </c>
      <c r="J19" s="81"/>
      <c r="K19" s="81"/>
      <c r="L19" s="81"/>
      <c r="M19" s="81"/>
      <c r="N19" s="82"/>
      <c r="R19" s="654"/>
      <c r="S19" s="654"/>
      <c r="T19" s="654"/>
      <c r="U19" s="654"/>
      <c r="V19" s="170"/>
      <c r="W19" s="170"/>
      <c r="X19" s="170"/>
      <c r="Y19" s="332" t="str">
        <f>DistanceDisplayUnit</f>
        <v>mile</v>
      </c>
      <c r="AJ19" s="3" t="s">
        <v>102</v>
      </c>
      <c r="AK19" s="3" t="s">
        <v>102</v>
      </c>
      <c r="AL19" s="3" t="s">
        <v>506</v>
      </c>
      <c r="AN19" s="169" t="str">
        <f>INDEX(EPD_Calc_Units,1)</f>
        <v>kg</v>
      </c>
      <c r="AO19" s="169" t="str">
        <f>INDEX(EPD_Calc_Units,2)</f>
        <v>kg</v>
      </c>
      <c r="AP19" s="169" t="str">
        <f>INDEX(EPD_Calc_Units,3)</f>
        <v>kg</v>
      </c>
      <c r="AQ19" s="169" t="str">
        <f>INDEX(EPD_Calc_Units,4)</f>
        <v>kg</v>
      </c>
      <c r="AR19" s="169" t="str">
        <f>INDEX(EPD_Calc_Units,5)</f>
        <v>kg</v>
      </c>
      <c r="AS19" s="169" t="str">
        <f>INDEX(EPD_Calc_Units,6)</f>
        <v>MJ</v>
      </c>
      <c r="AT19" s="169" t="str">
        <f>INDEX(EPD_Calc_Units,7)</f>
        <v>MJ</v>
      </c>
      <c r="AU19" s="169" t="str">
        <f>INDEX(EPD_Calc_Units,8)</f>
        <v>MJ</v>
      </c>
      <c r="AV19" s="169" t="str">
        <f>INDEX(EPD_Calc_Units,9)</f>
        <v>kg</v>
      </c>
      <c r="AW19" s="169" t="str">
        <f>INDEX(EPD_Calc_Units,10)</f>
        <v>kg</v>
      </c>
      <c r="AX19" s="169" t="str">
        <f>INDEX(EPD_Calc_Units,11)</f>
        <v>kg</v>
      </c>
      <c r="AY19" s="169" t="str">
        <f>INDEX(EPD_Calc_Units,12)</f>
        <v>m3</v>
      </c>
      <c r="AZ19" s="169" t="str">
        <f>INDEX(EPD_Calc_Units,13)</f>
        <v>kg</v>
      </c>
      <c r="BA19" s="35" t="str">
        <f>INDEX(EPD_Calc_Units,14)</f>
        <v>kg</v>
      </c>
      <c r="FX19" s="3"/>
      <c r="FY19" s="3"/>
      <c r="FZ19" s="3"/>
      <c r="GA19" s="3"/>
    </row>
    <row r="20" spans="2:183" ht="33" customHeight="1">
      <c r="B20" s="23" t="s">
        <v>2</v>
      </c>
      <c r="C20" s="24" t="s">
        <v>5</v>
      </c>
      <c r="D20" s="431" t="s">
        <v>207</v>
      </c>
      <c r="E20" s="431" t="s">
        <v>12</v>
      </c>
      <c r="F20" s="431" t="s">
        <v>6</v>
      </c>
      <c r="G20" s="431" t="s">
        <v>102</v>
      </c>
      <c r="H20" s="431" t="s">
        <v>6</v>
      </c>
      <c r="I20" s="433" t="s">
        <v>13</v>
      </c>
      <c r="J20" s="433" t="s">
        <v>14</v>
      </c>
      <c r="K20" s="433" t="s">
        <v>16</v>
      </c>
      <c r="L20" s="433" t="s">
        <v>15</v>
      </c>
      <c r="M20" s="434" t="s">
        <v>631</v>
      </c>
      <c r="N20" s="435" t="s">
        <v>6</v>
      </c>
      <c r="R20" s="3" t="s">
        <v>13</v>
      </c>
      <c r="S20" s="3" t="s">
        <v>14</v>
      </c>
      <c r="T20" s="3" t="s">
        <v>16</v>
      </c>
      <c r="U20" s="3" t="s">
        <v>15</v>
      </c>
      <c r="V20" s="172" t="s">
        <v>126</v>
      </c>
      <c r="W20" s="172" t="s">
        <v>79</v>
      </c>
      <c r="X20" s="208"/>
      <c r="Y20" s="172" t="s">
        <v>13</v>
      </c>
      <c r="Z20" s="172" t="s">
        <v>14</v>
      </c>
      <c r="AA20" s="172" t="s">
        <v>16</v>
      </c>
      <c r="AB20" s="172" t="s">
        <v>15</v>
      </c>
      <c r="AF20" s="3" t="s">
        <v>218</v>
      </c>
      <c r="AG20" s="171" t="s">
        <v>126</v>
      </c>
      <c r="AH20" s="172" t="s">
        <v>79</v>
      </c>
      <c r="AI20" s="172"/>
      <c r="AJ20" s="331" t="str">
        <f>MassCalcUnit</f>
        <v>tonne</v>
      </c>
      <c r="AK20" s="171" t="str">
        <f>'CPCI Data'!$W$14</f>
        <v>kg</v>
      </c>
      <c r="AL20" s="329" t="str">
        <f>MassDisplayUnit</f>
        <v>short ton</v>
      </c>
      <c r="AN20" s="171"/>
      <c r="AO20" s="171"/>
      <c r="AP20" s="171"/>
      <c r="AQ20" s="171"/>
      <c r="AR20" s="171"/>
      <c r="FX20" s="3"/>
      <c r="FY20" s="3"/>
      <c r="FZ20" s="3"/>
      <c r="GA20" s="3"/>
    </row>
    <row r="21" spans="2:183" ht="15" customHeight="1">
      <c r="B21" s="26">
        <v>1</v>
      </c>
      <c r="C21" s="46" t="str">
        <f>AD21&amp;" Source #"&amp;AC21</f>
        <v>Portland Limestone Cement (PLC) Source #1</v>
      </c>
      <c r="D21" s="104" t="s">
        <v>442</v>
      </c>
      <c r="E21" s="508"/>
      <c r="F21" s="106" t="str">
        <f>MassDisplayUnit</f>
        <v>short ton</v>
      </c>
      <c r="G21" s="506">
        <f>AL21</f>
        <v>0</v>
      </c>
      <c r="H21" s="204" t="str">
        <f>MassDisplayUnit</f>
        <v>short ton</v>
      </c>
      <c r="I21" s="520"/>
      <c r="J21" s="520"/>
      <c r="K21" s="520"/>
      <c r="L21" s="520"/>
      <c r="M21" s="436" t="s">
        <v>386</v>
      </c>
      <c r="N21" s="410" t="str">
        <f>DistanceDisplayUnit</f>
        <v>mile</v>
      </c>
      <c r="Q21" s="3">
        <f>IF(AND($D21&lt;&gt;"Insert Location",$E21&lt;&gt;0,OR(ISNUMBER($I21),ISNUMBER($J21),ISNUMBER($K21),ISNUMBER($L21))),1,0)</f>
        <v>0</v>
      </c>
      <c r="R21" s="3">
        <f t="shared" ref="R21:U24" si="7">$Q21*I21</f>
        <v>0</v>
      </c>
      <c r="S21" s="3">
        <f t="shared" si="7"/>
        <v>0</v>
      </c>
      <c r="T21" s="3">
        <f t="shared" si="7"/>
        <v>0</v>
      </c>
      <c r="U21" s="3">
        <f t="shared" si="7"/>
        <v>0</v>
      </c>
      <c r="V21" s="209" t="str">
        <f>N21</f>
        <v>mile</v>
      </c>
      <c r="W21" s="209">
        <f>INDEX(Conversion_Table,MATCH($V21,Conversion_Rows,0),MATCH($Y$19,Conversion_Columns,0))</f>
        <v>1</v>
      </c>
      <c r="X21" s="209" t="str">
        <f>$Y$19&amp;"/"&amp;$V21</f>
        <v>mile/mile</v>
      </c>
      <c r="Y21" s="210">
        <f t="shared" ref="Y21:AB24" si="8">R21*$W21</f>
        <v>0</v>
      </c>
      <c r="Z21" s="210">
        <f t="shared" si="8"/>
        <v>0</v>
      </c>
      <c r="AA21" s="210">
        <f t="shared" si="8"/>
        <v>0</v>
      </c>
      <c r="AB21" s="210">
        <f t="shared" si="8"/>
        <v>0</v>
      </c>
      <c r="AC21" s="3">
        <v>1</v>
      </c>
      <c r="AD21" s="3" t="str">
        <f>'Plant Inputs'!$D$31</f>
        <v>Portland Limestone Cement (PLC)</v>
      </c>
      <c r="AE21" s="171">
        <f>IF($D21="Offshore",'Plant Inputs'!$AP$16,IF(COUNTIF(Locations_USA,$D21)=1,VLOOKUP($D21,Locations_USA,3,FALSE),IF(COUNTIF(Locations_CAN,$D21)=1,VLOOKUP($D21,Locations_CAN,3,FALSE),NA())))</f>
        <v>0</v>
      </c>
      <c r="AF21" s="172">
        <f>$Q21*$E21</f>
        <v>0</v>
      </c>
      <c r="AG21" s="171" t="str">
        <f>F21</f>
        <v>short ton</v>
      </c>
      <c r="AH21" s="171">
        <f>INDEX(Conversion_Table,MATCH($AG21,Conversion_Rows,0),MATCH($AJ$8,Conversion_Columns,0))</f>
        <v>0.90718499588591606</v>
      </c>
      <c r="AI21" s="172" t="str">
        <f>$AJ$8&amp;"/"&amp;AG21</f>
        <v>tonne/short ton</v>
      </c>
      <c r="AJ21" s="3">
        <f>AF21*AH21</f>
        <v>0</v>
      </c>
      <c r="AK21" s="171">
        <f>INDEX(Conversion_Table,MATCH($AJ$20,Conversion_Rows,0),MATCH($AK$20,Conversion_Columns,0))*AJ21</f>
        <v>0</v>
      </c>
      <c r="AL21" s="171">
        <f>$AJ21*INDEX(Conversion_Table,MATCH($AJ$20,Conversion_Rows,0),MATCH($AL$20,Conversion_Columns,0))</f>
        <v>0</v>
      </c>
      <c r="AN21" s="180">
        <f t="array" ref="AN21">IF($Q21=1,IFERROR(INDEX(LCIA_Data,MATCH($AE21&amp;AN$18,LCIA_Rows_B&amp;LCIA_Rows_C,0),MATCH($AD21,LCIA_Columns,0)),NA())*$AK21,0)</f>
        <v>0</v>
      </c>
      <c r="AO21" s="180">
        <f t="array" ref="AO21">IF($Q21=1,IFERROR(INDEX(LCIA_Data,MATCH($AE21&amp;AO$18,LCIA_Rows_B&amp;LCIA_Rows_C,0),MATCH($AD21,LCIA_Columns,0)),NA())*$AK21,0)</f>
        <v>0</v>
      </c>
      <c r="AP21" s="180">
        <f t="array" ref="AP21">IF($Q21=1,IFERROR(INDEX(LCIA_Data,MATCH($AE21&amp;AP$18,LCIA_Rows_B&amp;LCIA_Rows_C,0),MATCH($AD21,LCIA_Columns,0)),NA())*$AK21,0)</f>
        <v>0</v>
      </c>
      <c r="AQ21" s="180">
        <f t="array" ref="AQ21">IF($Q21=1,IFERROR(INDEX(LCIA_Data,MATCH($AE21&amp;AQ$18,LCIA_Rows_B&amp;LCIA_Rows_C,0),MATCH($AD21,LCIA_Columns,0)),NA())*$AK21,0)</f>
        <v>0</v>
      </c>
      <c r="AR21" s="180">
        <f t="array" ref="AR21">IF($Q21=1,IFERROR(INDEX(LCIA_Data,MATCH($AE21&amp;AR$18,LCIA_Rows_B&amp;LCIA_Rows_C,0),MATCH($AD21,LCIA_Columns,0)),NA())*$AK21,0)</f>
        <v>0</v>
      </c>
      <c r="AS21" s="180">
        <f t="array" ref="AS21">IF($Q21=1,IFERROR(INDEX(LCIA_Data,MATCH($AE21&amp;AS$18,LCIA_Rows_B&amp;LCIA_Rows_C,0),MATCH($AD21,LCIA_Columns,0)),NA())*$AK21,0)</f>
        <v>0</v>
      </c>
      <c r="AT21" s="180">
        <f t="array" ref="AT21">IF($Q21=1,IFERROR(INDEX(LCIA_Data,MATCH($AE21&amp;AT$18,LCIA_Rows_B&amp;LCIA_Rows_C,0),MATCH($AD21,LCIA_Columns,0)),NA())*$AK21,0)</f>
        <v>0</v>
      </c>
      <c r="AU21" s="180">
        <f t="array" ref="AU21">IF($Q21=1,IFERROR(INDEX(LCIA_Data,MATCH($AE21&amp;AU$18,LCIA_Rows_B&amp;LCIA_Rows_C,0),MATCH($AD21,LCIA_Columns,0)),NA())*$AK21,0)</f>
        <v>0</v>
      </c>
      <c r="AV21" s="180">
        <f t="array" ref="AV21">IF($Q21=1,IFERROR(INDEX(LCIA_Data,MATCH($AE21&amp;AV$18,LCIA_Rows_B&amp;LCIA_Rows_C,0),MATCH($AD21,LCIA_Columns,0)),NA())*$AK21,0)</f>
        <v>0</v>
      </c>
      <c r="AW21" s="180">
        <f t="array" ref="AW21">IF($Q21=1,IFERROR(INDEX(LCIA_Data,MATCH($AE21&amp;AW$18,LCIA_Rows_B&amp;LCIA_Rows_C,0),MATCH($AD21,LCIA_Columns,0)),NA())*$AK21,0)</f>
        <v>0</v>
      </c>
      <c r="AX21" s="180">
        <f t="array" ref="AX21">IF($Q21=1,IFERROR(INDEX(LCIA_Data,MATCH($AE21&amp;AX$18,LCIA_Rows_B&amp;LCIA_Rows_C,0),MATCH($AD21,LCIA_Columns,0)),NA())*$AK21,0)</f>
        <v>0</v>
      </c>
      <c r="AY21" s="180">
        <f t="array" ref="AY21">IF($Q21=1,IFERROR(INDEX(LCIA_Data,MATCH($AE21&amp;AY$18,LCIA_Rows_B&amp;LCIA_Rows_C,0),MATCH($AD21,LCIA_Columns,0)),NA())*$AK21,0)</f>
        <v>0</v>
      </c>
      <c r="AZ21" s="180">
        <f t="array" ref="AZ21">IF($Q21=1,IFERROR(INDEX(LCIA_Data,MATCH($AE21&amp;AZ$18,LCIA_Rows_B&amp;LCIA_Rows_C,0),MATCH($AD21,LCIA_Columns,0)),NA())*$AK21,0)</f>
        <v>0</v>
      </c>
      <c r="BA21" s="180">
        <f t="array" ref="BA21">IF($Q21=1,IFERROR(INDEX(LCIA_Data,MATCH($AE21&amp;BA$18,LCIA_Rows_B&amp;LCIA_Rows_C,0),MATCH($AD21,LCIA_Columns,0)),NA())*$AK21,0)</f>
        <v>0</v>
      </c>
      <c r="FX21" s="3"/>
      <c r="FY21" s="3"/>
      <c r="FZ21" s="3"/>
      <c r="GA21" s="3"/>
    </row>
    <row r="22" spans="2:183" ht="15" customHeight="1">
      <c r="B22" s="26">
        <v>2</v>
      </c>
      <c r="C22" s="46" t="str">
        <f>AD22&amp;" Source #"&amp;AC22</f>
        <v>Portland Limestone Cement (PLC) Source #2</v>
      </c>
      <c r="D22" s="104" t="s">
        <v>442</v>
      </c>
      <c r="E22" s="508"/>
      <c r="F22" s="106" t="str">
        <f>MassDisplayUnit</f>
        <v>short ton</v>
      </c>
      <c r="G22" s="506">
        <f>AL22</f>
        <v>0</v>
      </c>
      <c r="H22" s="204" t="str">
        <f>MassDisplayUnit</f>
        <v>short ton</v>
      </c>
      <c r="I22" s="521"/>
      <c r="J22" s="521"/>
      <c r="K22" s="521"/>
      <c r="L22" s="521"/>
      <c r="M22" s="436" t="s">
        <v>386</v>
      </c>
      <c r="N22" s="408" t="str">
        <f>DistanceDisplayUnit</f>
        <v>mile</v>
      </c>
      <c r="Q22" s="3">
        <f>IF(AND($D22&lt;&gt;"Insert Location",$E22&lt;&gt;0,OR(ISNUMBER($I22),ISNUMBER($J22),ISNUMBER($K22),ISNUMBER($L22))),1,0)</f>
        <v>0</v>
      </c>
      <c r="R22" s="3">
        <f t="shared" si="7"/>
        <v>0</v>
      </c>
      <c r="S22" s="3">
        <f t="shared" si="7"/>
        <v>0</v>
      </c>
      <c r="T22" s="3">
        <f t="shared" si="7"/>
        <v>0</v>
      </c>
      <c r="U22" s="3">
        <f t="shared" si="7"/>
        <v>0</v>
      </c>
      <c r="V22" s="209" t="str">
        <f>N22</f>
        <v>mile</v>
      </c>
      <c r="W22" s="209">
        <f>INDEX(Conversion_Table,MATCH($V22,Conversion_Rows,0),MATCH($Y$19,Conversion_Columns,0))</f>
        <v>1</v>
      </c>
      <c r="X22" s="209" t="str">
        <f>$Y$19&amp;"/"&amp;$V22</f>
        <v>mile/mile</v>
      </c>
      <c r="Y22" s="210">
        <f t="shared" si="8"/>
        <v>0</v>
      </c>
      <c r="Z22" s="210">
        <f t="shared" si="8"/>
        <v>0</v>
      </c>
      <c r="AA22" s="210">
        <f t="shared" si="8"/>
        <v>0</v>
      </c>
      <c r="AB22" s="210">
        <f t="shared" si="8"/>
        <v>0</v>
      </c>
      <c r="AC22" s="3">
        <v>2</v>
      </c>
      <c r="AD22" s="3" t="str">
        <f>'Plant Inputs'!$D$31</f>
        <v>Portland Limestone Cement (PLC)</v>
      </c>
      <c r="AE22" s="171">
        <f>IF($D22="Offshore",'Plant Inputs'!$AP$16,IF(COUNTIF(Locations_USA,$D22)=1,VLOOKUP($D22,Locations_USA,3,FALSE),IF(COUNTIF(Locations_CAN,$D22)=1,VLOOKUP($D22,Locations_CAN,3,FALSE),NA())))</f>
        <v>0</v>
      </c>
      <c r="AF22" s="172">
        <f>$Q22*$E22</f>
        <v>0</v>
      </c>
      <c r="AG22" s="171" t="str">
        <f>F22</f>
        <v>short ton</v>
      </c>
      <c r="AH22" s="171">
        <f>INDEX(Conversion_Table,MATCH($AG22,Conversion_Rows,0),MATCH($AJ$8,Conversion_Columns,0))</f>
        <v>0.90718499588591606</v>
      </c>
      <c r="AI22" s="172" t="str">
        <f>$AJ$8&amp;"/"&amp;AG22</f>
        <v>tonne/short ton</v>
      </c>
      <c r="AJ22" s="3">
        <f>AF22*AH22</f>
        <v>0</v>
      </c>
      <c r="AK22" s="171">
        <f>INDEX(Conversion_Table,MATCH($AJ$20,Conversion_Rows,0),MATCH($AK$20,Conversion_Columns,0))*AJ22</f>
        <v>0</v>
      </c>
      <c r="AL22" s="171">
        <f>$AJ22*INDEX(Conversion_Table,MATCH($AJ$20,Conversion_Rows,0),MATCH($AL$20,Conversion_Columns,0))</f>
        <v>0</v>
      </c>
      <c r="AN22" s="180">
        <f t="array" ref="AN22">IF($Q22=1,IFERROR(INDEX(LCIA_Data,MATCH($AE22&amp;AN$6,LCIA_Rows_B&amp;LCIA_Rows_C,0),MATCH($AD22,LCIA_Columns,0)),NA())*$AK22,0)</f>
        <v>0</v>
      </c>
      <c r="AO22" s="180">
        <f t="array" ref="AO22">IF($Q22=1,IFERROR(INDEX(LCIA_Data,MATCH($AE22&amp;AO$6,LCIA_Rows_B&amp;LCIA_Rows_C,0),MATCH($AD22,LCIA_Columns,0)),NA())*$AK22,0)</f>
        <v>0</v>
      </c>
      <c r="AP22" s="180">
        <f t="array" ref="AP22">IF($Q22=1,IFERROR(INDEX(LCIA_Data,MATCH($AE22&amp;AP$6,LCIA_Rows_B&amp;LCIA_Rows_C,0),MATCH($AD22,LCIA_Columns,0)),NA())*$AK22,0)</f>
        <v>0</v>
      </c>
      <c r="AQ22" s="180">
        <f t="array" ref="AQ22">IF($Q22=1,IFERROR(INDEX(LCIA_Data,MATCH($AE22&amp;AQ$6,LCIA_Rows_B&amp;LCIA_Rows_C,0),MATCH($AD22,LCIA_Columns,0)),NA())*$AK22,0)</f>
        <v>0</v>
      </c>
      <c r="AR22" s="180">
        <f t="array" ref="AR22">IF($Q22=1,IFERROR(INDEX(LCIA_Data,MATCH($AE22&amp;AR$6,LCIA_Rows_B&amp;LCIA_Rows_C,0),MATCH($AD22,LCIA_Columns,0)),NA())*$AK22,0)</f>
        <v>0</v>
      </c>
      <c r="AS22" s="180">
        <f t="array" ref="AS22">IF($Q22=1,IFERROR(INDEX(LCIA_Data,MATCH($AE22&amp;AS$6,LCIA_Rows_B&amp;LCIA_Rows_C,0),MATCH($AD22,LCIA_Columns,0)),NA())*$AK22,0)</f>
        <v>0</v>
      </c>
      <c r="AT22" s="180">
        <f t="array" ref="AT22">IF($Q22=1,IFERROR(INDEX(LCIA_Data,MATCH($AE22&amp;AT$6,LCIA_Rows_B&amp;LCIA_Rows_C,0),MATCH($AD22,LCIA_Columns,0)),NA())*$AK22,0)</f>
        <v>0</v>
      </c>
      <c r="AU22" s="180">
        <f t="array" ref="AU22">IF($Q22=1,IFERROR(INDEX(LCIA_Data,MATCH($AE22&amp;AU$6,LCIA_Rows_B&amp;LCIA_Rows_C,0),MATCH($AD22,LCIA_Columns,0)),NA())*$AK22,0)</f>
        <v>0</v>
      </c>
      <c r="AV22" s="180">
        <f t="array" ref="AV22">IF($Q22=1,IFERROR(INDEX(LCIA_Data,MATCH($AE22&amp;AV$6,LCIA_Rows_B&amp;LCIA_Rows_C,0),MATCH($AD22,LCIA_Columns,0)),NA())*$AK22,0)</f>
        <v>0</v>
      </c>
      <c r="AW22" s="180">
        <f t="array" ref="AW22">IF($Q22=1,IFERROR(INDEX(LCIA_Data,MATCH($AE22&amp;AW$6,LCIA_Rows_B&amp;LCIA_Rows_C,0),MATCH($AD22,LCIA_Columns,0)),NA())*$AK22,0)</f>
        <v>0</v>
      </c>
      <c r="AX22" s="180">
        <f t="array" ref="AX22">IF($Q22=1,IFERROR(INDEX(LCIA_Data,MATCH($AE22&amp;AX$6,LCIA_Rows_B&amp;LCIA_Rows_C,0),MATCH($AD22,LCIA_Columns,0)),NA())*$AK22,0)</f>
        <v>0</v>
      </c>
      <c r="AY22" s="180">
        <f t="array" ref="AY22">IF($Q22=1,IFERROR(INDEX(LCIA_Data,MATCH($AE22&amp;AY$6,LCIA_Rows_B&amp;LCIA_Rows_C,0),MATCH($AD22,LCIA_Columns,0)),NA())*$AK22,0)</f>
        <v>0</v>
      </c>
      <c r="AZ22" s="180">
        <f t="array" ref="AZ22">IF($Q22=1,IFERROR(INDEX(LCIA_Data,MATCH($AE22&amp;AZ$6,LCIA_Rows_B&amp;LCIA_Rows_C,0),MATCH($AD22,LCIA_Columns,0)),NA())*$AK22,0)</f>
        <v>0</v>
      </c>
      <c r="BA22" s="180">
        <f t="array" ref="BA22">IF($Q22=1,IFERROR(INDEX(LCIA_Data,MATCH($AE22&amp;BA$6,LCIA_Rows_B&amp;LCIA_Rows_C,0),MATCH($AD22,LCIA_Columns,0)),NA())*$AK22,0)</f>
        <v>0</v>
      </c>
      <c r="BC22" s="3" t="s">
        <v>585</v>
      </c>
      <c r="FX22" s="3"/>
      <c r="FY22" s="3"/>
      <c r="FZ22" s="3"/>
      <c r="GA22" s="3"/>
    </row>
    <row r="23" spans="2:183" ht="15" customHeight="1">
      <c r="B23" s="26">
        <v>3</v>
      </c>
      <c r="C23" s="46" t="str">
        <f>AD23&amp;" Source #"&amp;AC23</f>
        <v>Portland Limestone Cement (PLC) Source #3</v>
      </c>
      <c r="D23" s="104" t="s">
        <v>442</v>
      </c>
      <c r="E23" s="508"/>
      <c r="F23" s="106" t="str">
        <f>MassDisplayUnit</f>
        <v>short ton</v>
      </c>
      <c r="G23" s="506">
        <f>AL23</f>
        <v>0</v>
      </c>
      <c r="H23" s="204" t="str">
        <f>MassDisplayUnit</f>
        <v>short ton</v>
      </c>
      <c r="I23" s="521"/>
      <c r="J23" s="521"/>
      <c r="K23" s="521"/>
      <c r="L23" s="521"/>
      <c r="M23" s="436" t="s">
        <v>386</v>
      </c>
      <c r="N23" s="408" t="str">
        <f>DistanceDisplayUnit</f>
        <v>mile</v>
      </c>
      <c r="Q23" s="3">
        <f>IF(AND($D23&lt;&gt;"Insert Location",$E23&lt;&gt;0,OR(ISNUMBER($I23),ISNUMBER($J23),ISNUMBER($K23),ISNUMBER($L23))),1,0)</f>
        <v>0</v>
      </c>
      <c r="R23" s="3">
        <f t="shared" si="7"/>
        <v>0</v>
      </c>
      <c r="S23" s="3">
        <f t="shared" si="7"/>
        <v>0</v>
      </c>
      <c r="T23" s="3">
        <f t="shared" si="7"/>
        <v>0</v>
      </c>
      <c r="U23" s="3">
        <f t="shared" si="7"/>
        <v>0</v>
      </c>
      <c r="V23" s="209" t="str">
        <f>N23</f>
        <v>mile</v>
      </c>
      <c r="W23" s="209">
        <f>INDEX(Conversion_Table,MATCH($V23,Conversion_Rows,0),MATCH($Y$19,Conversion_Columns,0))</f>
        <v>1</v>
      </c>
      <c r="X23" s="209" t="str">
        <f>$Y$19&amp;"/"&amp;$V23</f>
        <v>mile/mile</v>
      </c>
      <c r="Y23" s="210">
        <f t="shared" si="8"/>
        <v>0</v>
      </c>
      <c r="Z23" s="210">
        <f t="shared" si="8"/>
        <v>0</v>
      </c>
      <c r="AA23" s="210">
        <f t="shared" si="8"/>
        <v>0</v>
      </c>
      <c r="AB23" s="210">
        <f t="shared" si="8"/>
        <v>0</v>
      </c>
      <c r="AC23" s="3">
        <v>3</v>
      </c>
      <c r="AD23" s="3" t="str">
        <f>'Plant Inputs'!$D$31</f>
        <v>Portland Limestone Cement (PLC)</v>
      </c>
      <c r="AE23" s="171">
        <f>IF($D23="Offshore",'Plant Inputs'!$AP$16,IF(COUNTIF(Locations_USA,$D23)=1,VLOOKUP($D23,Locations_USA,3,FALSE),IF(COUNTIF(Locations_CAN,$D23)=1,VLOOKUP($D23,Locations_CAN,3,FALSE),NA())))</f>
        <v>0</v>
      </c>
      <c r="AF23" s="172">
        <f>$Q23*$E23</f>
        <v>0</v>
      </c>
      <c r="AG23" s="171" t="str">
        <f>F23</f>
        <v>short ton</v>
      </c>
      <c r="AH23" s="171">
        <f>INDEX(Conversion_Table,MATCH($AG23,Conversion_Rows,0),MATCH($AJ$8,Conversion_Columns,0))</f>
        <v>0.90718499588591606</v>
      </c>
      <c r="AI23" s="172" t="str">
        <f>$AJ$8&amp;"/"&amp;AG23</f>
        <v>tonne/short ton</v>
      </c>
      <c r="AJ23" s="3">
        <f>AF23*AH23</f>
        <v>0</v>
      </c>
      <c r="AK23" s="171">
        <f>INDEX(Conversion_Table,MATCH($AJ$20,Conversion_Rows,0),MATCH($AK$20,Conversion_Columns,0))*AJ23</f>
        <v>0</v>
      </c>
      <c r="AL23" s="171">
        <f>$AJ23*INDEX(Conversion_Table,MATCH($AJ$20,Conversion_Rows,0),MATCH($AL$20,Conversion_Columns,0))</f>
        <v>0</v>
      </c>
      <c r="AN23" s="180">
        <f t="array" ref="AN23">IF($Q23=1,IFERROR(INDEX(LCIA_Data,MATCH($AE23&amp;AN$6,LCIA_Rows_B&amp;LCIA_Rows_C,0),MATCH($AD23,LCIA_Columns,0)),NA())*$AK23,0)</f>
        <v>0</v>
      </c>
      <c r="AO23" s="180">
        <f t="array" ref="AO23">IF($Q23=1,IFERROR(INDEX(LCIA_Data,MATCH($AE23&amp;AO$6,LCIA_Rows_B&amp;LCIA_Rows_C,0),MATCH($AD23,LCIA_Columns,0)),NA())*$AK23,0)</f>
        <v>0</v>
      </c>
      <c r="AP23" s="180">
        <f t="array" ref="AP23">IF($Q23=1,IFERROR(INDEX(LCIA_Data,MATCH($AE23&amp;AP$6,LCIA_Rows_B&amp;LCIA_Rows_C,0),MATCH($AD23,LCIA_Columns,0)),NA())*$AK23,0)</f>
        <v>0</v>
      </c>
      <c r="AQ23" s="180">
        <f t="array" ref="AQ23">IF($Q23=1,IFERROR(INDEX(LCIA_Data,MATCH($AE23&amp;AQ$6,LCIA_Rows_B&amp;LCIA_Rows_C,0),MATCH($AD23,LCIA_Columns,0)),NA())*$AK23,0)</f>
        <v>0</v>
      </c>
      <c r="AR23" s="180">
        <f t="array" ref="AR23">IF($Q23=1,IFERROR(INDEX(LCIA_Data,MATCH($AE23&amp;AR$6,LCIA_Rows_B&amp;LCIA_Rows_C,0),MATCH($AD23,LCIA_Columns,0)),NA())*$AK23,0)</f>
        <v>0</v>
      </c>
      <c r="AS23" s="180">
        <f t="array" ref="AS23">IF($Q23=1,IFERROR(INDEX(LCIA_Data,MATCH($AE23&amp;AS$6,LCIA_Rows_B&amp;LCIA_Rows_C,0),MATCH($AD23,LCIA_Columns,0)),NA())*$AK23,0)</f>
        <v>0</v>
      </c>
      <c r="AT23" s="180">
        <f t="array" ref="AT23">IF($Q23=1,IFERROR(INDEX(LCIA_Data,MATCH($AE23&amp;AT$6,LCIA_Rows_B&amp;LCIA_Rows_C,0),MATCH($AD23,LCIA_Columns,0)),NA())*$AK23,0)</f>
        <v>0</v>
      </c>
      <c r="AU23" s="180">
        <f t="array" ref="AU23">IF($Q23=1,IFERROR(INDEX(LCIA_Data,MATCH($AE23&amp;AU$6,LCIA_Rows_B&amp;LCIA_Rows_C,0),MATCH($AD23,LCIA_Columns,0)),NA())*$AK23,0)</f>
        <v>0</v>
      </c>
      <c r="AV23" s="180">
        <f t="array" ref="AV23">IF($Q23=1,IFERROR(INDEX(LCIA_Data,MATCH($AE23&amp;AV$6,LCIA_Rows_B&amp;LCIA_Rows_C,0),MATCH($AD23,LCIA_Columns,0)),NA())*$AK23,0)</f>
        <v>0</v>
      </c>
      <c r="AW23" s="180">
        <f t="array" ref="AW23">IF($Q23=1,IFERROR(INDEX(LCIA_Data,MATCH($AE23&amp;AW$6,LCIA_Rows_B&amp;LCIA_Rows_C,0),MATCH($AD23,LCIA_Columns,0)),NA())*$AK23,0)</f>
        <v>0</v>
      </c>
      <c r="AX23" s="180">
        <f t="array" ref="AX23">IF($Q23=1,IFERROR(INDEX(LCIA_Data,MATCH($AE23&amp;AX$6,LCIA_Rows_B&amp;LCIA_Rows_C,0),MATCH($AD23,LCIA_Columns,0)),NA())*$AK23,0)</f>
        <v>0</v>
      </c>
      <c r="AY23" s="180">
        <f t="array" ref="AY23">IF($Q23=1,IFERROR(INDEX(LCIA_Data,MATCH($AE23&amp;AY$6,LCIA_Rows_B&amp;LCIA_Rows_C,0),MATCH($AD23,LCIA_Columns,0)),NA())*$AK23,0)</f>
        <v>0</v>
      </c>
      <c r="AZ23" s="180">
        <f t="array" ref="AZ23">IF($Q23=1,IFERROR(INDEX(LCIA_Data,MATCH($AE23&amp;AZ$6,LCIA_Rows_B&amp;LCIA_Rows_C,0),MATCH($AD23,LCIA_Columns,0)),NA())*$AK23,0)</f>
        <v>0</v>
      </c>
      <c r="BA23" s="180">
        <f t="array" ref="BA23">IF($Q23=1,IFERROR(INDEX(LCIA_Data,MATCH($AE23&amp;BA$6,LCIA_Rows_B&amp;LCIA_Rows_C,0),MATCH($AD23,LCIA_Columns,0)),NA())*$AK23,0)</f>
        <v>0</v>
      </c>
      <c r="BC23" s="35" t="str">
        <f>INDEX(EPD_Measures,1)</f>
        <v>Global warming potential (GWP)</v>
      </c>
      <c r="BD23" s="35" t="str">
        <f>INDEX(EPD_Measures,2)</f>
        <v>Acidification potential</v>
      </c>
      <c r="BE23" s="35" t="str">
        <f>INDEX(EPD_Measures,3)</f>
        <v>Eutrophication potential</v>
      </c>
      <c r="BF23" s="35" t="str">
        <f>INDEX(EPD_Measures,4)</f>
        <v>Smog creation potential</v>
      </c>
      <c r="BG23" s="35" t="str">
        <f>INDEX(EPD_Measures,5)</f>
        <v>Ozone depletion potential</v>
      </c>
      <c r="BH23" s="35" t="str">
        <f>INDEX(EPD_Measures,6)</f>
        <v>Total primary energy consumption</v>
      </c>
      <c r="BI23" s="35" t="str">
        <f>INDEX(EPD_Measures,7)</f>
        <v>Nonrenewable energy resources</v>
      </c>
      <c r="BJ23" s="35" t="str">
        <f>INDEX(EPD_Measures,8)</f>
        <v>Renewable energy resources</v>
      </c>
      <c r="BK23" s="35" t="str">
        <f>INDEX(EPD_Measures,9)</f>
        <v>Material resources consumption</v>
      </c>
      <c r="BL23" s="35" t="str">
        <f>INDEX(EPD_Measures,10)</f>
        <v>Nonrenewable material resources</v>
      </c>
      <c r="BM23" s="35" t="str">
        <f>INDEX(EPD_Measures,11)</f>
        <v>Renewable material resources</v>
      </c>
      <c r="BN23" s="35" t="str">
        <f>INDEX(EPD_Measures,12)</f>
        <v>Net Fresh Water</v>
      </c>
      <c r="BO23" s="35" t="str">
        <f>INDEX(EPD_Measures,13)</f>
        <v>Non-hazardous waste generated</v>
      </c>
      <c r="BP23" s="35" t="str">
        <f>INDEX(EPD_Measures,14)</f>
        <v>Hazardous waste generated</v>
      </c>
      <c r="FX23" s="3"/>
      <c r="FY23" s="3"/>
      <c r="FZ23" s="3"/>
      <c r="GA23" s="3"/>
    </row>
    <row r="24" spans="2:183" ht="15" customHeight="1" thickBot="1">
      <c r="B24" s="32">
        <v>4</v>
      </c>
      <c r="C24" s="47" t="str">
        <f>AD24&amp;" Source #"&amp;AC24</f>
        <v>Portland Limestone Cement (PLC) Source #4</v>
      </c>
      <c r="D24" s="105" t="s">
        <v>442</v>
      </c>
      <c r="E24" s="509"/>
      <c r="F24" s="106" t="str">
        <f>MassDisplayUnit</f>
        <v>short ton</v>
      </c>
      <c r="G24" s="506">
        <f>AL24</f>
        <v>0</v>
      </c>
      <c r="H24" s="204" t="str">
        <f>MassDisplayUnit</f>
        <v>short ton</v>
      </c>
      <c r="I24" s="521"/>
      <c r="J24" s="521"/>
      <c r="K24" s="521"/>
      <c r="L24" s="521"/>
      <c r="M24" s="436" t="s">
        <v>386</v>
      </c>
      <c r="N24" s="410" t="str">
        <f>DistanceDisplayUnit</f>
        <v>mile</v>
      </c>
      <c r="Q24" s="3">
        <f>IF(AND($D24&lt;&gt;"Insert Location",$E24&lt;&gt;0,OR(ISNUMBER($I24),ISNUMBER($J24),ISNUMBER($K24),ISNUMBER($L24))),1,0)</f>
        <v>0</v>
      </c>
      <c r="R24" s="3">
        <f t="shared" si="7"/>
        <v>0</v>
      </c>
      <c r="S24" s="3">
        <f t="shared" si="7"/>
        <v>0</v>
      </c>
      <c r="T24" s="3">
        <f t="shared" si="7"/>
        <v>0</v>
      </c>
      <c r="U24" s="3">
        <f t="shared" si="7"/>
        <v>0</v>
      </c>
      <c r="V24" s="209" t="str">
        <f>N24</f>
        <v>mile</v>
      </c>
      <c r="W24" s="209">
        <f>INDEX(Conversion_Table,MATCH($V24,Conversion_Rows,0),MATCH($Y$19,Conversion_Columns,0))</f>
        <v>1</v>
      </c>
      <c r="X24" s="209" t="str">
        <f>$Y$19&amp;"/"&amp;$V24</f>
        <v>mile/mile</v>
      </c>
      <c r="Y24" s="210">
        <f t="shared" si="8"/>
        <v>0</v>
      </c>
      <c r="Z24" s="210">
        <f t="shared" si="8"/>
        <v>0</v>
      </c>
      <c r="AA24" s="210">
        <f t="shared" si="8"/>
        <v>0</v>
      </c>
      <c r="AB24" s="210">
        <f t="shared" si="8"/>
        <v>0</v>
      </c>
      <c r="AC24" s="3">
        <v>4</v>
      </c>
      <c r="AD24" s="3" t="str">
        <f>'Plant Inputs'!$D$31</f>
        <v>Portland Limestone Cement (PLC)</v>
      </c>
      <c r="AE24" s="171">
        <f>IF($D24="Offshore",'Plant Inputs'!$AP$16,IF(COUNTIF(Locations_USA,$D24)=1,VLOOKUP($D24,Locations_USA,3,FALSE),IF(COUNTIF(Locations_CAN,$D24)=1,VLOOKUP($D24,Locations_CAN,3,FALSE),NA())))</f>
        <v>0</v>
      </c>
      <c r="AF24" s="172">
        <f>$Q24*$E24</f>
        <v>0</v>
      </c>
      <c r="AG24" s="171" t="str">
        <f>F24</f>
        <v>short ton</v>
      </c>
      <c r="AH24" s="171">
        <f>INDEX(Conversion_Table,MATCH($AG24,Conversion_Rows,0),MATCH($AJ$8,Conversion_Columns,0))</f>
        <v>0.90718499588591606</v>
      </c>
      <c r="AI24" s="172" t="str">
        <f>$AJ$8&amp;"/"&amp;AG24</f>
        <v>tonne/short ton</v>
      </c>
      <c r="AJ24" s="3">
        <f>AF24*AH24</f>
        <v>0</v>
      </c>
      <c r="AK24" s="171">
        <f>INDEX(Conversion_Table,MATCH($AJ$20,Conversion_Rows,0),MATCH($AK$20,Conversion_Columns,0))*AJ24</f>
        <v>0</v>
      </c>
      <c r="AL24" s="171">
        <f>$AJ24*INDEX(Conversion_Table,MATCH($AJ$20,Conversion_Rows,0),MATCH($AL$20,Conversion_Columns,0))</f>
        <v>0</v>
      </c>
      <c r="AN24" s="180">
        <f t="array" ref="AN24">IF($Q24=1,IFERROR(INDEX(LCIA_Data,MATCH($AE24&amp;AN$6,LCIA_Rows_B&amp;LCIA_Rows_C,0),MATCH($AD24,LCIA_Columns,0)),NA())*$AK24,0)</f>
        <v>0</v>
      </c>
      <c r="AO24" s="180">
        <f t="array" ref="AO24">IF($Q24=1,IFERROR(INDEX(LCIA_Data,MATCH($AE24&amp;AO$6,LCIA_Rows_B&amp;LCIA_Rows_C,0),MATCH($AD24,LCIA_Columns,0)),NA())*$AK24,0)</f>
        <v>0</v>
      </c>
      <c r="AP24" s="180">
        <f t="array" ref="AP24">IF($Q24=1,IFERROR(INDEX(LCIA_Data,MATCH($AE24&amp;AP$6,LCIA_Rows_B&amp;LCIA_Rows_C,0),MATCH($AD24,LCIA_Columns,0)),NA())*$AK24,0)</f>
        <v>0</v>
      </c>
      <c r="AQ24" s="180">
        <f t="array" ref="AQ24">IF($Q24=1,IFERROR(INDEX(LCIA_Data,MATCH($AE24&amp;AQ$6,LCIA_Rows_B&amp;LCIA_Rows_C,0),MATCH($AD24,LCIA_Columns,0)),NA())*$AK24,0)</f>
        <v>0</v>
      </c>
      <c r="AR24" s="180">
        <f t="array" ref="AR24">IF($Q24=1,IFERROR(INDEX(LCIA_Data,MATCH($AE24&amp;AR$6,LCIA_Rows_B&amp;LCIA_Rows_C,0),MATCH($AD24,LCIA_Columns,0)),NA())*$AK24,0)</f>
        <v>0</v>
      </c>
      <c r="AS24" s="180">
        <f t="array" ref="AS24">IF($Q24=1,IFERROR(INDEX(LCIA_Data,MATCH($AE24&amp;AS$6,LCIA_Rows_B&amp;LCIA_Rows_C,0),MATCH($AD24,LCIA_Columns,0)),NA())*$AK24,0)</f>
        <v>0</v>
      </c>
      <c r="AT24" s="180">
        <f t="array" ref="AT24">IF($Q24=1,IFERROR(INDEX(LCIA_Data,MATCH($AE24&amp;AT$6,LCIA_Rows_B&amp;LCIA_Rows_C,0),MATCH($AD24,LCIA_Columns,0)),NA())*$AK24,0)</f>
        <v>0</v>
      </c>
      <c r="AU24" s="180">
        <f t="array" ref="AU24">IF($Q24=1,IFERROR(INDEX(LCIA_Data,MATCH($AE24&amp;AU$6,LCIA_Rows_B&amp;LCIA_Rows_C,0),MATCH($AD24,LCIA_Columns,0)),NA())*$AK24,0)</f>
        <v>0</v>
      </c>
      <c r="AV24" s="180">
        <f t="array" ref="AV24">IF($Q24=1,IFERROR(INDEX(LCIA_Data,MATCH($AE24&amp;AV$6,LCIA_Rows_B&amp;LCIA_Rows_C,0),MATCH($AD24,LCIA_Columns,0)),NA())*$AK24,0)</f>
        <v>0</v>
      </c>
      <c r="AW24" s="180">
        <f t="array" ref="AW24">IF($Q24=1,IFERROR(INDEX(LCIA_Data,MATCH($AE24&amp;AW$6,LCIA_Rows_B&amp;LCIA_Rows_C,0),MATCH($AD24,LCIA_Columns,0)),NA())*$AK24,0)</f>
        <v>0</v>
      </c>
      <c r="AX24" s="180">
        <f t="array" ref="AX24">IF($Q24=1,IFERROR(INDEX(LCIA_Data,MATCH($AE24&amp;AX$6,LCIA_Rows_B&amp;LCIA_Rows_C,0),MATCH($AD24,LCIA_Columns,0)),NA())*$AK24,0)</f>
        <v>0</v>
      </c>
      <c r="AY24" s="180">
        <f t="array" ref="AY24">IF($Q24=1,IFERROR(INDEX(LCIA_Data,MATCH($AE24&amp;AY$6,LCIA_Rows_B&amp;LCIA_Rows_C,0),MATCH($AD24,LCIA_Columns,0)),NA())*$AK24,0)</f>
        <v>0</v>
      </c>
      <c r="AZ24" s="180">
        <f t="array" ref="AZ24">IF($Q24=1,IFERROR(INDEX(LCIA_Data,MATCH($AE24&amp;AZ$6,LCIA_Rows_B&amp;LCIA_Rows_C,0),MATCH($AD24,LCIA_Columns,0)),NA())*$AK24,0)</f>
        <v>0</v>
      </c>
      <c r="BA24" s="180">
        <f t="array" ref="BA24">IF($Q24=1,IFERROR(INDEX(LCIA_Data,MATCH($AE24&amp;BA$6,LCIA_Rows_B&amp;LCIA_Rows_C,0),MATCH($AD24,LCIA_Columns,0)),NA())*$AK24,0)</f>
        <v>0</v>
      </c>
      <c r="BC24" s="35" t="str">
        <f>INDEX(EPD_Calc_Units,1)</f>
        <v>kg</v>
      </c>
      <c r="BD24" s="35" t="str">
        <f>INDEX(EPD_Calc_Units,2)</f>
        <v>kg</v>
      </c>
      <c r="BE24" s="35" t="str">
        <f>INDEX(EPD_Calc_Units,3)</f>
        <v>kg</v>
      </c>
      <c r="BF24" s="35" t="str">
        <f>INDEX(EPD_Calc_Units,4)</f>
        <v>kg</v>
      </c>
      <c r="BG24" s="35" t="str">
        <f>INDEX(EPD_Calc_Units,5)</f>
        <v>kg</v>
      </c>
      <c r="BH24" s="35" t="str">
        <f>INDEX(EPD_Calc_Units,6)</f>
        <v>MJ</v>
      </c>
      <c r="BI24" s="35" t="str">
        <f>INDEX(EPD_Calc_Units,7)</f>
        <v>MJ</v>
      </c>
      <c r="BJ24" s="35" t="str">
        <f>INDEX(EPD_Calc_Units,8)</f>
        <v>MJ</v>
      </c>
      <c r="BK24" s="35" t="str">
        <f>INDEX(EPD_Calc_Units,9)</f>
        <v>kg</v>
      </c>
      <c r="BL24" s="35" t="str">
        <f>INDEX(EPD_Calc_Units,10)</f>
        <v>kg</v>
      </c>
      <c r="BM24" s="35" t="str">
        <f>INDEX(EPD_Calc_Units,11)</f>
        <v>kg</v>
      </c>
      <c r="BN24" s="35" t="str">
        <f>INDEX(EPD_Calc_Units,12)</f>
        <v>m3</v>
      </c>
      <c r="BO24" s="35" t="str">
        <f>INDEX(EPD_Calc_Units,13)</f>
        <v>kg</v>
      </c>
      <c r="BP24" s="35" t="str">
        <f>INDEX(EPD_Calc_Units,14)</f>
        <v>kg</v>
      </c>
      <c r="FX24" s="3"/>
      <c r="FY24" s="3"/>
      <c r="FZ24" s="3"/>
      <c r="GA24" s="3"/>
    </row>
    <row r="25" spans="2:183" ht="16" thickBot="1">
      <c r="B25" s="174"/>
      <c r="C25" s="174"/>
      <c r="D25" s="174"/>
      <c r="E25" s="174"/>
      <c r="F25" s="107" t="s">
        <v>19</v>
      </c>
      <c r="G25" s="507">
        <f>IF(AND($G21=0,$G22=0,$G23=0,$G24=0),0,$AL25)</f>
        <v>0</v>
      </c>
      <c r="H25" s="205" t="str">
        <f>MassDisplayUnit</f>
        <v>short ton</v>
      </c>
      <c r="I25" s="507">
        <f>Y25</f>
        <v>0</v>
      </c>
      <c r="J25" s="507">
        <f>Z25</f>
        <v>0</v>
      </c>
      <c r="K25" s="507">
        <f>AA25</f>
        <v>0</v>
      </c>
      <c r="L25" s="507">
        <f>AB25</f>
        <v>0</v>
      </c>
      <c r="M25" s="428"/>
      <c r="N25" s="206" t="str">
        <f>DistanceDisplayUnit</f>
        <v>mile</v>
      </c>
      <c r="Q25" s="3">
        <f>OR(SUM($Q21:$Q24)&gt;0,OR(AND($G13&lt;&gt;0,SUM($I13:$L13)&lt;&gt;0),AND($G58&lt;&gt;0,SUM($I58:$L58)&lt;&gt;0)))*1</f>
        <v>0</v>
      </c>
      <c r="R25" s="3" t="str">
        <f>IFERROR((R21*$G21+R22*$G22+R23*$G23+R24*$G24)/$G25,"")</f>
        <v/>
      </c>
      <c r="S25" s="3" t="str">
        <f>IFERROR((S21*$G21+S22*$G22+S23*$G23+S24*$G24)/$G25,"")</f>
        <v/>
      </c>
      <c r="T25" s="3" t="str">
        <f>IFERROR((T21*$G21+T22*$G22+T23*$G23+T24*$G24)/$G25,"")</f>
        <v/>
      </c>
      <c r="U25" s="3" t="str">
        <f>IFERROR((U21*$G21+U22*$G22+U23*$G23+U24*$G24)/$G25,"")</f>
        <v/>
      </c>
      <c r="W25" s="209"/>
      <c r="X25" s="209" t="str">
        <f>N25</f>
        <v>mile</v>
      </c>
      <c r="Y25" s="210">
        <f>IFERROR((Y21*$G21+Y22*$G22+Y23*$G23+Y24*$G24)/$G25,0)</f>
        <v>0</v>
      </c>
      <c r="Z25" s="210">
        <f>IFERROR((Z21*$G21+Z22*$G22+Z23*$G23+Z24*$G24)/$G25,0)</f>
        <v>0</v>
      </c>
      <c r="AA25" s="210">
        <f>IFERROR((AA21*$G21+AA22*$G22+AA23*$G23+AA24*$G24)/$G25,0)</f>
        <v>0</v>
      </c>
      <c r="AB25" s="210">
        <f>IFERROR((AB21*$G21+AB22*$G22+AB23*$G23+AB24*$G24)/$G25,0)</f>
        <v>0</v>
      </c>
      <c r="AC25" s="171"/>
      <c r="AD25" s="171"/>
      <c r="AE25" s="171"/>
      <c r="AF25" s="172"/>
      <c r="AI25" s="171" t="s">
        <v>19</v>
      </c>
      <c r="AJ25" s="173">
        <f>SUM(AJ21:AJ24)</f>
        <v>0</v>
      </c>
      <c r="AK25" s="3">
        <f>SUM(AK21:AK24)</f>
        <v>0</v>
      </c>
      <c r="AL25" s="171">
        <f>$AJ25*INDEX(Conversion_Table,MATCH($AJ$8,Conversion_Rows,0),MATCH($AL$8,Conversion_Columns,0))</f>
        <v>0</v>
      </c>
      <c r="AN25" s="180">
        <f>SUM(AN21:AN24)</f>
        <v>0</v>
      </c>
      <c r="AO25" s="180">
        <f t="shared" ref="AO25:AR25" si="9">SUM(AO21:AO24)</f>
        <v>0</v>
      </c>
      <c r="AP25" s="180">
        <f t="shared" si="9"/>
        <v>0</v>
      </c>
      <c r="AQ25" s="180">
        <f t="shared" si="9"/>
        <v>0</v>
      </c>
      <c r="AR25" s="180">
        <f t="shared" si="9"/>
        <v>0</v>
      </c>
      <c r="AS25" s="180">
        <f>SUM(AS21:AS24)</f>
        <v>0</v>
      </c>
      <c r="AT25" s="180">
        <f t="shared" ref="AT25:AX25" si="10">SUM(AT21:AT24)</f>
        <v>0</v>
      </c>
      <c r="AU25" s="180">
        <f t="shared" si="10"/>
        <v>0</v>
      </c>
      <c r="AV25" s="180">
        <f t="shared" si="10"/>
        <v>0</v>
      </c>
      <c r="AW25" s="180">
        <f t="shared" si="10"/>
        <v>0</v>
      </c>
      <c r="AX25" s="180">
        <f t="shared" si="10"/>
        <v>0</v>
      </c>
      <c r="AY25" s="180">
        <f t="shared" ref="AY25:BA25" si="11">SUM(AY21:AY24)</f>
        <v>0</v>
      </c>
      <c r="AZ25" s="180">
        <f t="shared" si="11"/>
        <v>0</v>
      </c>
      <c r="BA25" s="180">
        <f t="shared" si="11"/>
        <v>0</v>
      </c>
      <c r="BB25" s="173"/>
      <c r="BC25" s="3">
        <f t="shared" ref="BC25:BM25" si="12">IF($AK25=0,0,AN25/$AK25)</f>
        <v>0</v>
      </c>
      <c r="BD25" s="3">
        <f t="shared" si="12"/>
        <v>0</v>
      </c>
      <c r="BE25" s="3">
        <f t="shared" si="12"/>
        <v>0</v>
      </c>
      <c r="BF25" s="3">
        <f t="shared" si="12"/>
        <v>0</v>
      </c>
      <c r="BG25" s="3">
        <f t="shared" si="12"/>
        <v>0</v>
      </c>
      <c r="BH25" s="3">
        <f t="shared" si="12"/>
        <v>0</v>
      </c>
      <c r="BI25" s="3">
        <f t="shared" si="12"/>
        <v>0</v>
      </c>
      <c r="BJ25" s="3">
        <f t="shared" si="12"/>
        <v>0</v>
      </c>
      <c r="BK25" s="3">
        <f t="shared" si="12"/>
        <v>0</v>
      </c>
      <c r="BL25" s="3">
        <f t="shared" si="12"/>
        <v>0</v>
      </c>
      <c r="BM25" s="3">
        <f t="shared" si="12"/>
        <v>0</v>
      </c>
      <c r="BN25" s="3">
        <f t="shared" ref="BN25:BP25" si="13">IF($AK25=0,0,AY25/$AK25)</f>
        <v>0</v>
      </c>
      <c r="BO25" s="3">
        <f t="shared" si="13"/>
        <v>0</v>
      </c>
      <c r="BP25" s="3">
        <f t="shared" si="13"/>
        <v>0</v>
      </c>
      <c r="FX25" s="3"/>
      <c r="FY25" s="3"/>
      <c r="FZ25" s="3"/>
      <c r="GA25" s="3"/>
    </row>
    <row r="26" spans="2:183" s="3" customFormat="1">
      <c r="Y26" s="172"/>
      <c r="Z26" s="172"/>
      <c r="AA26" s="172"/>
      <c r="AB26" s="172"/>
    </row>
    <row r="27" spans="2:183" s="3" customFormat="1" ht="16" thickBot="1">
      <c r="S27"/>
      <c r="Y27" s="172"/>
      <c r="Z27" s="172"/>
      <c r="AA27" s="172"/>
      <c r="AB27" s="172"/>
    </row>
    <row r="28" spans="2:183" ht="21" thickBot="1">
      <c r="B28" s="16" t="s">
        <v>802</v>
      </c>
      <c r="C28" s="17"/>
      <c r="D28" s="17"/>
      <c r="E28" s="17"/>
      <c r="F28" s="17"/>
      <c r="G28" s="17"/>
      <c r="H28" s="17"/>
      <c r="I28" s="17"/>
      <c r="J28" s="18"/>
      <c r="K28" s="18"/>
      <c r="L28" s="70"/>
      <c r="M28" s="70"/>
      <c r="N28" s="70"/>
      <c r="FX28" s="3"/>
      <c r="FY28" s="3"/>
      <c r="FZ28" s="3"/>
      <c r="GA28" s="3"/>
    </row>
    <row r="29" spans="2:183" ht="16" thickBot="1">
      <c r="B29" s="73" t="s">
        <v>239</v>
      </c>
      <c r="C29" s="74"/>
      <c r="D29" s="74"/>
      <c r="E29" s="74"/>
      <c r="F29" s="74"/>
      <c r="G29" s="74"/>
      <c r="H29" s="74"/>
      <c r="I29" s="74"/>
      <c r="J29" s="74"/>
      <c r="K29" s="74"/>
      <c r="L29" s="74"/>
      <c r="M29" s="74"/>
      <c r="N29" s="79"/>
      <c r="AN29" s="624"/>
      <c r="AO29" s="624"/>
      <c r="AP29" s="624"/>
      <c r="AQ29" s="624"/>
      <c r="AR29" s="624"/>
      <c r="AS29" s="624"/>
      <c r="AT29" s="624"/>
      <c r="AU29" s="624"/>
      <c r="AV29" s="624"/>
      <c r="AW29" s="624"/>
      <c r="AX29" s="624"/>
      <c r="AY29" s="624"/>
      <c r="AZ29" s="624"/>
      <c r="BA29" s="624"/>
      <c r="FX29" s="3"/>
      <c r="FY29" s="3"/>
      <c r="FZ29" s="3"/>
      <c r="GA29" s="3"/>
    </row>
    <row r="30" spans="2:183">
      <c r="B30" s="207" t="s">
        <v>629</v>
      </c>
      <c r="C30" s="20"/>
      <c r="D30" s="20"/>
      <c r="E30" s="20"/>
      <c r="F30" s="20"/>
      <c r="G30" s="20"/>
      <c r="H30" s="20"/>
      <c r="I30" s="131"/>
      <c r="J30" s="131"/>
      <c r="K30" s="131"/>
      <c r="L30" s="131"/>
      <c r="M30" s="131"/>
      <c r="N30" s="165"/>
      <c r="AN30" s="587" t="s">
        <v>134</v>
      </c>
      <c r="AO30" s="588"/>
      <c r="AP30" s="588"/>
      <c r="AQ30" s="588"/>
      <c r="AR30" s="588"/>
      <c r="AS30" s="588"/>
      <c r="AT30" s="588"/>
      <c r="AU30" s="588"/>
      <c r="AV30" s="588"/>
      <c r="AW30" s="588"/>
      <c r="AX30" s="588"/>
      <c r="AY30" s="588"/>
      <c r="AZ30" s="588"/>
      <c r="BA30" s="589"/>
      <c r="FX30" s="3"/>
      <c r="FY30" s="3"/>
      <c r="FZ30" s="3"/>
      <c r="GA30" s="3"/>
    </row>
    <row r="31" spans="2:183">
      <c r="B31" s="207" t="s">
        <v>722</v>
      </c>
      <c r="C31" s="12"/>
      <c r="D31" s="12"/>
      <c r="E31" s="12"/>
      <c r="F31" s="12"/>
      <c r="G31" s="12"/>
      <c r="H31" s="12"/>
      <c r="I31" s="30"/>
      <c r="J31" s="30"/>
      <c r="K31" s="30"/>
      <c r="L31" s="44"/>
      <c r="M31" s="44"/>
      <c r="N31" s="98"/>
      <c r="Q31" s="3" t="s">
        <v>450</v>
      </c>
      <c r="R31" s="654" t="s">
        <v>448</v>
      </c>
      <c r="S31" s="654"/>
      <c r="T31" s="654"/>
      <c r="U31" s="654"/>
      <c r="Y31" s="172" t="s">
        <v>449</v>
      </c>
      <c r="AN31" s="512" t="str">
        <f>INDEX(EPD_Measures,1)</f>
        <v>Global warming potential (GWP)</v>
      </c>
      <c r="AO31" s="512" t="str">
        <f>INDEX(EPD_Measures,2)</f>
        <v>Acidification potential</v>
      </c>
      <c r="AP31" s="512" t="str">
        <f>INDEX(EPD_Measures,3)</f>
        <v>Eutrophication potential</v>
      </c>
      <c r="AQ31" s="512" t="str">
        <f>INDEX(EPD_Measures,4)</f>
        <v>Smog creation potential</v>
      </c>
      <c r="AR31" s="512" t="str">
        <f>INDEX(EPD_Measures,5)</f>
        <v>Ozone depletion potential</v>
      </c>
      <c r="AS31" s="512" t="str">
        <f>INDEX(EPD_Measures,6)</f>
        <v>Total primary energy consumption</v>
      </c>
      <c r="AT31" s="512" t="str">
        <f>INDEX(EPD_Measures,7)</f>
        <v>Nonrenewable energy resources</v>
      </c>
      <c r="AU31" s="512" t="str">
        <f>INDEX(EPD_Measures,8)</f>
        <v>Renewable energy resources</v>
      </c>
      <c r="AV31" s="512" t="str">
        <f>INDEX(EPD_Measures,9)</f>
        <v>Material resources consumption</v>
      </c>
      <c r="AW31" s="512" t="str">
        <f>INDEX(EPD_Measures,10)</f>
        <v>Nonrenewable material resources</v>
      </c>
      <c r="AX31" s="512" t="str">
        <f>INDEX(EPD_Measures,11)</f>
        <v>Renewable material resources</v>
      </c>
      <c r="AY31" s="512" t="str">
        <f>INDEX(EPD_Measures,12)</f>
        <v>Net Fresh Water</v>
      </c>
      <c r="AZ31" s="512" t="str">
        <f>INDEX(EPD_Measures,13)</f>
        <v>Non-hazardous waste generated</v>
      </c>
      <c r="BA31" s="512" t="str">
        <f>INDEX(EPD_Measures,14)</f>
        <v>Hazardous waste generated</v>
      </c>
      <c r="FX31" s="3"/>
      <c r="FY31" s="3"/>
      <c r="FZ31" s="3"/>
      <c r="GA31" s="3"/>
    </row>
    <row r="32" spans="2:183" ht="15" customHeight="1">
      <c r="B32" s="625" t="s">
        <v>803</v>
      </c>
      <c r="C32" s="44"/>
      <c r="D32" s="44"/>
      <c r="E32" s="44"/>
      <c r="F32" s="44"/>
      <c r="G32" s="44"/>
      <c r="H32" s="12"/>
      <c r="I32" s="80" t="s">
        <v>77</v>
      </c>
      <c r="J32" s="81"/>
      <c r="K32" s="81"/>
      <c r="L32" s="81"/>
      <c r="M32" s="81"/>
      <c r="N32" s="82"/>
      <c r="R32" s="654"/>
      <c r="S32" s="654"/>
      <c r="T32" s="654"/>
      <c r="U32" s="654"/>
      <c r="V32" s="170"/>
      <c r="W32" s="170"/>
      <c r="X32" s="170"/>
      <c r="Y32" s="332" t="str">
        <f>DistanceDisplayUnit</f>
        <v>mile</v>
      </c>
      <c r="AJ32" s="3" t="s">
        <v>102</v>
      </c>
      <c r="AK32" s="3" t="s">
        <v>102</v>
      </c>
      <c r="AL32" s="3" t="s">
        <v>506</v>
      </c>
      <c r="AN32" s="169" t="str">
        <f>INDEX(EPD_Calc_Units,1)</f>
        <v>kg</v>
      </c>
      <c r="AO32" s="169" t="str">
        <f>INDEX(EPD_Calc_Units,2)</f>
        <v>kg</v>
      </c>
      <c r="AP32" s="169" t="str">
        <f>INDEX(EPD_Calc_Units,3)</f>
        <v>kg</v>
      </c>
      <c r="AQ32" s="169" t="str">
        <f>INDEX(EPD_Calc_Units,4)</f>
        <v>kg</v>
      </c>
      <c r="AR32" s="169" t="str">
        <f>INDEX(EPD_Calc_Units,5)</f>
        <v>kg</v>
      </c>
      <c r="AS32" s="169" t="str">
        <f>INDEX(EPD_Calc_Units,6)</f>
        <v>MJ</v>
      </c>
      <c r="AT32" s="169" t="str">
        <f>INDEX(EPD_Calc_Units,7)</f>
        <v>MJ</v>
      </c>
      <c r="AU32" s="169" t="str">
        <f>INDEX(EPD_Calc_Units,8)</f>
        <v>MJ</v>
      </c>
      <c r="AV32" s="169" t="str">
        <f>INDEX(EPD_Calc_Units,9)</f>
        <v>kg</v>
      </c>
      <c r="AW32" s="169" t="str">
        <f>INDEX(EPD_Calc_Units,10)</f>
        <v>kg</v>
      </c>
      <c r="AX32" s="169" t="str">
        <f>INDEX(EPD_Calc_Units,11)</f>
        <v>kg</v>
      </c>
      <c r="AY32" s="169" t="str">
        <f>INDEX(EPD_Calc_Units,12)</f>
        <v>m3</v>
      </c>
      <c r="AZ32" s="169" t="str">
        <f>INDEX(EPD_Calc_Units,13)</f>
        <v>kg</v>
      </c>
      <c r="BA32" s="35" t="str">
        <f>INDEX(EPD_Calc_Units,14)</f>
        <v>kg</v>
      </c>
      <c r="FX32" s="3"/>
      <c r="FY32" s="3"/>
      <c r="FZ32" s="3"/>
      <c r="GA32" s="3"/>
    </row>
    <row r="33" spans="2:183" ht="33" customHeight="1">
      <c r="B33" s="23" t="s">
        <v>2</v>
      </c>
      <c r="C33" s="24" t="s">
        <v>5</v>
      </c>
      <c r="D33" s="431" t="s">
        <v>207</v>
      </c>
      <c r="E33" s="431" t="s">
        <v>12</v>
      </c>
      <c r="F33" s="431" t="s">
        <v>6</v>
      </c>
      <c r="G33" s="431" t="s">
        <v>102</v>
      </c>
      <c r="H33" s="431" t="s">
        <v>6</v>
      </c>
      <c r="I33" s="433" t="s">
        <v>13</v>
      </c>
      <c r="J33" s="433" t="s">
        <v>14</v>
      </c>
      <c r="K33" s="433" t="s">
        <v>16</v>
      </c>
      <c r="L33" s="433" t="s">
        <v>15</v>
      </c>
      <c r="M33" s="434" t="s">
        <v>631</v>
      </c>
      <c r="N33" s="435" t="s">
        <v>6</v>
      </c>
      <c r="P33" s="35" t="s">
        <v>723</v>
      </c>
      <c r="R33" s="3" t="s">
        <v>13</v>
      </c>
      <c r="S33" s="3" t="s">
        <v>14</v>
      </c>
      <c r="T33" s="3" t="s">
        <v>16</v>
      </c>
      <c r="U33" s="3" t="s">
        <v>15</v>
      </c>
      <c r="V33" s="172" t="s">
        <v>126</v>
      </c>
      <c r="W33" s="172" t="s">
        <v>79</v>
      </c>
      <c r="X33" s="208"/>
      <c r="Y33" s="172" t="s">
        <v>13</v>
      </c>
      <c r="Z33" s="172" t="s">
        <v>14</v>
      </c>
      <c r="AA33" s="172" t="s">
        <v>16</v>
      </c>
      <c r="AB33" s="172" t="s">
        <v>15</v>
      </c>
      <c r="AF33" s="3" t="s">
        <v>218</v>
      </c>
      <c r="AG33" s="171" t="s">
        <v>126</v>
      </c>
      <c r="AH33" s="172" t="s">
        <v>79</v>
      </c>
      <c r="AI33" s="172"/>
      <c r="AJ33" s="331" t="str">
        <f>MassCalcUnit</f>
        <v>tonne</v>
      </c>
      <c r="AK33" s="171" t="str">
        <f>'CPCI Data'!$W$14</f>
        <v>kg</v>
      </c>
      <c r="AL33" s="329" t="str">
        <f>MassDisplayUnit</f>
        <v>short ton</v>
      </c>
      <c r="AN33" s="171"/>
      <c r="AO33" s="171"/>
      <c r="AP33" s="171"/>
      <c r="AQ33" s="171"/>
      <c r="AR33" s="171"/>
      <c r="FX33" s="3"/>
      <c r="FY33" s="3"/>
      <c r="FZ33" s="3"/>
      <c r="GA33" s="3"/>
    </row>
    <row r="34" spans="2:183" ht="15" customHeight="1">
      <c r="B34" s="26">
        <v>1</v>
      </c>
      <c r="C34" s="46" t="str">
        <f>AD34&amp;" Source #"&amp;AC34</f>
        <v>Pre-Blended Cement Source #1</v>
      </c>
      <c r="D34" s="104" t="s">
        <v>442</v>
      </c>
      <c r="E34" s="508"/>
      <c r="F34" s="106" t="str">
        <f>MassDisplayUnit</f>
        <v>short ton</v>
      </c>
      <c r="G34" s="506">
        <f>AL34</f>
        <v>0</v>
      </c>
      <c r="H34" s="204" t="str">
        <f t="shared" ref="H34:H58" si="14">MassDisplayUnit</f>
        <v>short ton</v>
      </c>
      <c r="I34" s="520"/>
      <c r="J34" s="520"/>
      <c r="K34" s="520"/>
      <c r="L34" s="520"/>
      <c r="M34" s="436" t="s">
        <v>386</v>
      </c>
      <c r="N34" s="410" t="s">
        <v>29</v>
      </c>
      <c r="P34" s="35" t="s">
        <v>724</v>
      </c>
      <c r="Q34" s="3">
        <f>IF(AND($D34&lt;&gt;"Insert Location",$E34&lt;&gt;0,OR(ISNUMBER($I34),ISNUMBER($J34),ISNUMBER($K34),ISNUMBER($L34))),1,0)</f>
        <v>0</v>
      </c>
      <c r="R34" s="3">
        <f>IF(BlendYourOwnCement1="Yes",0, $Q34*I34)</f>
        <v>0</v>
      </c>
      <c r="S34" s="3">
        <f>IF(BlendYourOwnCement1="Yes",0, $Q34*J34)</f>
        <v>0</v>
      </c>
      <c r="T34" s="3">
        <f>IF(BlendYourOwnCement1="Yes",0, $Q34*K34)</f>
        <v>0</v>
      </c>
      <c r="U34" s="3">
        <f>IF(BlendYourOwnCement1="Yes",0, $Q34*L34)</f>
        <v>0</v>
      </c>
      <c r="V34" s="209" t="str">
        <f>N34</f>
        <v>mile</v>
      </c>
      <c r="W34" s="209">
        <f t="shared" ref="W34:W52" si="15">INDEX(Conversion_Table,MATCH($V34,Conversion_Rows,0),MATCH($Y$19,Conversion_Columns,0))</f>
        <v>1</v>
      </c>
      <c r="X34" s="209" t="str">
        <f>$Y$19&amp;"/"&amp;$V34</f>
        <v>mile/mile</v>
      </c>
      <c r="Y34" s="210">
        <f>IF(BlendYourOwnCement1="Yes",(R35*$G35*$W35+R36*$G36*$W36+R37*$G37*$W37+R38*$G38*$W38+R39*$G39*$W39)/$G34, R34*$W34)</f>
        <v>0</v>
      </c>
      <c r="Z34" s="210">
        <f>IF(BlendYourOwnCement1="Yes",(S35*$G35*$W35+S36*$G36*$W36+S37*$G37*$W37+S38*$G38*$W38+S39*$G39*$W39)/$G34, S34*$W34)</f>
        <v>0</v>
      </c>
      <c r="AA34" s="210">
        <f>IF(BlendYourOwnCement1="Yes",(T35*$G35*$W35+T36*$G36*$W36+T37*$G37*$W37+T38*$G38*$W38+T39*$G39*$W39)/$G34, T34*$W34)</f>
        <v>0</v>
      </c>
      <c r="AB34" s="210">
        <f>IF(BlendYourOwnCement1="Yes",(U35*$G35*$W35+U36*$G36*$W36+U37*$G37*$W37+U38*$G38*$W38+U39*$G39*$W39)/$G34, U34*$W34)</f>
        <v>0</v>
      </c>
      <c r="AC34" s="3">
        <v>1</v>
      </c>
      <c r="AD34" s="3" t="str">
        <f>'Plant Inputs'!$D$32</f>
        <v>Pre-Blended Cement</v>
      </c>
      <c r="AE34" s="171">
        <f>IF($D34="Offshore",'Plant Inputs'!$AP$16,IF(COUNTIF(Locations_USA,$D34)=1,VLOOKUP($D34,Locations_USA,3,FALSE),IF(COUNTIF(Locations_CAN,$D34)=1,VLOOKUP($D34,Locations_CAN,3,FALSE),NA())))</f>
        <v>0</v>
      </c>
      <c r="AF34" s="172">
        <f>$Q34*$E34</f>
        <v>0</v>
      </c>
      <c r="AG34" s="171" t="str">
        <f>F34</f>
        <v>short ton</v>
      </c>
      <c r="AH34" s="171">
        <f>INDEX(Conversion_Table,MATCH($AG34,Conversion_Rows,0),MATCH($AJ$8,Conversion_Columns,0))</f>
        <v>0.90718499588591606</v>
      </c>
      <c r="AI34" s="172" t="str">
        <f>$AJ$8&amp;"/"&amp;AG34</f>
        <v>tonne/short ton</v>
      </c>
      <c r="AJ34" s="172">
        <f>AF34*AH34</f>
        <v>0</v>
      </c>
      <c r="AK34" s="172">
        <f t="shared" ref="AK34:AK57" si="16">INDEX(Conversion_Table,MATCH($AJ$33,Conversion_Rows,0),MATCH($AK$33,Conversion_Columns,0))*AJ34</f>
        <v>0</v>
      </c>
      <c r="AL34" s="172">
        <f t="shared" ref="AL34:AL57" si="17">$AJ34*INDEX(Conversion_Table,MATCH($AJ$33,Conversion_Rows,0),MATCH($AL$33,Conversion_Columns,0))</f>
        <v>0</v>
      </c>
      <c r="AN34" s="511">
        <f>SUM(AN35:AN39)</f>
        <v>0</v>
      </c>
      <c r="AO34" s="511">
        <f t="shared" ref="AO34:BA34" si="18">SUM(AO35:AO39)</f>
        <v>0</v>
      </c>
      <c r="AP34" s="511">
        <f t="shared" si="18"/>
        <v>0</v>
      </c>
      <c r="AQ34" s="511">
        <f t="shared" si="18"/>
        <v>0</v>
      </c>
      <c r="AR34" s="511">
        <f t="shared" si="18"/>
        <v>0</v>
      </c>
      <c r="AS34" s="511">
        <f t="shared" si="18"/>
        <v>0</v>
      </c>
      <c r="AT34" s="511">
        <f t="shared" si="18"/>
        <v>0</v>
      </c>
      <c r="AU34" s="511">
        <f t="shared" si="18"/>
        <v>0</v>
      </c>
      <c r="AV34" s="511">
        <f t="shared" si="18"/>
        <v>0</v>
      </c>
      <c r="AW34" s="511">
        <f t="shared" si="18"/>
        <v>0</v>
      </c>
      <c r="AX34" s="511">
        <f t="shared" si="18"/>
        <v>0</v>
      </c>
      <c r="AY34" s="511">
        <f t="shared" si="18"/>
        <v>0</v>
      </c>
      <c r="AZ34" s="511">
        <f t="shared" si="18"/>
        <v>0</v>
      </c>
      <c r="BA34" s="511">
        <f t="shared" si="18"/>
        <v>0</v>
      </c>
      <c r="BC34" s="3" t="s">
        <v>699</v>
      </c>
      <c r="FX34" s="3"/>
      <c r="FY34" s="3"/>
      <c r="FZ34" s="3"/>
      <c r="GA34" s="3"/>
    </row>
    <row r="35" spans="2:183" ht="15" customHeight="1">
      <c r="B35" s="26"/>
      <c r="C35" s="505"/>
      <c r="D35" s="505" t="str">
        <f>"% of "&amp;$AD35&amp;" Source #"&amp;$AC35</f>
        <v>% of Portland Cement Source #1</v>
      </c>
      <c r="E35" s="504"/>
      <c r="F35" s="651" t="str">
        <f>IF(AND($E34&gt;0,SUM($E35:$E39)&lt;&gt;1),"These 5 percentages must add to 100%","")</f>
        <v/>
      </c>
      <c r="G35" s="103">
        <f>AL34*AF35</f>
        <v>0</v>
      </c>
      <c r="H35" s="204" t="str">
        <f t="shared" si="14"/>
        <v>short ton</v>
      </c>
      <c r="I35" s="524"/>
      <c r="J35" s="525"/>
      <c r="K35" s="525"/>
      <c r="L35" s="525"/>
      <c r="M35" s="513"/>
      <c r="N35" s="526"/>
      <c r="W35" s="209"/>
      <c r="X35" s="209"/>
      <c r="Y35" s="210"/>
      <c r="Z35" s="210"/>
      <c r="AA35" s="210"/>
      <c r="AB35" s="210"/>
      <c r="AC35" s="3">
        <f>AC34</f>
        <v>1</v>
      </c>
      <c r="AD35" s="3" t="str">
        <f>'Plant Inputs'!D$30</f>
        <v>Portland Cement</v>
      </c>
      <c r="AE35" s="171">
        <f>IF($D34="Offshore",'Plant Inputs'!$AP$16,IF(COUNTIF(Locations_USA,$D34)=1,VLOOKUP($D34,Locations_USA,3,FALSE),IF(COUNTIF(Locations_CAN,$D34)=1,VLOOKUP($D34,Locations_CAN,3,FALSE),NA())))</f>
        <v>0</v>
      </c>
      <c r="AF35" s="172">
        <f>$Q34*$E35</f>
        <v>0</v>
      </c>
      <c r="AG35" s="171"/>
      <c r="AH35" s="171"/>
      <c r="AI35" s="172"/>
      <c r="AJ35" s="3">
        <f>$AF35*AJ34</f>
        <v>0</v>
      </c>
      <c r="AK35" s="171">
        <f t="shared" si="16"/>
        <v>0</v>
      </c>
      <c r="AL35" s="171">
        <f t="shared" si="17"/>
        <v>0</v>
      </c>
      <c r="AN35" s="180">
        <f t="array" ref="AN35">IF($Q34=1,IFERROR(INDEX(LCIA_Data,MATCH($AE35&amp;AN$31,LCIA_Rows_B&amp;LCIA_Rows_C,0),MATCH($AD35,LCIA_Columns,0)),NA())*$AK35,0)</f>
        <v>0</v>
      </c>
      <c r="AO35" s="180">
        <f t="array" ref="AO35">IF($Q34=1,IFERROR(INDEX(LCIA_Data,MATCH($AE35&amp;AO$31,LCIA_Rows_B&amp;LCIA_Rows_C,0),MATCH($AD35,LCIA_Columns,0)),NA())*$AK35,0)</f>
        <v>0</v>
      </c>
      <c r="AP35" s="180">
        <f t="array" ref="AP35">IF($Q34=1,IFERROR(INDEX(LCIA_Data,MATCH($AE35&amp;AP$31,LCIA_Rows_B&amp;LCIA_Rows_C,0),MATCH($AD35,LCIA_Columns,0)),NA())*$AK35,0)</f>
        <v>0</v>
      </c>
      <c r="AQ35" s="180">
        <f t="array" ref="AQ35">IF($Q34=1,IFERROR(INDEX(LCIA_Data,MATCH($AE35&amp;AQ$31,LCIA_Rows_B&amp;LCIA_Rows_C,0),MATCH($AD35,LCIA_Columns,0)),NA())*$AK35,0)</f>
        <v>0</v>
      </c>
      <c r="AR35" s="180">
        <f t="array" ref="AR35">IF($Q34=1,IFERROR(INDEX(LCIA_Data,MATCH($AE35&amp;AR$31,LCIA_Rows_B&amp;LCIA_Rows_C,0),MATCH($AD35,LCIA_Columns,0)),NA())*$AK35,0)</f>
        <v>0</v>
      </c>
      <c r="AS35" s="180">
        <f t="array" ref="AS35">IF($Q34=1,IFERROR(INDEX(LCIA_Data,MATCH($AE35&amp;AS$31,LCIA_Rows_B&amp;LCIA_Rows_C,0),MATCH($AD35,LCIA_Columns,0)),NA())*$AK35,0)</f>
        <v>0</v>
      </c>
      <c r="AT35" s="180">
        <f t="array" ref="AT35">IF($Q34=1,IFERROR(INDEX(LCIA_Data,MATCH($AE35&amp;AT$31,LCIA_Rows_B&amp;LCIA_Rows_C,0),MATCH($AD35,LCIA_Columns,0)),NA())*$AK35,0)</f>
        <v>0</v>
      </c>
      <c r="AU35" s="180">
        <f t="array" ref="AU35">IF($Q34=1,IFERROR(INDEX(LCIA_Data,MATCH($AE35&amp;AU$31,LCIA_Rows_B&amp;LCIA_Rows_C,0),MATCH($AD35,LCIA_Columns,0)),NA())*$AK35,0)</f>
        <v>0</v>
      </c>
      <c r="AV35" s="180">
        <f t="array" ref="AV35">IF($Q34=1,IFERROR(INDEX(LCIA_Data,MATCH($AE35&amp;AV$31,LCIA_Rows_B&amp;LCIA_Rows_C,0),MATCH($AD35,LCIA_Columns,0)),NA())*$AK35,0)</f>
        <v>0</v>
      </c>
      <c r="AW35" s="180">
        <f t="array" ref="AW35">IF($Q34=1,IFERROR(INDEX(LCIA_Data,MATCH($AE35&amp;AW$31,LCIA_Rows_B&amp;LCIA_Rows_C,0),MATCH($AD35,LCIA_Columns,0)),NA())*$AK35,0)</f>
        <v>0</v>
      </c>
      <c r="AX35" s="180">
        <f t="array" ref="AX35">IF($Q34=1,IFERROR(INDEX(LCIA_Data,MATCH($AE35&amp;AX$31,LCIA_Rows_B&amp;LCIA_Rows_C,0),MATCH($AD35,LCIA_Columns,0)),NA())*$AK35,0)</f>
        <v>0</v>
      </c>
      <c r="AY35" s="180">
        <f t="array" ref="AY35">IF($Q34=1,IFERROR(INDEX(LCIA_Data,MATCH($AE35&amp;AY$31,LCIA_Rows_B&amp;LCIA_Rows_C,0),MATCH($AD35,LCIA_Columns,0)),NA())*$AK35,0)</f>
        <v>0</v>
      </c>
      <c r="AZ35" s="180">
        <f t="array" ref="AZ35">IF($Q34=1,IFERROR(INDEX(LCIA_Data,MATCH($AE35&amp;AZ$31,LCIA_Rows_B&amp;LCIA_Rows_C,0),MATCH($AD35,LCIA_Columns,0)),NA())*$AK35,0)</f>
        <v>0</v>
      </c>
      <c r="BA35" s="180">
        <f t="array" ref="BA35">IF($Q34=1,IFERROR(INDEX(LCIA_Data,MATCH($AE35&amp;BA$31,LCIA_Rows_B&amp;LCIA_Rows_C,0),MATCH($AD35,LCIA_Columns,0)),NA())*$AK35,0)</f>
        <v>0</v>
      </c>
      <c r="BC35" s="35" t="str">
        <f>INDEX(EPD_Measures,1)</f>
        <v>Global warming potential (GWP)</v>
      </c>
      <c r="BD35" s="35" t="str">
        <f>INDEX(EPD_Measures,2)</f>
        <v>Acidification potential</v>
      </c>
      <c r="BE35" s="35" t="str">
        <f>INDEX(EPD_Measures,3)</f>
        <v>Eutrophication potential</v>
      </c>
      <c r="BF35" s="35" t="str">
        <f>INDEX(EPD_Measures,4)</f>
        <v>Smog creation potential</v>
      </c>
      <c r="BG35" s="35" t="str">
        <f>INDEX(EPD_Measures,5)</f>
        <v>Ozone depletion potential</v>
      </c>
      <c r="BH35" s="35" t="str">
        <f>INDEX(EPD_Measures,6)</f>
        <v>Total primary energy consumption</v>
      </c>
      <c r="BI35" s="35" t="str">
        <f>INDEX(EPD_Measures,7)</f>
        <v>Nonrenewable energy resources</v>
      </c>
      <c r="BJ35" s="35" t="str">
        <f>INDEX(EPD_Measures,8)</f>
        <v>Renewable energy resources</v>
      </c>
      <c r="BK35" s="35" t="str">
        <f>INDEX(EPD_Measures,9)</f>
        <v>Material resources consumption</v>
      </c>
      <c r="BL35" s="35" t="str">
        <f>INDEX(EPD_Measures,10)</f>
        <v>Nonrenewable material resources</v>
      </c>
      <c r="BM35" s="35" t="str">
        <f>INDEX(EPD_Measures,11)</f>
        <v>Renewable material resources</v>
      </c>
      <c r="BN35" s="35" t="str">
        <f>INDEX(EPD_Measures,12)</f>
        <v>Net Fresh Water</v>
      </c>
      <c r="BO35" s="35" t="str">
        <f>INDEX(EPD_Measures,13)</f>
        <v>Non-hazardous waste generated</v>
      </c>
      <c r="BP35" s="35" t="str">
        <f>INDEX(EPD_Measures,14)</f>
        <v>Hazardous waste generated</v>
      </c>
      <c r="FX35" s="3"/>
      <c r="FY35" s="3"/>
      <c r="FZ35" s="3"/>
      <c r="GA35" s="3"/>
    </row>
    <row r="36" spans="2:183" ht="15" customHeight="1">
      <c r="B36" s="26"/>
      <c r="C36" s="505"/>
      <c r="D36" s="505" t="str">
        <f t="shared" ref="D36:D39" si="19">"% of "&amp;$AD36&amp;" Source #"&amp;$AC36</f>
        <v>% of Portland Limestone Cement (PLC) Source #1</v>
      </c>
      <c r="E36" s="504"/>
      <c r="F36" s="652"/>
      <c r="G36" s="103">
        <f>AL34*AF36</f>
        <v>0</v>
      </c>
      <c r="H36" s="204" t="str">
        <f t="shared" si="14"/>
        <v>short ton</v>
      </c>
      <c r="I36" s="527"/>
      <c r="J36" s="528"/>
      <c r="K36" s="528"/>
      <c r="L36" s="528"/>
      <c r="M36" s="514"/>
      <c r="N36" s="529"/>
      <c r="W36" s="209"/>
      <c r="X36" s="209"/>
      <c r="Y36" s="210"/>
      <c r="Z36" s="210"/>
      <c r="AA36" s="210"/>
      <c r="AB36" s="210"/>
      <c r="AC36" s="3">
        <f>AC34</f>
        <v>1</v>
      </c>
      <c r="AD36" s="3" t="str">
        <f>'Plant Inputs'!D$31</f>
        <v>Portland Limestone Cement (PLC)</v>
      </c>
      <c r="AE36" s="171">
        <f>IF($D34="Offshore",'Plant Inputs'!$AP$16,IF(COUNTIF(Locations_USA,$D34)=1,VLOOKUP($D34,Locations_USA,3,FALSE),IF(COUNTIF(Locations_CAN,$D34)=1,VLOOKUP($D34,Locations_CAN,3,FALSE),NA())))</f>
        <v>0</v>
      </c>
      <c r="AF36" s="172">
        <f>$Q34*$E36</f>
        <v>0</v>
      </c>
      <c r="AG36" s="171"/>
      <c r="AH36" s="171"/>
      <c r="AI36" s="172"/>
      <c r="AJ36" s="3">
        <f>$AF36*AJ34</f>
        <v>0</v>
      </c>
      <c r="AK36" s="171">
        <f t="shared" si="16"/>
        <v>0</v>
      </c>
      <c r="AL36" s="171">
        <f t="shared" si="17"/>
        <v>0</v>
      </c>
      <c r="AN36" s="180">
        <f t="array" ref="AN36">IF($Q34=1,IFERROR(INDEX(LCIA_Data,MATCH($AE36&amp;AN$31,LCIA_Rows_B&amp;LCIA_Rows_C,0),MATCH($AD36,LCIA_Columns,0)),NA())*$AK36,0)</f>
        <v>0</v>
      </c>
      <c r="AO36" s="180">
        <f t="array" ref="AO36">IF($Q34=1,IFERROR(INDEX(LCIA_Data,MATCH($AE36&amp;AO$31,LCIA_Rows_B&amp;LCIA_Rows_C,0),MATCH($AD36,LCIA_Columns,0)),NA())*$AK36,0)</f>
        <v>0</v>
      </c>
      <c r="AP36" s="180">
        <f t="array" ref="AP36">IF($Q34=1,IFERROR(INDEX(LCIA_Data,MATCH($AE36&amp;AP$31,LCIA_Rows_B&amp;LCIA_Rows_C,0),MATCH($AD36,LCIA_Columns,0)),NA())*$AK36,0)</f>
        <v>0</v>
      </c>
      <c r="AQ36" s="180">
        <f t="array" ref="AQ36">IF($Q34=1,IFERROR(INDEX(LCIA_Data,MATCH($AE36&amp;AQ$31,LCIA_Rows_B&amp;LCIA_Rows_C,0),MATCH($AD36,LCIA_Columns,0)),NA())*$AK36,0)</f>
        <v>0</v>
      </c>
      <c r="AR36" s="180">
        <f t="array" ref="AR36">IF($Q34=1,IFERROR(INDEX(LCIA_Data,MATCH($AE36&amp;AR$31,LCIA_Rows_B&amp;LCIA_Rows_C,0),MATCH($AD36,LCIA_Columns,0)),NA())*$AK36,0)</f>
        <v>0</v>
      </c>
      <c r="AS36" s="180">
        <f t="array" ref="AS36">IF($Q34=1,IFERROR(INDEX(LCIA_Data,MATCH($AE36&amp;AS$31,LCIA_Rows_B&amp;LCIA_Rows_C,0),MATCH($AD36,LCIA_Columns,0)),NA())*$AK36,0)</f>
        <v>0</v>
      </c>
      <c r="AT36" s="180">
        <f t="array" ref="AT36">IF($Q34=1,IFERROR(INDEX(LCIA_Data,MATCH($AE36&amp;AT$31,LCIA_Rows_B&amp;LCIA_Rows_C,0),MATCH($AD36,LCIA_Columns,0)),NA())*$AK36,0)</f>
        <v>0</v>
      </c>
      <c r="AU36" s="180">
        <f t="array" ref="AU36">IF($Q34=1,IFERROR(INDEX(LCIA_Data,MATCH($AE36&amp;AU$31,LCIA_Rows_B&amp;LCIA_Rows_C,0),MATCH($AD36,LCIA_Columns,0)),NA())*$AK36,0)</f>
        <v>0</v>
      </c>
      <c r="AV36" s="180">
        <f t="array" ref="AV36">IF($Q34=1,IFERROR(INDEX(LCIA_Data,MATCH($AE36&amp;AV$31,LCIA_Rows_B&amp;LCIA_Rows_C,0),MATCH($AD36,LCIA_Columns,0)),NA())*$AK36,0)</f>
        <v>0</v>
      </c>
      <c r="AW36" s="180">
        <f t="array" ref="AW36">IF($Q34=1,IFERROR(INDEX(LCIA_Data,MATCH($AE36&amp;AW$31,LCIA_Rows_B&amp;LCIA_Rows_C,0),MATCH($AD36,LCIA_Columns,0)),NA())*$AK36,0)</f>
        <v>0</v>
      </c>
      <c r="AX36" s="180">
        <f t="array" ref="AX36">IF($Q34=1,IFERROR(INDEX(LCIA_Data,MATCH($AE36&amp;AX$31,LCIA_Rows_B&amp;LCIA_Rows_C,0),MATCH($AD36,LCIA_Columns,0)),NA())*$AK36,0)</f>
        <v>0</v>
      </c>
      <c r="AY36" s="180">
        <f t="array" ref="AY36">IF($Q34=1,IFERROR(INDEX(LCIA_Data,MATCH($AE36&amp;AY$31,LCIA_Rows_B&amp;LCIA_Rows_C,0),MATCH($AD36,LCIA_Columns,0)),NA())*$AK36,0)</f>
        <v>0</v>
      </c>
      <c r="AZ36" s="180">
        <f t="array" ref="AZ36">IF($Q34=1,IFERROR(INDEX(LCIA_Data,MATCH($AE36&amp;AZ$31,LCIA_Rows_B&amp;LCIA_Rows_C,0),MATCH($AD36,LCIA_Columns,0)),NA())*$AK36,0)</f>
        <v>0</v>
      </c>
      <c r="BA36" s="180">
        <f t="array" ref="BA36">IF($Q34=1,IFERROR(INDEX(LCIA_Data,MATCH($AE36&amp;BA$31,LCIA_Rows_B&amp;LCIA_Rows_C,0),MATCH($AD36,LCIA_Columns,0)),NA())*$AK36,0)</f>
        <v>0</v>
      </c>
      <c r="BC36" s="35" t="str">
        <f>INDEX(EPD_Calc_Units,1)</f>
        <v>kg</v>
      </c>
      <c r="BD36" s="35" t="str">
        <f>INDEX(EPD_Calc_Units,2)</f>
        <v>kg</v>
      </c>
      <c r="BE36" s="35" t="str">
        <f>INDEX(EPD_Calc_Units,3)</f>
        <v>kg</v>
      </c>
      <c r="BF36" s="35" t="str">
        <f>INDEX(EPD_Calc_Units,4)</f>
        <v>kg</v>
      </c>
      <c r="BG36" s="35" t="str">
        <f>INDEX(EPD_Calc_Units,5)</f>
        <v>kg</v>
      </c>
      <c r="BH36" s="35" t="str">
        <f>INDEX(EPD_Calc_Units,6)</f>
        <v>MJ</v>
      </c>
      <c r="BI36" s="35" t="str">
        <f>INDEX(EPD_Calc_Units,7)</f>
        <v>MJ</v>
      </c>
      <c r="BJ36" s="35" t="str">
        <f>INDEX(EPD_Calc_Units,8)</f>
        <v>MJ</v>
      </c>
      <c r="BK36" s="35" t="str">
        <f>INDEX(EPD_Calc_Units,9)</f>
        <v>kg</v>
      </c>
      <c r="BL36" s="35" t="str">
        <f>INDEX(EPD_Calc_Units,10)</f>
        <v>kg</v>
      </c>
      <c r="BM36" s="35" t="str">
        <f>INDEX(EPD_Calc_Units,11)</f>
        <v>kg</v>
      </c>
      <c r="BN36" s="35" t="str">
        <f>INDEX(EPD_Calc_Units,12)</f>
        <v>m3</v>
      </c>
      <c r="BO36" s="35" t="str">
        <f>INDEX(EPD_Calc_Units,13)</f>
        <v>kg</v>
      </c>
      <c r="BP36" s="35" t="str">
        <f>INDEX(EPD_Calc_Units,14)</f>
        <v>kg</v>
      </c>
      <c r="FX36" s="3"/>
      <c r="FY36" s="3"/>
      <c r="FZ36" s="3"/>
      <c r="GA36" s="3"/>
    </row>
    <row r="37" spans="2:183" ht="15" customHeight="1">
      <c r="B37" s="26"/>
      <c r="C37" s="505"/>
      <c r="D37" s="505" t="str">
        <f t="shared" si="19"/>
        <v>% of SCMs - Fly Ash Source #1</v>
      </c>
      <c r="E37" s="504"/>
      <c r="F37" s="652"/>
      <c r="G37" s="103">
        <f>AL34*AF37</f>
        <v>0</v>
      </c>
      <c r="H37" s="204" t="str">
        <f t="shared" si="14"/>
        <v>short ton</v>
      </c>
      <c r="I37" s="527"/>
      <c r="J37" s="528"/>
      <c r="K37" s="528"/>
      <c r="L37" s="528"/>
      <c r="M37" s="514"/>
      <c r="N37" s="529"/>
      <c r="W37" s="209"/>
      <c r="X37" s="209"/>
      <c r="Y37" s="210"/>
      <c r="Z37" s="210"/>
      <c r="AA37" s="210"/>
      <c r="AB37" s="210"/>
      <c r="AC37" s="3">
        <f>AC34</f>
        <v>1</v>
      </c>
      <c r="AD37" s="3" t="str">
        <f>'Plant Inputs'!D$39</f>
        <v>SCMs - Fly Ash</v>
      </c>
      <c r="AE37" s="171">
        <f>IF($D34="Offshore",'Plant Inputs'!$AP$16,IF(COUNTIF(Locations_USA,$D34)=1,VLOOKUP($D34,Locations_USA,3,FALSE),IF(COUNTIF(Locations_CAN,$D34)=1,VLOOKUP($D34,Locations_CAN,3,FALSE),NA())))</f>
        <v>0</v>
      </c>
      <c r="AF37" s="172">
        <f>$Q34*$E37</f>
        <v>0</v>
      </c>
      <c r="AG37" s="171"/>
      <c r="AH37" s="171"/>
      <c r="AI37" s="172"/>
      <c r="AJ37" s="3">
        <f>$AF37*AJ34</f>
        <v>0</v>
      </c>
      <c r="AK37" s="171">
        <f t="shared" si="16"/>
        <v>0</v>
      </c>
      <c r="AL37" s="171">
        <f t="shared" si="17"/>
        <v>0</v>
      </c>
      <c r="AN37" s="180">
        <f t="array" ref="AN37">IF($Q34=1,IFERROR(INDEX(LCIA_Data,MATCH($AE37&amp;AN$31,LCIA_Rows_B&amp;LCIA_Rows_C,0),MATCH($AD37,LCIA_Columns,0)),NA())*$AK37,0)</f>
        <v>0</v>
      </c>
      <c r="AO37" s="180">
        <f t="array" ref="AO37">IF($Q34=1,IFERROR(INDEX(LCIA_Data,MATCH($AE37&amp;AO$31,LCIA_Rows_B&amp;LCIA_Rows_C,0),MATCH($AD37,LCIA_Columns,0)),NA())*$AK37,0)</f>
        <v>0</v>
      </c>
      <c r="AP37" s="180">
        <f t="array" ref="AP37">IF($Q34=1,IFERROR(INDEX(LCIA_Data,MATCH($AE37&amp;AP$31,LCIA_Rows_B&amp;LCIA_Rows_C,0),MATCH($AD37,LCIA_Columns,0)),NA())*$AK37,0)</f>
        <v>0</v>
      </c>
      <c r="AQ37" s="180">
        <f t="array" ref="AQ37">IF($Q34=1,IFERROR(INDEX(LCIA_Data,MATCH($AE37&amp;AQ$31,LCIA_Rows_B&amp;LCIA_Rows_C,0),MATCH($AD37,LCIA_Columns,0)),NA())*$AK37,0)</f>
        <v>0</v>
      </c>
      <c r="AR37" s="180">
        <f t="array" ref="AR37">IF($Q34=1,IFERROR(INDEX(LCIA_Data,MATCH($AE37&amp;AR$31,LCIA_Rows_B&amp;LCIA_Rows_C,0),MATCH($AD37,LCIA_Columns,0)),NA())*$AK37,0)</f>
        <v>0</v>
      </c>
      <c r="AS37" s="180">
        <f t="array" ref="AS37">IF($Q34=1,IFERROR(INDEX(LCIA_Data,MATCH($AE37&amp;AS$31,LCIA_Rows_B&amp;LCIA_Rows_C,0),MATCH($AD37,LCIA_Columns,0)),NA())*$AK37,0)</f>
        <v>0</v>
      </c>
      <c r="AT37" s="180">
        <f t="array" ref="AT37">IF($Q34=1,IFERROR(INDEX(LCIA_Data,MATCH($AE37&amp;AT$31,LCIA_Rows_B&amp;LCIA_Rows_C,0),MATCH($AD37,LCIA_Columns,0)),NA())*$AK37,0)</f>
        <v>0</v>
      </c>
      <c r="AU37" s="180">
        <f t="array" ref="AU37">IF($Q34=1,IFERROR(INDEX(LCIA_Data,MATCH($AE37&amp;AU$31,LCIA_Rows_B&amp;LCIA_Rows_C,0),MATCH($AD37,LCIA_Columns,0)),NA())*$AK37,0)</f>
        <v>0</v>
      </c>
      <c r="AV37" s="180">
        <f t="array" ref="AV37">IF($Q34=1,IFERROR(INDEX(LCIA_Data,MATCH($AE37&amp;AV$31,LCIA_Rows_B&amp;LCIA_Rows_C,0),MATCH($AD37,LCIA_Columns,0)),NA())*$AK37,0)</f>
        <v>0</v>
      </c>
      <c r="AW37" s="180">
        <f t="array" ref="AW37">IF($Q34=1,IFERROR(INDEX(LCIA_Data,MATCH($AE37&amp;AW$31,LCIA_Rows_B&amp;LCIA_Rows_C,0),MATCH($AD37,LCIA_Columns,0)),NA())*$AK37,0)</f>
        <v>0</v>
      </c>
      <c r="AX37" s="180">
        <f t="array" ref="AX37">IF($Q34=1,IFERROR(INDEX(LCIA_Data,MATCH($AE37&amp;AX$31,LCIA_Rows_B&amp;LCIA_Rows_C,0),MATCH($AD37,LCIA_Columns,0)),NA())*$AK37,0)</f>
        <v>0</v>
      </c>
      <c r="AY37" s="180">
        <f t="array" ref="AY37">IF($Q34=1,IFERROR(INDEX(LCIA_Data,MATCH($AE37&amp;AY$31,LCIA_Rows_B&amp;LCIA_Rows_C,0),MATCH($AD37,LCIA_Columns,0)),NA())*$AK37,0)</f>
        <v>0</v>
      </c>
      <c r="AZ37" s="180">
        <f t="array" ref="AZ37">IF($Q34=1,IFERROR(INDEX(LCIA_Data,MATCH($AE37&amp;AZ$31,LCIA_Rows_B&amp;LCIA_Rows_C,0),MATCH($AD37,LCIA_Columns,0)),NA())*$AK37,0)</f>
        <v>0</v>
      </c>
      <c r="BA37" s="180">
        <f t="array" ref="BA37">IF($Q34=1,IFERROR(INDEX(LCIA_Data,MATCH($AE37&amp;BA$31,LCIA_Rows_B&amp;LCIA_Rows_C,0),MATCH($AD37,LCIA_Columns,0)),NA())*$AK37,0)</f>
        <v>0</v>
      </c>
      <c r="BC37" s="3">
        <f t="shared" ref="BC37:BM37" si="20">IF($AK58=0,0,AN58/$AK58)</f>
        <v>0</v>
      </c>
      <c r="BD37" s="3">
        <f t="shared" si="20"/>
        <v>0</v>
      </c>
      <c r="BE37" s="3">
        <f t="shared" si="20"/>
        <v>0</v>
      </c>
      <c r="BF37" s="3">
        <f t="shared" si="20"/>
        <v>0</v>
      </c>
      <c r="BG37" s="3">
        <f t="shared" si="20"/>
        <v>0</v>
      </c>
      <c r="BH37" s="3">
        <f t="shared" si="20"/>
        <v>0</v>
      </c>
      <c r="BI37" s="3">
        <f t="shared" si="20"/>
        <v>0</v>
      </c>
      <c r="BJ37" s="3">
        <f t="shared" si="20"/>
        <v>0</v>
      </c>
      <c r="BK37" s="3">
        <f t="shared" si="20"/>
        <v>0</v>
      </c>
      <c r="BL37" s="3">
        <f t="shared" si="20"/>
        <v>0</v>
      </c>
      <c r="BM37" s="3">
        <f t="shared" si="20"/>
        <v>0</v>
      </c>
      <c r="BN37" s="3">
        <f t="shared" ref="BN37:BP37" si="21">IF($AK58=0,0,AY58/$AK58)</f>
        <v>0</v>
      </c>
      <c r="BO37" s="3">
        <f t="shared" si="21"/>
        <v>0</v>
      </c>
      <c r="BP37" s="3">
        <f t="shared" si="21"/>
        <v>0</v>
      </c>
      <c r="FX37" s="3"/>
      <c r="FY37" s="3"/>
      <c r="FZ37" s="3"/>
      <c r="GA37" s="3"/>
    </row>
    <row r="38" spans="2:183" ht="15" customHeight="1">
      <c r="B38" s="26"/>
      <c r="C38" s="505"/>
      <c r="D38" s="505" t="str">
        <f t="shared" si="19"/>
        <v>% of SCMs - Silica Fume Source #1</v>
      </c>
      <c r="E38" s="504"/>
      <c r="F38" s="652"/>
      <c r="G38" s="103">
        <f>AL34*AF38</f>
        <v>0</v>
      </c>
      <c r="H38" s="204" t="str">
        <f t="shared" si="14"/>
        <v>short ton</v>
      </c>
      <c r="I38" s="527"/>
      <c r="J38" s="528"/>
      <c r="K38" s="528"/>
      <c r="L38" s="528"/>
      <c r="M38" s="514"/>
      <c r="N38" s="529"/>
      <c r="W38" s="209"/>
      <c r="X38" s="209"/>
      <c r="Y38" s="210"/>
      <c r="Z38" s="210"/>
      <c r="AA38" s="210"/>
      <c r="AB38" s="210"/>
      <c r="AC38" s="3">
        <f>AC34</f>
        <v>1</v>
      </c>
      <c r="AD38" s="3" t="str">
        <f>'Plant Inputs'!D$40</f>
        <v>SCMs - Silica Fume</v>
      </c>
      <c r="AE38" s="171">
        <f>IF($D34="Offshore",'Plant Inputs'!$AP$16,IF(COUNTIF(Locations_USA,$D34)=1,VLOOKUP($D34,Locations_USA,3,FALSE),IF(COUNTIF(Locations_CAN,$D34)=1,VLOOKUP($D34,Locations_CAN,3,FALSE),NA())))</f>
        <v>0</v>
      </c>
      <c r="AF38" s="172">
        <f>$Q34*$E38</f>
        <v>0</v>
      </c>
      <c r="AG38" s="171"/>
      <c r="AH38" s="171"/>
      <c r="AI38" s="172"/>
      <c r="AJ38" s="3">
        <f>$AF38*AJ34</f>
        <v>0</v>
      </c>
      <c r="AK38" s="171">
        <f t="shared" si="16"/>
        <v>0</v>
      </c>
      <c r="AL38" s="171">
        <f t="shared" si="17"/>
        <v>0</v>
      </c>
      <c r="AN38" s="180">
        <f t="array" ref="AN38">IF($Q34=1,IFERROR(INDEX(LCIA_Data,MATCH($AE38&amp;AN$31,LCIA_Rows_B&amp;LCIA_Rows_C,0),MATCH($AD38,LCIA_Columns,0)),NA())*$AK38,0)</f>
        <v>0</v>
      </c>
      <c r="AO38" s="180">
        <f t="array" ref="AO38">IF($Q34=1,IFERROR(INDEX(LCIA_Data,MATCH($AE38&amp;AO$31,LCIA_Rows_B&amp;LCIA_Rows_C,0),MATCH($AD38,LCIA_Columns,0)),NA())*$AK38,0)</f>
        <v>0</v>
      </c>
      <c r="AP38" s="180">
        <f t="array" ref="AP38">IF($Q34=1,IFERROR(INDEX(LCIA_Data,MATCH($AE38&amp;AP$31,LCIA_Rows_B&amp;LCIA_Rows_C,0),MATCH($AD38,LCIA_Columns,0)),NA())*$AK38,0)</f>
        <v>0</v>
      </c>
      <c r="AQ38" s="180">
        <f t="array" ref="AQ38">IF($Q34=1,IFERROR(INDEX(LCIA_Data,MATCH($AE38&amp;AQ$31,LCIA_Rows_B&amp;LCIA_Rows_C,0),MATCH($AD38,LCIA_Columns,0)),NA())*$AK38,0)</f>
        <v>0</v>
      </c>
      <c r="AR38" s="180">
        <f t="array" ref="AR38">IF($Q34=1,IFERROR(INDEX(LCIA_Data,MATCH($AE38&amp;AR$31,LCIA_Rows_B&amp;LCIA_Rows_C,0),MATCH($AD38,LCIA_Columns,0)),NA())*$AK38,0)</f>
        <v>0</v>
      </c>
      <c r="AS38" s="180">
        <f t="array" ref="AS38">IF($Q34=1,IFERROR(INDEX(LCIA_Data,MATCH($AE38&amp;AS$31,LCIA_Rows_B&amp;LCIA_Rows_C,0),MATCH($AD38,LCIA_Columns,0)),NA())*$AK38,0)</f>
        <v>0</v>
      </c>
      <c r="AT38" s="180">
        <f t="array" ref="AT38">IF($Q34=1,IFERROR(INDEX(LCIA_Data,MATCH($AE38&amp;AT$31,LCIA_Rows_B&amp;LCIA_Rows_C,0),MATCH($AD38,LCIA_Columns,0)),NA())*$AK38,0)</f>
        <v>0</v>
      </c>
      <c r="AU38" s="180">
        <f t="array" ref="AU38">IF($Q34=1,IFERROR(INDEX(LCIA_Data,MATCH($AE38&amp;AU$31,LCIA_Rows_B&amp;LCIA_Rows_C,0),MATCH($AD38,LCIA_Columns,0)),NA())*$AK38,0)</f>
        <v>0</v>
      </c>
      <c r="AV38" s="180">
        <f t="array" ref="AV38">IF($Q34=1,IFERROR(INDEX(LCIA_Data,MATCH($AE38&amp;AV$31,LCIA_Rows_B&amp;LCIA_Rows_C,0),MATCH($AD38,LCIA_Columns,0)),NA())*$AK38,0)</f>
        <v>0</v>
      </c>
      <c r="AW38" s="180">
        <f t="array" ref="AW38">IF($Q34=1,IFERROR(INDEX(LCIA_Data,MATCH($AE38&amp;AW$31,LCIA_Rows_B&amp;LCIA_Rows_C,0),MATCH($AD38,LCIA_Columns,0)),NA())*$AK38,0)</f>
        <v>0</v>
      </c>
      <c r="AX38" s="180">
        <f t="array" ref="AX38">IF($Q34=1,IFERROR(INDEX(LCIA_Data,MATCH($AE38&amp;AX$31,LCIA_Rows_B&amp;LCIA_Rows_C,0),MATCH($AD38,LCIA_Columns,0)),NA())*$AK38,0)</f>
        <v>0</v>
      </c>
      <c r="AY38" s="180">
        <f t="array" ref="AY38">IF($Q34=1,IFERROR(INDEX(LCIA_Data,MATCH($AE38&amp;AY$31,LCIA_Rows_B&amp;LCIA_Rows_C,0),MATCH($AD38,LCIA_Columns,0)),NA())*$AK38,0)</f>
        <v>0</v>
      </c>
      <c r="AZ38" s="180">
        <f t="array" ref="AZ38">IF($Q34=1,IFERROR(INDEX(LCIA_Data,MATCH($AE38&amp;AZ$31,LCIA_Rows_B&amp;LCIA_Rows_C,0),MATCH($AD38,LCIA_Columns,0)),NA())*$AK38,0)</f>
        <v>0</v>
      </c>
      <c r="BA38" s="180">
        <f t="array" ref="BA38">IF($Q34=1,IFERROR(INDEX(LCIA_Data,MATCH($AE38&amp;BA$31,LCIA_Rows_B&amp;LCIA_Rows_C,0),MATCH($AD38,LCIA_Columns,0)),NA())*$AK38,0)</f>
        <v>0</v>
      </c>
      <c r="FX38" s="3"/>
      <c r="FY38" s="3"/>
      <c r="FZ38" s="3"/>
      <c r="GA38" s="3"/>
    </row>
    <row r="39" spans="2:183" ht="15" customHeight="1">
      <c r="B39" s="26"/>
      <c r="C39" s="505"/>
      <c r="D39" s="505" t="str">
        <f t="shared" si="19"/>
        <v>% of Slag Cement Source #1</v>
      </c>
      <c r="E39" s="504"/>
      <c r="F39" s="653"/>
      <c r="G39" s="103">
        <f t="shared" ref="G39" si="22">AL38*AF39</f>
        <v>0</v>
      </c>
      <c r="H39" s="204" t="str">
        <f t="shared" si="14"/>
        <v>short ton</v>
      </c>
      <c r="I39" s="530"/>
      <c r="J39" s="531"/>
      <c r="K39" s="531"/>
      <c r="L39" s="531"/>
      <c r="M39" s="515"/>
      <c r="N39" s="532"/>
      <c r="P39" s="35" t="s">
        <v>723</v>
      </c>
      <c r="W39" s="209"/>
      <c r="X39" s="209"/>
      <c r="Y39" s="210"/>
      <c r="Z39" s="210"/>
      <c r="AA39" s="210"/>
      <c r="AB39" s="210"/>
      <c r="AC39" s="3">
        <f>AC34</f>
        <v>1</v>
      </c>
      <c r="AD39" s="3" t="str">
        <f>'Plant Inputs'!D$41</f>
        <v>Slag Cement</v>
      </c>
      <c r="AE39" s="171">
        <f>IF($D34="Offshore",'Plant Inputs'!$AP$16,IF(COUNTIF(Locations_USA,$D34)=1,VLOOKUP($D34,Locations_USA,3,FALSE),IF(COUNTIF(Locations_CAN,$D34)=1,VLOOKUP($D34,Locations_CAN,3,FALSE),NA())))</f>
        <v>0</v>
      </c>
      <c r="AF39" s="172">
        <f>$Q34*$E39</f>
        <v>0</v>
      </c>
      <c r="AG39" s="171"/>
      <c r="AH39" s="171"/>
      <c r="AI39" s="172"/>
      <c r="AJ39" s="3">
        <f>$AF39*AJ34</f>
        <v>0</v>
      </c>
      <c r="AK39" s="171">
        <f t="shared" si="16"/>
        <v>0</v>
      </c>
      <c r="AL39" s="171">
        <f t="shared" si="17"/>
        <v>0</v>
      </c>
      <c r="AN39" s="180">
        <f t="array" ref="AN39">IF($Q34=1,IFERROR(INDEX(LCIA_Data,MATCH($AE39&amp;AN$31,LCIA_Rows_B&amp;LCIA_Rows_C,0),MATCH($AD39,LCIA_Columns,0)),NA())*$AK39,0)</f>
        <v>0</v>
      </c>
      <c r="AO39" s="180">
        <f t="array" ref="AO39">IF($Q34=1,IFERROR(INDEX(LCIA_Data,MATCH($AE39&amp;AO$31,LCIA_Rows_B&amp;LCIA_Rows_C,0),MATCH($AD39,LCIA_Columns,0)),NA())*$AK39,0)</f>
        <v>0</v>
      </c>
      <c r="AP39" s="180">
        <f t="array" ref="AP39">IF($Q34=1,IFERROR(INDEX(LCIA_Data,MATCH($AE39&amp;AP$31,LCIA_Rows_B&amp;LCIA_Rows_C,0),MATCH($AD39,LCIA_Columns,0)),NA())*$AK39,0)</f>
        <v>0</v>
      </c>
      <c r="AQ39" s="180">
        <f t="array" ref="AQ39">IF($Q34=1,IFERROR(INDEX(LCIA_Data,MATCH($AE39&amp;AQ$31,LCIA_Rows_B&amp;LCIA_Rows_C,0),MATCH($AD39,LCIA_Columns,0)),NA())*$AK39,0)</f>
        <v>0</v>
      </c>
      <c r="AR39" s="180">
        <f t="array" ref="AR39">IF($Q34=1,IFERROR(INDEX(LCIA_Data,MATCH($AE39&amp;AR$31,LCIA_Rows_B&amp;LCIA_Rows_C,0),MATCH($AD39,LCIA_Columns,0)),NA())*$AK39,0)</f>
        <v>0</v>
      </c>
      <c r="AS39" s="180">
        <f t="array" ref="AS39">IF($Q34=1,IFERROR(INDEX(LCIA_Data,MATCH($AE39&amp;AS$31,LCIA_Rows_B&amp;LCIA_Rows_C,0),MATCH($AD39,LCIA_Columns,0)),NA())*$AK39,0)</f>
        <v>0</v>
      </c>
      <c r="AT39" s="180">
        <f t="array" ref="AT39">IF($Q34=1,IFERROR(INDEX(LCIA_Data,MATCH($AE39&amp;AT$31,LCIA_Rows_B&amp;LCIA_Rows_C,0),MATCH($AD39,LCIA_Columns,0)),NA())*$AK39,0)</f>
        <v>0</v>
      </c>
      <c r="AU39" s="180">
        <f t="array" ref="AU39">IF($Q34=1,IFERROR(INDEX(LCIA_Data,MATCH($AE39&amp;AU$31,LCIA_Rows_B&amp;LCIA_Rows_C,0),MATCH($AD39,LCIA_Columns,0)),NA())*$AK39,0)</f>
        <v>0</v>
      </c>
      <c r="AV39" s="180">
        <f t="array" ref="AV39">IF($Q34=1,IFERROR(INDEX(LCIA_Data,MATCH($AE39&amp;AV$31,LCIA_Rows_B&amp;LCIA_Rows_C,0),MATCH($AD39,LCIA_Columns,0)),NA())*$AK39,0)</f>
        <v>0</v>
      </c>
      <c r="AW39" s="180">
        <f t="array" ref="AW39">IF($Q34=1,IFERROR(INDEX(LCIA_Data,MATCH($AE39&amp;AW$31,LCIA_Rows_B&amp;LCIA_Rows_C,0),MATCH($AD39,LCIA_Columns,0)),NA())*$AK39,0)</f>
        <v>0</v>
      </c>
      <c r="AX39" s="180">
        <f t="array" ref="AX39">IF($Q34=1,IFERROR(INDEX(LCIA_Data,MATCH($AE39&amp;AX$31,LCIA_Rows_B&amp;LCIA_Rows_C,0),MATCH($AD39,LCIA_Columns,0)),NA())*$AK39,0)</f>
        <v>0</v>
      </c>
      <c r="AY39" s="180">
        <f t="array" ref="AY39">IF($Q34=1,IFERROR(INDEX(LCIA_Data,MATCH($AE39&amp;AY$31,LCIA_Rows_B&amp;LCIA_Rows_C,0),MATCH($AD39,LCIA_Columns,0)),NA())*$AK39,0)</f>
        <v>0</v>
      </c>
      <c r="AZ39" s="180">
        <f t="array" ref="AZ39">IF($Q34=1,IFERROR(INDEX(LCIA_Data,MATCH($AE39&amp;AZ$31,LCIA_Rows_B&amp;LCIA_Rows_C,0),MATCH($AD39,LCIA_Columns,0)),NA())*$AK39,0)</f>
        <v>0</v>
      </c>
      <c r="BA39" s="180">
        <f t="array" ref="BA39">IF($Q34=1,IFERROR(INDEX(LCIA_Data,MATCH($AE39&amp;BA$31,LCIA_Rows_B&amp;LCIA_Rows_C,0),MATCH($AD39,LCIA_Columns,0)),NA())*$AK39,0)</f>
        <v>0</v>
      </c>
      <c r="FX39" s="3"/>
      <c r="FY39" s="3"/>
      <c r="FZ39" s="3"/>
      <c r="GA39" s="3"/>
    </row>
    <row r="40" spans="2:183" ht="15" customHeight="1">
      <c r="B40" s="26">
        <v>2</v>
      </c>
      <c r="C40" s="46" t="str">
        <f>AD40&amp;" Source #"&amp;AC40</f>
        <v>Pre-Blended Cement Source #2</v>
      </c>
      <c r="D40" s="104" t="s">
        <v>442</v>
      </c>
      <c r="E40" s="508"/>
      <c r="F40" s="106" t="str">
        <f>MassDisplayUnit</f>
        <v>short ton</v>
      </c>
      <c r="G40" s="506">
        <f>AL40</f>
        <v>0</v>
      </c>
      <c r="H40" s="204" t="str">
        <f t="shared" si="14"/>
        <v>short ton</v>
      </c>
      <c r="I40" s="521"/>
      <c r="J40" s="521"/>
      <c r="K40" s="521"/>
      <c r="L40" s="521"/>
      <c r="M40" s="436" t="s">
        <v>386</v>
      </c>
      <c r="N40" s="408" t="str">
        <f>DistanceDisplayUnit</f>
        <v>mile</v>
      </c>
      <c r="P40" s="35" t="s">
        <v>724</v>
      </c>
      <c r="Q40" s="3">
        <f>IF(AND($D40&lt;&gt;"Insert Location",$E40&lt;&gt;0,OR(ISNUMBER($I40),ISNUMBER($J40),ISNUMBER($K40),ISNUMBER($L40))),1,0)</f>
        <v>0</v>
      </c>
      <c r="R40" s="3">
        <f>IF(BlendYourOwnCement2="Yes",0, $Q40*I40)</f>
        <v>0</v>
      </c>
      <c r="S40" s="3">
        <f>IF(BlendYourOwnCement2="Yes",0, $Q40*J40)</f>
        <v>0</v>
      </c>
      <c r="T40" s="3">
        <f>IF(BlendYourOwnCement2="Yes",0, $Q40*K40)</f>
        <v>0</v>
      </c>
      <c r="U40" s="3">
        <f>IF(BlendYourOwnCement2="Yes",0, $Q40*L40)</f>
        <v>0</v>
      </c>
      <c r="V40" s="209" t="str">
        <f>N40</f>
        <v>mile</v>
      </c>
      <c r="W40" s="209">
        <f t="shared" si="15"/>
        <v>1</v>
      </c>
      <c r="X40" s="209" t="str">
        <f>$Y$19&amp;"/"&amp;$V40</f>
        <v>mile/mile</v>
      </c>
      <c r="Y40" s="210">
        <f>IF(BlendYourOwnCement2="Yes",(R41*$G41*$W41+R42*$G42*$W42+R43*$G43*$W43+R44*$G44*$W44+R45*$G45*$W45)/$G40, R40*$W40)</f>
        <v>0</v>
      </c>
      <c r="Z40" s="210">
        <f>IF(BlendYourOwnCement2="Yes",(S41*$G41*$W41+S42*$G42*$W42+S43*$G43*$W43+S44*$G44*$W44+S45*$G45*$W45)/$G40, S40*$W40)</f>
        <v>0</v>
      </c>
      <c r="AA40" s="210">
        <f>IF(BlendYourOwnCement2="Yes",(T41*$G41*$W41+T42*$G42*$W42+T43*$G43*$W43+T44*$G44*$W44+T45*$G45*$W45)/$G40, T40*$W40)</f>
        <v>0</v>
      </c>
      <c r="AB40" s="210">
        <f>IF(BlendYourOwnCement2="Yes",(U41*$G41*$W41+U42*$G42*$W42+U43*$G43*$W43+U44*$G44*$W44+U45*$G45*$W45)/$G40, U40*$W40)</f>
        <v>0</v>
      </c>
      <c r="AC40" s="3">
        <v>2</v>
      </c>
      <c r="AD40" s="3" t="str">
        <f>'Plant Inputs'!$D$32</f>
        <v>Pre-Blended Cement</v>
      </c>
      <c r="AE40" s="171">
        <f>IF($D40="Offshore",'Plant Inputs'!$AP$16,IF(COUNTIF(Locations_USA,$D40)=1,VLOOKUP($D40,Locations_USA,3,FALSE),IF(COUNTIF(Locations_CAN,$D40)=1,VLOOKUP($D40,Locations_CAN,3,FALSE),NA())))</f>
        <v>0</v>
      </c>
      <c r="AF40" s="172">
        <f t="shared" ref="AF40" si="23">$Q40*$E40</f>
        <v>0</v>
      </c>
      <c r="AG40" s="171" t="str">
        <f>F40</f>
        <v>short ton</v>
      </c>
      <c r="AH40" s="171">
        <f>INDEX(Conversion_Table,MATCH($AG40,Conversion_Rows,0),MATCH($AJ$8,Conversion_Columns,0))</f>
        <v>0.90718499588591606</v>
      </c>
      <c r="AI40" s="172" t="str">
        <f>$AJ$8&amp;"/"&amp;AG40</f>
        <v>tonne/short ton</v>
      </c>
      <c r="AJ40" s="172">
        <f>AF40*AH40</f>
        <v>0</v>
      </c>
      <c r="AK40" s="172">
        <f t="shared" si="16"/>
        <v>0</v>
      </c>
      <c r="AL40" s="172">
        <f t="shared" si="17"/>
        <v>0</v>
      </c>
      <c r="AN40" s="511">
        <f t="shared" ref="AN40" si="24">SUM(AN41:AN45)</f>
        <v>0</v>
      </c>
      <c r="AO40" s="511">
        <f t="shared" ref="AO40" si="25">SUM(AO41:AO45)</f>
        <v>0</v>
      </c>
      <c r="AP40" s="511">
        <f t="shared" ref="AP40" si="26">SUM(AP41:AP45)</f>
        <v>0</v>
      </c>
      <c r="AQ40" s="511">
        <f t="shared" ref="AQ40" si="27">SUM(AQ41:AQ45)</f>
        <v>0</v>
      </c>
      <c r="AR40" s="511">
        <f t="shared" ref="AR40" si="28">SUM(AR41:AR45)</f>
        <v>0</v>
      </c>
      <c r="AS40" s="511">
        <f t="shared" ref="AS40" si="29">SUM(AS41:AS45)</f>
        <v>0</v>
      </c>
      <c r="AT40" s="511">
        <f t="shared" ref="AT40" si="30">SUM(AT41:AT45)</f>
        <v>0</v>
      </c>
      <c r="AU40" s="511">
        <f t="shared" ref="AU40" si="31">SUM(AU41:AU45)</f>
        <v>0</v>
      </c>
      <c r="AV40" s="511">
        <f t="shared" ref="AV40" si="32">SUM(AV41:AV45)</f>
        <v>0</v>
      </c>
      <c r="AW40" s="511">
        <f t="shared" ref="AW40" si="33">SUM(AW41:AW45)</f>
        <v>0</v>
      </c>
      <c r="AX40" s="511">
        <f t="shared" ref="AX40" si="34">SUM(AX41:AX45)</f>
        <v>0</v>
      </c>
      <c r="AY40" s="511">
        <f t="shared" ref="AY40" si="35">SUM(AY41:AY45)</f>
        <v>0</v>
      </c>
      <c r="AZ40" s="511">
        <f t="shared" ref="AZ40" si="36">SUM(AZ41:AZ45)</f>
        <v>0</v>
      </c>
      <c r="BA40" s="511">
        <f t="shared" ref="BA40" si="37">SUM(BA41:BA45)</f>
        <v>0</v>
      </c>
      <c r="FX40" s="3"/>
      <c r="FY40" s="3"/>
    </row>
    <row r="41" spans="2:183" ht="15" customHeight="1">
      <c r="B41" s="26"/>
      <c r="C41" s="519"/>
      <c r="D41" s="516" t="str">
        <f>"% of "&amp;$AD41</f>
        <v>% of Portland Cement</v>
      </c>
      <c r="E41" s="504"/>
      <c r="F41" s="651" t="str">
        <f>IF(AND($E40&gt;0,SUM($E41:$E45)&lt;&gt;1),"These 5 percentages must add to 100%","")</f>
        <v/>
      </c>
      <c r="G41" s="103">
        <f>AL40*AF41</f>
        <v>0</v>
      </c>
      <c r="H41" s="204" t="str">
        <f t="shared" si="14"/>
        <v>short ton</v>
      </c>
      <c r="I41" s="524"/>
      <c r="J41" s="525"/>
      <c r="K41" s="525"/>
      <c r="L41" s="525"/>
      <c r="M41" s="513"/>
      <c r="N41" s="526"/>
      <c r="W41" s="209"/>
      <c r="X41" s="209"/>
      <c r="Y41" s="210"/>
      <c r="Z41" s="210"/>
      <c r="AA41" s="210"/>
      <c r="AB41" s="210"/>
      <c r="AC41" s="3">
        <f>AC40</f>
        <v>2</v>
      </c>
      <c r="AD41" s="3" t="str">
        <f>'Plant Inputs'!D$30</f>
        <v>Portland Cement</v>
      </c>
      <c r="AE41" s="171">
        <f>IF($D40="Offshore",'Plant Inputs'!$AP$16,IF(COUNTIF(Locations_USA,$D40)=1,VLOOKUP($D40,Locations_USA,3,FALSE),IF(COUNTIF(Locations_CAN,$D40)=1,VLOOKUP($D40,Locations_CAN,3,FALSE),NA())))</f>
        <v>0</v>
      </c>
      <c r="AF41" s="172">
        <f t="shared" ref="AF41" si="38">$Q40*$E41</f>
        <v>0</v>
      </c>
      <c r="AG41" s="171"/>
      <c r="AH41" s="171"/>
      <c r="AI41" s="172"/>
      <c r="AJ41" s="3">
        <f>$AF41*AJ40</f>
        <v>0</v>
      </c>
      <c r="AK41" s="171">
        <f t="shared" si="16"/>
        <v>0</v>
      </c>
      <c r="AL41" s="171">
        <f t="shared" si="17"/>
        <v>0</v>
      </c>
      <c r="AN41" s="180">
        <f t="array" ref="AN41">IF($Q40=1,IFERROR(INDEX(LCIA_Data,MATCH($AE41&amp;AN$31,LCIA_Rows_B&amp;LCIA_Rows_C,0),MATCH($AD41,LCIA_Columns,0)),NA())*$AK41,0)</f>
        <v>0</v>
      </c>
      <c r="AO41" s="180">
        <f t="array" ref="AO41">IF($Q40=1,IFERROR(INDEX(LCIA_Data,MATCH($AE41&amp;AO$31,LCIA_Rows_B&amp;LCIA_Rows_C,0),MATCH($AD41,LCIA_Columns,0)),NA())*$AK41,0)</f>
        <v>0</v>
      </c>
      <c r="AP41" s="180">
        <f t="array" ref="AP41">IF($Q40=1,IFERROR(INDEX(LCIA_Data,MATCH($AE41&amp;AP$31,LCIA_Rows_B&amp;LCIA_Rows_C,0),MATCH($AD41,LCIA_Columns,0)),NA())*$AK41,0)</f>
        <v>0</v>
      </c>
      <c r="AQ41" s="180">
        <f t="array" ref="AQ41">IF($Q40=1,IFERROR(INDEX(LCIA_Data,MATCH($AE41&amp;AQ$31,LCIA_Rows_B&amp;LCIA_Rows_C,0),MATCH($AD41,LCIA_Columns,0)),NA())*$AK41,0)</f>
        <v>0</v>
      </c>
      <c r="AR41" s="180">
        <f t="array" ref="AR41">IF($Q40=1,IFERROR(INDEX(LCIA_Data,MATCH($AE41&amp;AR$31,LCIA_Rows_B&amp;LCIA_Rows_C,0),MATCH($AD41,LCIA_Columns,0)),NA())*$AK41,0)</f>
        <v>0</v>
      </c>
      <c r="AS41" s="180">
        <f t="array" ref="AS41">IF($Q40=1,IFERROR(INDEX(LCIA_Data,MATCH($AE41&amp;AS$31,LCIA_Rows_B&amp;LCIA_Rows_C,0),MATCH($AD41,LCIA_Columns,0)),NA())*$AK41,0)</f>
        <v>0</v>
      </c>
      <c r="AT41" s="180">
        <f t="array" ref="AT41">IF($Q40=1,IFERROR(INDEX(LCIA_Data,MATCH($AE41&amp;AT$31,LCIA_Rows_B&amp;LCIA_Rows_C,0),MATCH($AD41,LCIA_Columns,0)),NA())*$AK41,0)</f>
        <v>0</v>
      </c>
      <c r="AU41" s="180">
        <f t="array" ref="AU41">IF($Q40=1,IFERROR(INDEX(LCIA_Data,MATCH($AE41&amp;AU$31,LCIA_Rows_B&amp;LCIA_Rows_C,0),MATCH($AD41,LCIA_Columns,0)),NA())*$AK41,0)</f>
        <v>0</v>
      </c>
      <c r="AV41" s="180">
        <f t="array" ref="AV41">IF($Q40=1,IFERROR(INDEX(LCIA_Data,MATCH($AE41&amp;AV$31,LCIA_Rows_B&amp;LCIA_Rows_C,0),MATCH($AD41,LCIA_Columns,0)),NA())*$AK41,0)</f>
        <v>0</v>
      </c>
      <c r="AW41" s="180">
        <f t="array" ref="AW41">IF($Q40=1,IFERROR(INDEX(LCIA_Data,MATCH($AE41&amp;AW$31,LCIA_Rows_B&amp;LCIA_Rows_C,0),MATCH($AD41,LCIA_Columns,0)),NA())*$AK41,0)</f>
        <v>0</v>
      </c>
      <c r="AX41" s="180">
        <f t="array" ref="AX41">IF($Q40=1,IFERROR(INDEX(LCIA_Data,MATCH($AE41&amp;AX$31,LCIA_Rows_B&amp;LCIA_Rows_C,0),MATCH($AD41,LCIA_Columns,0)),NA())*$AK41,0)</f>
        <v>0</v>
      </c>
      <c r="AY41" s="180">
        <f t="array" ref="AY41">IF($Q40=1,IFERROR(INDEX(LCIA_Data,MATCH($AE41&amp;AY$31,LCIA_Rows_B&amp;LCIA_Rows_C,0),MATCH($AD41,LCIA_Columns,0)),NA())*$AK41,0)</f>
        <v>0</v>
      </c>
      <c r="AZ41" s="180">
        <f t="array" ref="AZ41">IF($Q40=1,IFERROR(INDEX(LCIA_Data,MATCH($AE41&amp;AZ$31,LCIA_Rows_B&amp;LCIA_Rows_C,0),MATCH($AD41,LCIA_Columns,0)),NA())*$AK41,0)</f>
        <v>0</v>
      </c>
      <c r="BA41" s="180">
        <f t="array" ref="BA41">IF($Q40=1,IFERROR(INDEX(LCIA_Data,MATCH($AE41&amp;BA$31,LCIA_Rows_B&amp;LCIA_Rows_C,0),MATCH($AD41,LCIA_Columns,0)),NA())*$AK41,0)</f>
        <v>0</v>
      </c>
      <c r="FX41" s="3"/>
      <c r="FY41" s="3"/>
    </row>
    <row r="42" spans="2:183" ht="15" customHeight="1">
      <c r="B42" s="26"/>
      <c r="C42" s="519"/>
      <c r="D42" s="516" t="str">
        <f t="shared" ref="D42:D45" si="39">"% of "&amp;$AD42</f>
        <v>% of Portland Limestone Cement (PLC)</v>
      </c>
      <c r="E42" s="504"/>
      <c r="F42" s="652"/>
      <c r="G42" s="103">
        <f>AL40*AF42</f>
        <v>0</v>
      </c>
      <c r="H42" s="204" t="str">
        <f t="shared" si="14"/>
        <v>short ton</v>
      </c>
      <c r="I42" s="527"/>
      <c r="J42" s="528"/>
      <c r="K42" s="528"/>
      <c r="L42" s="528"/>
      <c r="M42" s="514"/>
      <c r="N42" s="529"/>
      <c r="W42" s="209"/>
      <c r="X42" s="209"/>
      <c r="Y42" s="210"/>
      <c r="Z42" s="210"/>
      <c r="AA42" s="210"/>
      <c r="AB42" s="210"/>
      <c r="AC42" s="3">
        <f>AC40</f>
        <v>2</v>
      </c>
      <c r="AD42" s="3" t="str">
        <f>'Plant Inputs'!D$31</f>
        <v>Portland Limestone Cement (PLC)</v>
      </c>
      <c r="AE42" s="171">
        <f>IF($D40="Offshore",'Plant Inputs'!$AP$16,IF(COUNTIF(Locations_USA,$D40)=1,VLOOKUP($D40,Locations_USA,3,FALSE),IF(COUNTIF(Locations_CAN,$D40)=1,VLOOKUP($D40,Locations_CAN,3,FALSE),NA())))</f>
        <v>0</v>
      </c>
      <c r="AF42" s="172">
        <f t="shared" ref="AF42" si="40">$Q40*$E42</f>
        <v>0</v>
      </c>
      <c r="AG42" s="171"/>
      <c r="AH42" s="171"/>
      <c r="AI42" s="172"/>
      <c r="AJ42" s="3">
        <f>$AF42*AJ40</f>
        <v>0</v>
      </c>
      <c r="AK42" s="171">
        <f t="shared" si="16"/>
        <v>0</v>
      </c>
      <c r="AL42" s="171">
        <f t="shared" si="17"/>
        <v>0</v>
      </c>
      <c r="AN42" s="180">
        <f t="array" ref="AN42">IF($Q40=1,IFERROR(INDEX(LCIA_Data,MATCH($AE42&amp;AN$31,LCIA_Rows_B&amp;LCIA_Rows_C,0),MATCH($AD42,LCIA_Columns,0)),NA())*$AK42,0)</f>
        <v>0</v>
      </c>
      <c r="AO42" s="180">
        <f t="array" ref="AO42">IF($Q40=1,IFERROR(INDEX(LCIA_Data,MATCH($AE42&amp;AO$31,LCIA_Rows_B&amp;LCIA_Rows_C,0),MATCH($AD42,LCIA_Columns,0)),NA())*$AK42,0)</f>
        <v>0</v>
      </c>
      <c r="AP42" s="180">
        <f t="array" ref="AP42">IF($Q40=1,IFERROR(INDEX(LCIA_Data,MATCH($AE42&amp;AP$31,LCIA_Rows_B&amp;LCIA_Rows_C,0),MATCH($AD42,LCIA_Columns,0)),NA())*$AK42,0)</f>
        <v>0</v>
      </c>
      <c r="AQ42" s="180">
        <f t="array" ref="AQ42">IF($Q40=1,IFERROR(INDEX(LCIA_Data,MATCH($AE42&amp;AQ$31,LCIA_Rows_B&amp;LCIA_Rows_C,0),MATCH($AD42,LCIA_Columns,0)),NA())*$AK42,0)</f>
        <v>0</v>
      </c>
      <c r="AR42" s="180">
        <f t="array" ref="AR42">IF($Q40=1,IFERROR(INDEX(LCIA_Data,MATCH($AE42&amp;AR$31,LCIA_Rows_B&amp;LCIA_Rows_C,0),MATCH($AD42,LCIA_Columns,0)),NA())*$AK42,0)</f>
        <v>0</v>
      </c>
      <c r="AS42" s="180">
        <f t="array" ref="AS42">IF($Q40=1,IFERROR(INDEX(LCIA_Data,MATCH($AE42&amp;AS$31,LCIA_Rows_B&amp;LCIA_Rows_C,0),MATCH($AD42,LCIA_Columns,0)),NA())*$AK42,0)</f>
        <v>0</v>
      </c>
      <c r="AT42" s="180">
        <f t="array" ref="AT42">IF($Q40=1,IFERROR(INDEX(LCIA_Data,MATCH($AE42&amp;AT$31,LCIA_Rows_B&amp;LCIA_Rows_C,0),MATCH($AD42,LCIA_Columns,0)),NA())*$AK42,0)</f>
        <v>0</v>
      </c>
      <c r="AU42" s="180">
        <f t="array" ref="AU42">IF($Q40=1,IFERROR(INDEX(LCIA_Data,MATCH($AE42&amp;AU$31,LCIA_Rows_B&amp;LCIA_Rows_C,0),MATCH($AD42,LCIA_Columns,0)),NA())*$AK42,0)</f>
        <v>0</v>
      </c>
      <c r="AV42" s="180">
        <f t="array" ref="AV42">IF($Q40=1,IFERROR(INDEX(LCIA_Data,MATCH($AE42&amp;AV$31,LCIA_Rows_B&amp;LCIA_Rows_C,0),MATCH($AD42,LCIA_Columns,0)),NA())*$AK42,0)</f>
        <v>0</v>
      </c>
      <c r="AW42" s="180">
        <f t="array" ref="AW42">IF($Q40=1,IFERROR(INDEX(LCIA_Data,MATCH($AE42&amp;AW$31,LCIA_Rows_B&amp;LCIA_Rows_C,0),MATCH($AD42,LCIA_Columns,0)),NA())*$AK42,0)</f>
        <v>0</v>
      </c>
      <c r="AX42" s="180">
        <f t="array" ref="AX42">IF($Q40=1,IFERROR(INDEX(LCIA_Data,MATCH($AE42&amp;AX$31,LCIA_Rows_B&amp;LCIA_Rows_C,0),MATCH($AD42,LCIA_Columns,0)),NA())*$AK42,0)</f>
        <v>0</v>
      </c>
      <c r="AY42" s="180">
        <f t="array" ref="AY42">IF($Q40=1,IFERROR(INDEX(LCIA_Data,MATCH($AE42&amp;AY$31,LCIA_Rows_B&amp;LCIA_Rows_C,0),MATCH($AD42,LCIA_Columns,0)),NA())*$AK42,0)</f>
        <v>0</v>
      </c>
      <c r="AZ42" s="180">
        <f t="array" ref="AZ42">IF($Q40=1,IFERROR(INDEX(LCIA_Data,MATCH($AE42&amp;AZ$31,LCIA_Rows_B&amp;LCIA_Rows_C,0),MATCH($AD42,LCIA_Columns,0)),NA())*$AK42,0)</f>
        <v>0</v>
      </c>
      <c r="BA42" s="180">
        <f t="array" ref="BA42">IF($Q40=1,IFERROR(INDEX(LCIA_Data,MATCH($AE42&amp;BA$31,LCIA_Rows_B&amp;LCIA_Rows_C,0),MATCH($AD42,LCIA_Columns,0)),NA())*$AK42,0)</f>
        <v>0</v>
      </c>
      <c r="FX42" s="3"/>
      <c r="FY42" s="3"/>
    </row>
    <row r="43" spans="2:183" ht="15" customHeight="1">
      <c r="B43" s="26"/>
      <c r="C43" s="519"/>
      <c r="D43" s="516" t="str">
        <f t="shared" si="39"/>
        <v>% of SCMs - Fly Ash</v>
      </c>
      <c r="E43" s="504"/>
      <c r="F43" s="652"/>
      <c r="G43" s="103">
        <f>AL40*AF43</f>
        <v>0</v>
      </c>
      <c r="H43" s="204" t="str">
        <f t="shared" si="14"/>
        <v>short ton</v>
      </c>
      <c r="I43" s="527"/>
      <c r="J43" s="528"/>
      <c r="K43" s="528"/>
      <c r="L43" s="528"/>
      <c r="M43" s="514"/>
      <c r="N43" s="529"/>
      <c r="W43" s="209"/>
      <c r="X43" s="209"/>
      <c r="Y43" s="210"/>
      <c r="Z43" s="210"/>
      <c r="AA43" s="210"/>
      <c r="AB43" s="210"/>
      <c r="AC43" s="3">
        <f>AC40</f>
        <v>2</v>
      </c>
      <c r="AD43" s="3" t="str">
        <f>'Plant Inputs'!D$39</f>
        <v>SCMs - Fly Ash</v>
      </c>
      <c r="AE43" s="171">
        <f>IF($D40="Offshore",'Plant Inputs'!$AP$16,IF(COUNTIF(Locations_USA,$D40)=1,VLOOKUP($D40,Locations_USA,3,FALSE),IF(COUNTIF(Locations_CAN,$D40)=1,VLOOKUP($D40,Locations_CAN,3,FALSE),NA())))</f>
        <v>0</v>
      </c>
      <c r="AF43" s="172">
        <f t="shared" ref="AF43" si="41">$Q40*$E43</f>
        <v>0</v>
      </c>
      <c r="AG43" s="171"/>
      <c r="AH43" s="171"/>
      <c r="AI43" s="172"/>
      <c r="AJ43" s="3">
        <f>$AF43*AJ40</f>
        <v>0</v>
      </c>
      <c r="AK43" s="171">
        <f t="shared" si="16"/>
        <v>0</v>
      </c>
      <c r="AL43" s="171">
        <f t="shared" si="17"/>
        <v>0</v>
      </c>
      <c r="AN43" s="180">
        <f t="array" ref="AN43">IF($Q40=1,IFERROR(INDEX(LCIA_Data,MATCH($AE43&amp;AN$31,LCIA_Rows_B&amp;LCIA_Rows_C,0),MATCH($AD43,LCIA_Columns,0)),NA())*$AK43,0)</f>
        <v>0</v>
      </c>
      <c r="AO43" s="180">
        <f t="array" ref="AO43">IF($Q40=1,IFERROR(INDEX(LCIA_Data,MATCH($AE43&amp;AO$31,LCIA_Rows_B&amp;LCIA_Rows_C,0),MATCH($AD43,LCIA_Columns,0)),NA())*$AK43,0)</f>
        <v>0</v>
      </c>
      <c r="AP43" s="180">
        <f t="array" ref="AP43">IF($Q40=1,IFERROR(INDEX(LCIA_Data,MATCH($AE43&amp;AP$31,LCIA_Rows_B&amp;LCIA_Rows_C,0),MATCH($AD43,LCIA_Columns,0)),NA())*$AK43,0)</f>
        <v>0</v>
      </c>
      <c r="AQ43" s="180">
        <f t="array" ref="AQ43">IF($Q40=1,IFERROR(INDEX(LCIA_Data,MATCH($AE43&amp;AQ$31,LCIA_Rows_B&amp;LCIA_Rows_C,0),MATCH($AD43,LCIA_Columns,0)),NA())*$AK43,0)</f>
        <v>0</v>
      </c>
      <c r="AR43" s="180">
        <f t="array" ref="AR43">IF($Q40=1,IFERROR(INDEX(LCIA_Data,MATCH($AE43&amp;AR$31,LCIA_Rows_B&amp;LCIA_Rows_C,0),MATCH($AD43,LCIA_Columns,0)),NA())*$AK43,0)</f>
        <v>0</v>
      </c>
      <c r="AS43" s="180">
        <f t="array" ref="AS43">IF($Q40=1,IFERROR(INDEX(LCIA_Data,MATCH($AE43&amp;AS$31,LCIA_Rows_B&amp;LCIA_Rows_C,0),MATCH($AD43,LCIA_Columns,0)),NA())*$AK43,0)</f>
        <v>0</v>
      </c>
      <c r="AT43" s="180">
        <f t="array" ref="AT43">IF($Q40=1,IFERROR(INDEX(LCIA_Data,MATCH($AE43&amp;AT$31,LCIA_Rows_B&amp;LCIA_Rows_C,0),MATCH($AD43,LCIA_Columns,0)),NA())*$AK43,0)</f>
        <v>0</v>
      </c>
      <c r="AU43" s="180">
        <f t="array" ref="AU43">IF($Q40=1,IFERROR(INDEX(LCIA_Data,MATCH($AE43&amp;AU$31,LCIA_Rows_B&amp;LCIA_Rows_C,0),MATCH($AD43,LCIA_Columns,0)),NA())*$AK43,0)</f>
        <v>0</v>
      </c>
      <c r="AV43" s="180">
        <f t="array" ref="AV43">IF($Q40=1,IFERROR(INDEX(LCIA_Data,MATCH($AE43&amp;AV$31,LCIA_Rows_B&amp;LCIA_Rows_C,0),MATCH($AD43,LCIA_Columns,0)),NA())*$AK43,0)</f>
        <v>0</v>
      </c>
      <c r="AW43" s="180">
        <f t="array" ref="AW43">IF($Q40=1,IFERROR(INDEX(LCIA_Data,MATCH($AE43&amp;AW$31,LCIA_Rows_B&amp;LCIA_Rows_C,0),MATCH($AD43,LCIA_Columns,0)),NA())*$AK43,0)</f>
        <v>0</v>
      </c>
      <c r="AX43" s="180">
        <f t="array" ref="AX43">IF($Q40=1,IFERROR(INDEX(LCIA_Data,MATCH($AE43&amp;AX$31,LCIA_Rows_B&amp;LCIA_Rows_C,0),MATCH($AD43,LCIA_Columns,0)),NA())*$AK43,0)</f>
        <v>0</v>
      </c>
      <c r="AY43" s="180">
        <f t="array" ref="AY43">IF($Q40=1,IFERROR(INDEX(LCIA_Data,MATCH($AE43&amp;AY$31,LCIA_Rows_B&amp;LCIA_Rows_C,0),MATCH($AD43,LCIA_Columns,0)),NA())*$AK43,0)</f>
        <v>0</v>
      </c>
      <c r="AZ43" s="180">
        <f t="array" ref="AZ43">IF($Q40=1,IFERROR(INDEX(LCIA_Data,MATCH($AE43&amp;AZ$31,LCIA_Rows_B&amp;LCIA_Rows_C,0),MATCH($AD43,LCIA_Columns,0)),NA())*$AK43,0)</f>
        <v>0</v>
      </c>
      <c r="BA43" s="180">
        <f t="array" ref="BA43">IF($Q40=1,IFERROR(INDEX(LCIA_Data,MATCH($AE43&amp;BA$31,LCIA_Rows_B&amp;LCIA_Rows_C,0),MATCH($AD43,LCIA_Columns,0)),NA())*$AK43,0)</f>
        <v>0</v>
      </c>
      <c r="FX43" s="3"/>
      <c r="FY43" s="3"/>
    </row>
    <row r="44" spans="2:183" ht="15" customHeight="1">
      <c r="B44" s="26"/>
      <c r="C44" s="519"/>
      <c r="D44" s="516" t="str">
        <f t="shared" si="39"/>
        <v>% of SCMs - Silica Fume</v>
      </c>
      <c r="E44" s="504"/>
      <c r="F44" s="652"/>
      <c r="G44" s="103">
        <f>AL40*AF44</f>
        <v>0</v>
      </c>
      <c r="H44" s="204" t="str">
        <f t="shared" si="14"/>
        <v>short ton</v>
      </c>
      <c r="I44" s="527"/>
      <c r="J44" s="528"/>
      <c r="K44" s="528"/>
      <c r="L44" s="528"/>
      <c r="M44" s="514"/>
      <c r="N44" s="529"/>
      <c r="W44" s="209"/>
      <c r="X44" s="209"/>
      <c r="Y44" s="210"/>
      <c r="Z44" s="210"/>
      <c r="AA44" s="210"/>
      <c r="AB44" s="210"/>
      <c r="AC44" s="3">
        <f>AC40</f>
        <v>2</v>
      </c>
      <c r="AD44" s="3" t="str">
        <f>'Plant Inputs'!D$40</f>
        <v>SCMs - Silica Fume</v>
      </c>
      <c r="AE44" s="171">
        <f>IF($D40="Offshore",'Plant Inputs'!$AP$16,IF(COUNTIF(Locations_USA,$D40)=1,VLOOKUP($D40,Locations_USA,3,FALSE),IF(COUNTIF(Locations_CAN,$D40)=1,VLOOKUP($D40,Locations_CAN,3,FALSE),NA())))</f>
        <v>0</v>
      </c>
      <c r="AF44" s="172">
        <f t="shared" ref="AF44" si="42">$Q40*$E44</f>
        <v>0</v>
      </c>
      <c r="AG44" s="171"/>
      <c r="AH44" s="171"/>
      <c r="AI44" s="172"/>
      <c r="AJ44" s="3">
        <f>$AF44*AJ40</f>
        <v>0</v>
      </c>
      <c r="AK44" s="171">
        <f t="shared" si="16"/>
        <v>0</v>
      </c>
      <c r="AL44" s="171">
        <f t="shared" si="17"/>
        <v>0</v>
      </c>
      <c r="AN44" s="180">
        <f t="array" ref="AN44">IF($Q40=1,IFERROR(INDEX(LCIA_Data,MATCH($AE44&amp;AN$31,LCIA_Rows_B&amp;LCIA_Rows_C,0),MATCH($AD44,LCIA_Columns,0)),NA())*$AK44,0)</f>
        <v>0</v>
      </c>
      <c r="AO44" s="180">
        <f t="array" ref="AO44">IF($Q40=1,IFERROR(INDEX(LCIA_Data,MATCH($AE44&amp;AO$31,LCIA_Rows_B&amp;LCIA_Rows_C,0),MATCH($AD44,LCIA_Columns,0)),NA())*$AK44,0)</f>
        <v>0</v>
      </c>
      <c r="AP44" s="180">
        <f t="array" ref="AP44">IF($Q40=1,IFERROR(INDEX(LCIA_Data,MATCH($AE44&amp;AP$31,LCIA_Rows_B&amp;LCIA_Rows_C,0),MATCH($AD44,LCIA_Columns,0)),NA())*$AK44,0)</f>
        <v>0</v>
      </c>
      <c r="AQ44" s="180">
        <f t="array" ref="AQ44">IF($Q40=1,IFERROR(INDEX(LCIA_Data,MATCH($AE44&amp;AQ$31,LCIA_Rows_B&amp;LCIA_Rows_C,0),MATCH($AD44,LCIA_Columns,0)),NA())*$AK44,0)</f>
        <v>0</v>
      </c>
      <c r="AR44" s="180">
        <f t="array" ref="AR44">IF($Q40=1,IFERROR(INDEX(LCIA_Data,MATCH($AE44&amp;AR$31,LCIA_Rows_B&amp;LCIA_Rows_C,0),MATCH($AD44,LCIA_Columns,0)),NA())*$AK44,0)</f>
        <v>0</v>
      </c>
      <c r="AS44" s="180">
        <f t="array" ref="AS44">IF($Q40=1,IFERROR(INDEX(LCIA_Data,MATCH($AE44&amp;AS$31,LCIA_Rows_B&amp;LCIA_Rows_C,0),MATCH($AD44,LCIA_Columns,0)),NA())*$AK44,0)</f>
        <v>0</v>
      </c>
      <c r="AT44" s="180">
        <f t="array" ref="AT44">IF($Q40=1,IFERROR(INDEX(LCIA_Data,MATCH($AE44&amp;AT$31,LCIA_Rows_B&amp;LCIA_Rows_C,0),MATCH($AD44,LCIA_Columns,0)),NA())*$AK44,0)</f>
        <v>0</v>
      </c>
      <c r="AU44" s="180">
        <f t="array" ref="AU44">IF($Q40=1,IFERROR(INDEX(LCIA_Data,MATCH($AE44&amp;AU$31,LCIA_Rows_B&amp;LCIA_Rows_C,0),MATCH($AD44,LCIA_Columns,0)),NA())*$AK44,0)</f>
        <v>0</v>
      </c>
      <c r="AV44" s="180">
        <f t="array" ref="AV44">IF($Q40=1,IFERROR(INDEX(LCIA_Data,MATCH($AE44&amp;AV$31,LCIA_Rows_B&amp;LCIA_Rows_C,0),MATCH($AD44,LCIA_Columns,0)),NA())*$AK44,0)</f>
        <v>0</v>
      </c>
      <c r="AW44" s="180">
        <f t="array" ref="AW44">IF($Q40=1,IFERROR(INDEX(LCIA_Data,MATCH($AE44&amp;AW$31,LCIA_Rows_B&amp;LCIA_Rows_C,0),MATCH($AD44,LCIA_Columns,0)),NA())*$AK44,0)</f>
        <v>0</v>
      </c>
      <c r="AX44" s="180">
        <f t="array" ref="AX44">IF($Q40=1,IFERROR(INDEX(LCIA_Data,MATCH($AE44&amp;AX$31,LCIA_Rows_B&amp;LCIA_Rows_C,0),MATCH($AD44,LCIA_Columns,0)),NA())*$AK44,0)</f>
        <v>0</v>
      </c>
      <c r="AY44" s="180">
        <f t="array" ref="AY44">IF($Q40=1,IFERROR(INDEX(LCIA_Data,MATCH($AE44&amp;AY$31,LCIA_Rows_B&amp;LCIA_Rows_C,0),MATCH($AD44,LCIA_Columns,0)),NA())*$AK44,0)</f>
        <v>0</v>
      </c>
      <c r="AZ44" s="180">
        <f t="array" ref="AZ44">IF($Q40=1,IFERROR(INDEX(LCIA_Data,MATCH($AE44&amp;AZ$31,LCIA_Rows_B&amp;LCIA_Rows_C,0),MATCH($AD44,LCIA_Columns,0)),NA())*$AK44,0)</f>
        <v>0</v>
      </c>
      <c r="BA44" s="180">
        <f t="array" ref="BA44">IF($Q40=1,IFERROR(INDEX(LCIA_Data,MATCH($AE44&amp;BA$31,LCIA_Rows_B&amp;LCIA_Rows_C,0),MATCH($AD44,LCIA_Columns,0)),NA())*$AK44,0)</f>
        <v>0</v>
      </c>
      <c r="FX44" s="3"/>
      <c r="FY44" s="3"/>
    </row>
    <row r="45" spans="2:183" ht="15" customHeight="1" thickBot="1">
      <c r="B45" s="233"/>
      <c r="C45" s="545"/>
      <c r="D45" s="546" t="str">
        <f t="shared" si="39"/>
        <v>% of Slag Cement</v>
      </c>
      <c r="E45" s="533"/>
      <c r="F45" s="652"/>
      <c r="G45" s="534">
        <f t="shared" ref="G45" si="43">AL44*AF45</f>
        <v>0</v>
      </c>
      <c r="H45" s="237" t="str">
        <f t="shared" si="14"/>
        <v>short ton</v>
      </c>
      <c r="I45" s="527"/>
      <c r="J45" s="528"/>
      <c r="K45" s="528"/>
      <c r="L45" s="528"/>
      <c r="M45" s="514"/>
      <c r="N45" s="529"/>
      <c r="P45" s="35" t="s">
        <v>723</v>
      </c>
      <c r="W45" s="209"/>
      <c r="X45" s="209"/>
      <c r="Y45" s="210"/>
      <c r="Z45" s="210"/>
      <c r="AA45" s="210"/>
      <c r="AB45" s="210"/>
      <c r="AC45" s="3">
        <f>AC40</f>
        <v>2</v>
      </c>
      <c r="AD45" s="3" t="str">
        <f>'Plant Inputs'!D$41</f>
        <v>Slag Cement</v>
      </c>
      <c r="AE45" s="171">
        <f>IF($D40="Offshore",'Plant Inputs'!$AP$16,IF(COUNTIF(Locations_USA,$D40)=1,VLOOKUP($D40,Locations_USA,3,FALSE),IF(COUNTIF(Locations_CAN,$D40)=1,VLOOKUP($D40,Locations_CAN,3,FALSE),NA())))</f>
        <v>0</v>
      </c>
      <c r="AF45" s="172">
        <f t="shared" ref="AF45" si="44">$Q40*$E45</f>
        <v>0</v>
      </c>
      <c r="AG45" s="171"/>
      <c r="AH45" s="171"/>
      <c r="AI45" s="172"/>
      <c r="AJ45" s="3">
        <f>$AF45*AJ40</f>
        <v>0</v>
      </c>
      <c r="AK45" s="171">
        <f t="shared" si="16"/>
        <v>0</v>
      </c>
      <c r="AL45" s="171">
        <f t="shared" si="17"/>
        <v>0</v>
      </c>
      <c r="AN45" s="180">
        <f t="array" ref="AN45">IF($Q40=1,IFERROR(INDEX(LCIA_Data,MATCH($AE45&amp;AN$31,LCIA_Rows_B&amp;LCIA_Rows_C,0),MATCH($AD45,LCIA_Columns,0)),NA())*$AK45,0)</f>
        <v>0</v>
      </c>
      <c r="AO45" s="180">
        <f t="array" ref="AO45">IF($Q40=1,IFERROR(INDEX(LCIA_Data,MATCH($AE45&amp;AO$31,LCIA_Rows_B&amp;LCIA_Rows_C,0),MATCH($AD45,LCIA_Columns,0)),NA())*$AK45,0)</f>
        <v>0</v>
      </c>
      <c r="AP45" s="180">
        <f t="array" ref="AP45">IF($Q40=1,IFERROR(INDEX(LCIA_Data,MATCH($AE45&amp;AP$31,LCIA_Rows_B&amp;LCIA_Rows_C,0),MATCH($AD45,LCIA_Columns,0)),NA())*$AK45,0)</f>
        <v>0</v>
      </c>
      <c r="AQ45" s="180">
        <f t="array" ref="AQ45">IF($Q40=1,IFERROR(INDEX(LCIA_Data,MATCH($AE45&amp;AQ$31,LCIA_Rows_B&amp;LCIA_Rows_C,0),MATCH($AD45,LCIA_Columns,0)),NA())*$AK45,0)</f>
        <v>0</v>
      </c>
      <c r="AR45" s="180">
        <f t="array" ref="AR45">IF($Q40=1,IFERROR(INDEX(LCIA_Data,MATCH($AE45&amp;AR$31,LCIA_Rows_B&amp;LCIA_Rows_C,0),MATCH($AD45,LCIA_Columns,0)),NA())*$AK45,0)</f>
        <v>0</v>
      </c>
      <c r="AS45" s="180">
        <f t="array" ref="AS45">IF($Q40=1,IFERROR(INDEX(LCIA_Data,MATCH($AE45&amp;AS$31,LCIA_Rows_B&amp;LCIA_Rows_C,0),MATCH($AD45,LCIA_Columns,0)),NA())*$AK45,0)</f>
        <v>0</v>
      </c>
      <c r="AT45" s="180">
        <f t="array" ref="AT45">IF($Q40=1,IFERROR(INDEX(LCIA_Data,MATCH($AE45&amp;AT$31,LCIA_Rows_B&amp;LCIA_Rows_C,0),MATCH($AD45,LCIA_Columns,0)),NA())*$AK45,0)</f>
        <v>0</v>
      </c>
      <c r="AU45" s="180">
        <f t="array" ref="AU45">IF($Q40=1,IFERROR(INDEX(LCIA_Data,MATCH($AE45&amp;AU$31,LCIA_Rows_B&amp;LCIA_Rows_C,0),MATCH($AD45,LCIA_Columns,0)),NA())*$AK45,0)</f>
        <v>0</v>
      </c>
      <c r="AV45" s="180">
        <f t="array" ref="AV45">IF($Q40=1,IFERROR(INDEX(LCIA_Data,MATCH($AE45&amp;AV$31,LCIA_Rows_B&amp;LCIA_Rows_C,0),MATCH($AD45,LCIA_Columns,0)),NA())*$AK45,0)</f>
        <v>0</v>
      </c>
      <c r="AW45" s="180">
        <f t="array" ref="AW45">IF($Q40=1,IFERROR(INDEX(LCIA_Data,MATCH($AE45&amp;AW$31,LCIA_Rows_B&amp;LCIA_Rows_C,0),MATCH($AD45,LCIA_Columns,0)),NA())*$AK45,0)</f>
        <v>0</v>
      </c>
      <c r="AX45" s="180">
        <f t="array" ref="AX45">IF($Q40=1,IFERROR(INDEX(LCIA_Data,MATCH($AE45&amp;AX$31,LCIA_Rows_B&amp;LCIA_Rows_C,0),MATCH($AD45,LCIA_Columns,0)),NA())*$AK45,0)</f>
        <v>0</v>
      </c>
      <c r="AY45" s="180">
        <f t="array" ref="AY45">IF($Q40=1,IFERROR(INDEX(LCIA_Data,MATCH($AE45&amp;AY$31,LCIA_Rows_B&amp;LCIA_Rows_C,0),MATCH($AD45,LCIA_Columns,0)),NA())*$AK45,0)</f>
        <v>0</v>
      </c>
      <c r="AZ45" s="180">
        <f t="array" ref="AZ45">IF($Q40=1,IFERROR(INDEX(LCIA_Data,MATCH($AE45&amp;AZ$31,LCIA_Rows_B&amp;LCIA_Rows_C,0),MATCH($AD45,LCIA_Columns,0)),NA())*$AK45,0)</f>
        <v>0</v>
      </c>
      <c r="BA45" s="180">
        <f t="array" ref="BA45">IF($Q40=1,IFERROR(INDEX(LCIA_Data,MATCH($AE45&amp;BA$31,LCIA_Rows_B&amp;LCIA_Rows_C,0),MATCH($AD45,LCIA_Columns,0)),NA())*$AK45,0)</f>
        <v>0</v>
      </c>
      <c r="FX45" s="3"/>
      <c r="FY45" s="3"/>
    </row>
    <row r="46" spans="2:183" ht="15" customHeight="1">
      <c r="B46" s="535">
        <v>3</v>
      </c>
      <c r="C46" s="536" t="str">
        <f>AD46&amp;" Source #"&amp;AC46</f>
        <v>Pre-Blended Cement Source #3</v>
      </c>
      <c r="D46" s="537" t="s">
        <v>442</v>
      </c>
      <c r="E46" s="538"/>
      <c r="F46" s="539" t="str">
        <f>MassDisplayUnit</f>
        <v>short ton</v>
      </c>
      <c r="G46" s="540">
        <f>AL46</f>
        <v>0</v>
      </c>
      <c r="H46" s="541" t="str">
        <f t="shared" si="14"/>
        <v>short ton</v>
      </c>
      <c r="I46" s="542"/>
      <c r="J46" s="542"/>
      <c r="K46" s="542"/>
      <c r="L46" s="542"/>
      <c r="M46" s="543" t="s">
        <v>386</v>
      </c>
      <c r="N46" s="544" t="s">
        <v>29</v>
      </c>
      <c r="P46" s="35" t="s">
        <v>724</v>
      </c>
      <c r="Q46" s="3">
        <f>IF(AND($D46&lt;&gt;"Insert Location",$E46&lt;&gt;0,OR(ISNUMBER($I46),ISNUMBER($J46),ISNUMBER($K46),ISNUMBER($L46))),1,0)</f>
        <v>0</v>
      </c>
      <c r="R46" s="3">
        <f>IF(BlendYourOwnCement3="Yes",0, $Q46*I46)</f>
        <v>0</v>
      </c>
      <c r="S46" s="3">
        <f>IF(BlendYourOwnCement3="Yes",0, $Q46*J46)</f>
        <v>0</v>
      </c>
      <c r="T46" s="3">
        <f>IF(BlendYourOwnCement3="Yes",0, $Q46*K46)</f>
        <v>0</v>
      </c>
      <c r="U46" s="3">
        <f>IF(BlendYourOwnCement3="Yes",0, $Q46*L46)</f>
        <v>0</v>
      </c>
      <c r="V46" s="209" t="str">
        <f>N46</f>
        <v>mile</v>
      </c>
      <c r="W46" s="209">
        <f t="shared" si="15"/>
        <v>1</v>
      </c>
      <c r="X46" s="209" t="str">
        <f t="shared" ref="X46:X52" si="45">$Y$19&amp;"/"&amp;$V46</f>
        <v>mile/mile</v>
      </c>
      <c r="Y46" s="210">
        <f>IF(BlendYourOwnCement3="Yes",(R47*$G47*$W47+R48*$G48*$W48+R49*$G49*$W49+R50*$G50*$W50+R51*$G51*$W51)/$G46, R46*$W46)</f>
        <v>0</v>
      </c>
      <c r="Z46" s="210">
        <f>IF(BlendYourOwnCement3="Yes",(S47*$G47*$W47+S48*$G48*$W48+S49*$G49*$W49+S50*$G50*$W50+S51*$G51*$W51)/$G46, S46*$W46)</f>
        <v>0</v>
      </c>
      <c r="AA46" s="210">
        <f>IF(BlendYourOwnCement3="Yes",(T47*$G47*$W47+T48*$G48*$W48+T49*$G49*$W49+T50*$G50*$W50+T51*$G51*$W51)/$G46, T46*$W46)</f>
        <v>0</v>
      </c>
      <c r="AB46" s="210">
        <f>IF(BlendYourOwnCement3="Yes",(U47*$G47*$W47+U48*$G48*$W48+U49*$G49*$W49+U50*$G50*$W50+U51*$G51*$W51)/$G46, U46*$W46)</f>
        <v>0</v>
      </c>
      <c r="AC46" s="3">
        <v>3</v>
      </c>
      <c r="AD46" s="3" t="str">
        <f>'Plant Inputs'!$D$32</f>
        <v>Pre-Blended Cement</v>
      </c>
      <c r="AE46" s="171">
        <f>IF($D46="Offshore",'Plant Inputs'!$AP$16,IF(COUNTIF(Locations_USA,$D46)=1,VLOOKUP($D46,Locations_USA,3,FALSE),IF(COUNTIF(Locations_CAN,$D46)=1,VLOOKUP($D46,Locations_CAN,3,FALSE),NA())))</f>
        <v>0</v>
      </c>
      <c r="AF46" s="172">
        <f t="shared" ref="AF46" si="46">$Q46*$E46</f>
        <v>0</v>
      </c>
      <c r="AG46" s="171" t="str">
        <f>F46</f>
        <v>short ton</v>
      </c>
      <c r="AH46" s="171">
        <f>INDEX(Conversion_Table,MATCH($AG46,Conversion_Rows,0),MATCH($AJ$8,Conversion_Columns,0))</f>
        <v>0.90718499588591606</v>
      </c>
      <c r="AI46" s="172" t="str">
        <f>$AJ$8&amp;"/"&amp;AG46</f>
        <v>tonne/short ton</v>
      </c>
      <c r="AJ46" s="172">
        <f>AF46*AH46</f>
        <v>0</v>
      </c>
      <c r="AK46" s="172">
        <f t="shared" si="16"/>
        <v>0</v>
      </c>
      <c r="AL46" s="172">
        <f t="shared" si="17"/>
        <v>0</v>
      </c>
      <c r="AN46" s="511">
        <f t="shared" ref="AN46" si="47">SUM(AN47:AN51)</f>
        <v>0</v>
      </c>
      <c r="AO46" s="511">
        <f t="shared" ref="AO46" si="48">SUM(AO47:AO51)</f>
        <v>0</v>
      </c>
      <c r="AP46" s="511">
        <f t="shared" ref="AP46" si="49">SUM(AP47:AP51)</f>
        <v>0</v>
      </c>
      <c r="AQ46" s="511">
        <f t="shared" ref="AQ46" si="50">SUM(AQ47:AQ51)</f>
        <v>0</v>
      </c>
      <c r="AR46" s="511">
        <f t="shared" ref="AR46" si="51">SUM(AR47:AR51)</f>
        <v>0</v>
      </c>
      <c r="AS46" s="511">
        <f t="shared" ref="AS46" si="52">SUM(AS47:AS51)</f>
        <v>0</v>
      </c>
      <c r="AT46" s="511">
        <f t="shared" ref="AT46" si="53">SUM(AT47:AT51)</f>
        <v>0</v>
      </c>
      <c r="AU46" s="511">
        <f t="shared" ref="AU46" si="54">SUM(AU47:AU51)</f>
        <v>0</v>
      </c>
      <c r="AV46" s="511">
        <f t="shared" ref="AV46" si="55">SUM(AV47:AV51)</f>
        <v>0</v>
      </c>
      <c r="AW46" s="511">
        <f t="shared" ref="AW46" si="56">SUM(AW47:AW51)</f>
        <v>0</v>
      </c>
      <c r="AX46" s="511">
        <f t="shared" ref="AX46" si="57">SUM(AX47:AX51)</f>
        <v>0</v>
      </c>
      <c r="AY46" s="511">
        <f t="shared" ref="AY46" si="58">SUM(AY47:AY51)</f>
        <v>0</v>
      </c>
      <c r="AZ46" s="511">
        <f t="shared" ref="AZ46" si="59">SUM(AZ47:AZ51)</f>
        <v>0</v>
      </c>
      <c r="BA46" s="511">
        <f t="shared" ref="BA46" si="60">SUM(BA47:BA51)</f>
        <v>0</v>
      </c>
      <c r="FX46" s="3"/>
      <c r="FY46" s="3"/>
    </row>
    <row r="47" spans="2:183" ht="15" customHeight="1">
      <c r="B47" s="26"/>
      <c r="C47" s="590"/>
      <c r="D47" s="516" t="str">
        <f>"% of "&amp;$AD47&amp;" Source #"&amp;$AC47</f>
        <v>% of Portland Cement Source #3</v>
      </c>
      <c r="E47" s="504"/>
      <c r="F47" s="651" t="str">
        <f>IF(AND($E46&gt;0,SUM($E47:$E51)&lt;&gt;1),"These 5 percentages must add to 100%","")</f>
        <v/>
      </c>
      <c r="G47" s="103">
        <f>AL46*AF47</f>
        <v>0</v>
      </c>
      <c r="H47" s="204" t="str">
        <f t="shared" si="14"/>
        <v>short ton</v>
      </c>
      <c r="I47" s="524"/>
      <c r="J47" s="525"/>
      <c r="K47" s="525"/>
      <c r="L47" s="525"/>
      <c r="M47" s="513"/>
      <c r="N47" s="526"/>
      <c r="W47" s="209"/>
      <c r="X47" s="209"/>
      <c r="Y47" s="210"/>
      <c r="Z47" s="210"/>
      <c r="AA47" s="210"/>
      <c r="AB47" s="210"/>
      <c r="AC47" s="3">
        <f>AC46</f>
        <v>3</v>
      </c>
      <c r="AD47" s="3" t="str">
        <f>'Plant Inputs'!D$30</f>
        <v>Portland Cement</v>
      </c>
      <c r="AE47" s="171">
        <f>IF($D46="Offshore",'Plant Inputs'!$AP$16,IF(COUNTIF(Locations_USA,$D46)=1,VLOOKUP($D46,Locations_USA,3,FALSE),IF(COUNTIF(Locations_CAN,$D46)=1,VLOOKUP($D46,Locations_CAN,3,FALSE),NA())))</f>
        <v>0</v>
      </c>
      <c r="AF47" s="172">
        <f t="shared" ref="AF47" si="61">$Q46*$E47</f>
        <v>0</v>
      </c>
      <c r="AG47" s="171"/>
      <c r="AH47" s="171"/>
      <c r="AI47" s="172"/>
      <c r="AJ47" s="3">
        <f>$AF47*AJ46</f>
        <v>0</v>
      </c>
      <c r="AK47" s="171">
        <f t="shared" si="16"/>
        <v>0</v>
      </c>
      <c r="AL47" s="171">
        <f t="shared" si="17"/>
        <v>0</v>
      </c>
      <c r="AN47" s="180">
        <f t="array" ref="AN47">IF($Q46=1,IFERROR(INDEX(LCIA_Data,MATCH($AE47&amp;AN$31,LCIA_Rows_B&amp;LCIA_Rows_C,0),MATCH($AD47,LCIA_Columns,0)),NA())*$AK47,0)</f>
        <v>0</v>
      </c>
      <c r="AO47" s="180">
        <f t="array" ref="AO47">IF($Q46=1,IFERROR(INDEX(LCIA_Data,MATCH($AE47&amp;AO$31,LCIA_Rows_B&amp;LCIA_Rows_C,0),MATCH($AD47,LCIA_Columns,0)),NA())*$AK47,0)</f>
        <v>0</v>
      </c>
      <c r="AP47" s="180">
        <f t="array" ref="AP47">IF($Q46=1,IFERROR(INDEX(LCIA_Data,MATCH($AE47&amp;AP$31,LCIA_Rows_B&amp;LCIA_Rows_C,0),MATCH($AD47,LCIA_Columns,0)),NA())*$AK47,0)</f>
        <v>0</v>
      </c>
      <c r="AQ47" s="180">
        <f t="array" ref="AQ47">IF($Q46=1,IFERROR(INDEX(LCIA_Data,MATCH($AE47&amp;AQ$31,LCIA_Rows_B&amp;LCIA_Rows_C,0),MATCH($AD47,LCIA_Columns,0)),NA())*$AK47,0)</f>
        <v>0</v>
      </c>
      <c r="AR47" s="180">
        <f t="array" ref="AR47">IF($Q46=1,IFERROR(INDEX(LCIA_Data,MATCH($AE47&amp;AR$31,LCIA_Rows_B&amp;LCIA_Rows_C,0),MATCH($AD47,LCIA_Columns,0)),NA())*$AK47,0)</f>
        <v>0</v>
      </c>
      <c r="AS47" s="180">
        <f t="array" ref="AS47">IF($Q46=1,IFERROR(INDEX(LCIA_Data,MATCH($AE47&amp;AS$31,LCIA_Rows_B&amp;LCIA_Rows_C,0),MATCH($AD47,LCIA_Columns,0)),NA())*$AK47,0)</f>
        <v>0</v>
      </c>
      <c r="AT47" s="180">
        <f t="array" ref="AT47">IF($Q46=1,IFERROR(INDEX(LCIA_Data,MATCH($AE47&amp;AT$31,LCIA_Rows_B&amp;LCIA_Rows_C,0),MATCH($AD47,LCIA_Columns,0)),NA())*$AK47,0)</f>
        <v>0</v>
      </c>
      <c r="AU47" s="180">
        <f t="array" ref="AU47">IF($Q46=1,IFERROR(INDEX(LCIA_Data,MATCH($AE47&amp;AU$31,LCIA_Rows_B&amp;LCIA_Rows_C,0),MATCH($AD47,LCIA_Columns,0)),NA())*$AK47,0)</f>
        <v>0</v>
      </c>
      <c r="AV47" s="180">
        <f t="array" ref="AV47">IF($Q46=1,IFERROR(INDEX(LCIA_Data,MATCH($AE47&amp;AV$31,LCIA_Rows_B&amp;LCIA_Rows_C,0),MATCH($AD47,LCIA_Columns,0)),NA())*$AK47,0)</f>
        <v>0</v>
      </c>
      <c r="AW47" s="180">
        <f t="array" ref="AW47">IF($Q46=1,IFERROR(INDEX(LCIA_Data,MATCH($AE47&amp;AW$31,LCIA_Rows_B&amp;LCIA_Rows_C,0),MATCH($AD47,LCIA_Columns,0)),NA())*$AK47,0)</f>
        <v>0</v>
      </c>
      <c r="AX47" s="180">
        <f t="array" ref="AX47">IF($Q46=1,IFERROR(INDEX(LCIA_Data,MATCH($AE47&amp;AX$31,LCIA_Rows_B&amp;LCIA_Rows_C,0),MATCH($AD47,LCIA_Columns,0)),NA())*$AK47,0)</f>
        <v>0</v>
      </c>
      <c r="AY47" s="180">
        <f t="array" ref="AY47">IF($Q46=1,IFERROR(INDEX(LCIA_Data,MATCH($AE47&amp;AY$31,LCIA_Rows_B&amp;LCIA_Rows_C,0),MATCH($AD47,LCIA_Columns,0)),NA())*$AK47,0)</f>
        <v>0</v>
      </c>
      <c r="AZ47" s="180">
        <f t="array" ref="AZ47">IF($Q46=1,IFERROR(INDEX(LCIA_Data,MATCH($AE47&amp;AZ$31,LCIA_Rows_B&amp;LCIA_Rows_C,0),MATCH($AD47,LCIA_Columns,0)),NA())*$AK47,0)</f>
        <v>0</v>
      </c>
      <c r="BA47" s="180">
        <f t="array" ref="BA47">IF($Q46=1,IFERROR(INDEX(LCIA_Data,MATCH($AE47&amp;BA$31,LCIA_Rows_B&amp;LCIA_Rows_C,0),MATCH($AD47,LCIA_Columns,0)),NA())*$AK47,0)</f>
        <v>0</v>
      </c>
      <c r="FX47" s="3"/>
      <c r="FY47" s="3"/>
    </row>
    <row r="48" spans="2:183" ht="15" customHeight="1">
      <c r="B48" s="26"/>
      <c r="C48" s="590"/>
      <c r="D48" s="516" t="str">
        <f t="shared" ref="D48:D51" si="62">"% of "&amp;$AD48&amp;" Source #"&amp;$AC48</f>
        <v>% of Portland Limestone Cement (PLC) Source #3</v>
      </c>
      <c r="E48" s="504"/>
      <c r="F48" s="652"/>
      <c r="G48" s="103">
        <f>AL46*AF48</f>
        <v>0</v>
      </c>
      <c r="H48" s="204" t="str">
        <f t="shared" si="14"/>
        <v>short ton</v>
      </c>
      <c r="I48" s="527"/>
      <c r="J48" s="528"/>
      <c r="K48" s="528"/>
      <c r="L48" s="528"/>
      <c r="M48" s="514"/>
      <c r="N48" s="529"/>
      <c r="W48" s="209"/>
      <c r="X48" s="209"/>
      <c r="Y48" s="210"/>
      <c r="Z48" s="210"/>
      <c r="AA48" s="210"/>
      <c r="AB48" s="210"/>
      <c r="AC48" s="3">
        <f>AC46</f>
        <v>3</v>
      </c>
      <c r="AD48" s="3" t="str">
        <f>'Plant Inputs'!D$31</f>
        <v>Portland Limestone Cement (PLC)</v>
      </c>
      <c r="AE48" s="171">
        <f>IF($D46="Offshore",'Plant Inputs'!$AP$16,IF(COUNTIF(Locations_USA,$D46)=1,VLOOKUP($D46,Locations_USA,3,FALSE),IF(COUNTIF(Locations_CAN,$D46)=1,VLOOKUP($D46,Locations_CAN,3,FALSE),NA())))</f>
        <v>0</v>
      </c>
      <c r="AF48" s="172">
        <f t="shared" ref="AF48" si="63">$Q46*$E48</f>
        <v>0</v>
      </c>
      <c r="AG48" s="171"/>
      <c r="AH48" s="171"/>
      <c r="AI48" s="172"/>
      <c r="AJ48" s="3">
        <f>$AF48*AJ46</f>
        <v>0</v>
      </c>
      <c r="AK48" s="171">
        <f t="shared" si="16"/>
        <v>0</v>
      </c>
      <c r="AL48" s="171">
        <f t="shared" si="17"/>
        <v>0</v>
      </c>
      <c r="AN48" s="180">
        <f t="array" ref="AN48">IF($Q46=1,IFERROR(INDEX(LCIA_Data,MATCH($AE48&amp;AN$31,LCIA_Rows_B&amp;LCIA_Rows_C,0),MATCH($AD48,LCIA_Columns,0)),NA())*$AK48,0)</f>
        <v>0</v>
      </c>
      <c r="AO48" s="180">
        <f t="array" ref="AO48">IF($Q46=1,IFERROR(INDEX(LCIA_Data,MATCH($AE48&amp;AO$31,LCIA_Rows_B&amp;LCIA_Rows_C,0),MATCH($AD48,LCIA_Columns,0)),NA())*$AK48,0)</f>
        <v>0</v>
      </c>
      <c r="AP48" s="180">
        <f t="array" ref="AP48">IF($Q46=1,IFERROR(INDEX(LCIA_Data,MATCH($AE48&amp;AP$31,LCIA_Rows_B&amp;LCIA_Rows_C,0),MATCH($AD48,LCIA_Columns,0)),NA())*$AK48,0)</f>
        <v>0</v>
      </c>
      <c r="AQ48" s="180">
        <f t="array" ref="AQ48">IF($Q46=1,IFERROR(INDEX(LCIA_Data,MATCH($AE48&amp;AQ$31,LCIA_Rows_B&amp;LCIA_Rows_C,0),MATCH($AD48,LCIA_Columns,0)),NA())*$AK48,0)</f>
        <v>0</v>
      </c>
      <c r="AR48" s="180">
        <f t="array" ref="AR48">IF($Q46=1,IFERROR(INDEX(LCIA_Data,MATCH($AE48&amp;AR$31,LCIA_Rows_B&amp;LCIA_Rows_C,0),MATCH($AD48,LCIA_Columns,0)),NA())*$AK48,0)</f>
        <v>0</v>
      </c>
      <c r="AS48" s="180">
        <f t="array" ref="AS48">IF($Q46=1,IFERROR(INDEX(LCIA_Data,MATCH($AE48&amp;AS$31,LCIA_Rows_B&amp;LCIA_Rows_C,0),MATCH($AD48,LCIA_Columns,0)),NA())*$AK48,0)</f>
        <v>0</v>
      </c>
      <c r="AT48" s="180">
        <f t="array" ref="AT48">IF($Q46=1,IFERROR(INDEX(LCIA_Data,MATCH($AE48&amp;AT$31,LCIA_Rows_B&amp;LCIA_Rows_C,0),MATCH($AD48,LCIA_Columns,0)),NA())*$AK48,0)</f>
        <v>0</v>
      </c>
      <c r="AU48" s="180">
        <f t="array" ref="AU48">IF($Q46=1,IFERROR(INDEX(LCIA_Data,MATCH($AE48&amp;AU$31,LCIA_Rows_B&amp;LCIA_Rows_C,0),MATCH($AD48,LCIA_Columns,0)),NA())*$AK48,0)</f>
        <v>0</v>
      </c>
      <c r="AV48" s="180">
        <f t="array" ref="AV48">IF($Q46=1,IFERROR(INDEX(LCIA_Data,MATCH($AE48&amp;AV$31,LCIA_Rows_B&amp;LCIA_Rows_C,0),MATCH($AD48,LCIA_Columns,0)),NA())*$AK48,0)</f>
        <v>0</v>
      </c>
      <c r="AW48" s="180">
        <f t="array" ref="AW48">IF($Q46=1,IFERROR(INDEX(LCIA_Data,MATCH($AE48&amp;AW$31,LCIA_Rows_B&amp;LCIA_Rows_C,0),MATCH($AD48,LCIA_Columns,0)),NA())*$AK48,0)</f>
        <v>0</v>
      </c>
      <c r="AX48" s="180">
        <f t="array" ref="AX48">IF($Q46=1,IFERROR(INDEX(LCIA_Data,MATCH($AE48&amp;AX$31,LCIA_Rows_B&amp;LCIA_Rows_C,0),MATCH($AD48,LCIA_Columns,0)),NA())*$AK48,0)</f>
        <v>0</v>
      </c>
      <c r="AY48" s="180">
        <f t="array" ref="AY48">IF($Q46=1,IFERROR(INDEX(LCIA_Data,MATCH($AE48&amp;AY$31,LCIA_Rows_B&amp;LCIA_Rows_C,0),MATCH($AD48,LCIA_Columns,0)),NA())*$AK48,0)</f>
        <v>0</v>
      </c>
      <c r="AZ48" s="180">
        <f t="array" ref="AZ48">IF($Q46=1,IFERROR(INDEX(LCIA_Data,MATCH($AE48&amp;AZ$31,LCIA_Rows_B&amp;LCIA_Rows_C,0),MATCH($AD48,LCIA_Columns,0)),NA())*$AK48,0)</f>
        <v>0</v>
      </c>
      <c r="BA48" s="180">
        <f t="array" ref="BA48">IF($Q46=1,IFERROR(INDEX(LCIA_Data,MATCH($AE48&amp;BA$31,LCIA_Rows_B&amp;LCIA_Rows_C,0),MATCH($AD48,LCIA_Columns,0)),NA())*$AK48,0)</f>
        <v>0</v>
      </c>
      <c r="FX48" s="3"/>
      <c r="FY48" s="3"/>
    </row>
    <row r="49" spans="2:181" ht="15" customHeight="1">
      <c r="B49" s="26"/>
      <c r="C49" s="590"/>
      <c r="D49" s="516" t="str">
        <f t="shared" si="62"/>
        <v>% of SCMs - Fly Ash Source #3</v>
      </c>
      <c r="E49" s="504"/>
      <c r="F49" s="652"/>
      <c r="G49" s="103">
        <f>AL46*AF49</f>
        <v>0</v>
      </c>
      <c r="H49" s="204" t="str">
        <f t="shared" si="14"/>
        <v>short ton</v>
      </c>
      <c r="I49" s="527"/>
      <c r="J49" s="528"/>
      <c r="K49" s="528"/>
      <c r="L49" s="528"/>
      <c r="M49" s="514"/>
      <c r="N49" s="529"/>
      <c r="W49" s="209"/>
      <c r="X49" s="209"/>
      <c r="Y49" s="210"/>
      <c r="Z49" s="210"/>
      <c r="AA49" s="210"/>
      <c r="AB49" s="210"/>
      <c r="AC49" s="3">
        <f>AC46</f>
        <v>3</v>
      </c>
      <c r="AD49" s="3" t="str">
        <f>'Plant Inputs'!D$39</f>
        <v>SCMs - Fly Ash</v>
      </c>
      <c r="AE49" s="171">
        <f>IF($D46="Offshore",'Plant Inputs'!$AP$16,IF(COUNTIF(Locations_USA,$D46)=1,VLOOKUP($D46,Locations_USA,3,FALSE),IF(COUNTIF(Locations_CAN,$D46)=1,VLOOKUP($D46,Locations_CAN,3,FALSE),NA())))</f>
        <v>0</v>
      </c>
      <c r="AF49" s="172">
        <f t="shared" ref="AF49" si="64">$Q46*$E49</f>
        <v>0</v>
      </c>
      <c r="AG49" s="171"/>
      <c r="AH49" s="171"/>
      <c r="AI49" s="172"/>
      <c r="AJ49" s="3">
        <f>$AF49*AJ46</f>
        <v>0</v>
      </c>
      <c r="AK49" s="171">
        <f t="shared" si="16"/>
        <v>0</v>
      </c>
      <c r="AL49" s="171">
        <f t="shared" si="17"/>
        <v>0</v>
      </c>
      <c r="AN49" s="180">
        <f t="array" ref="AN49">IF($Q46=1,IFERROR(INDEX(LCIA_Data,MATCH($AE49&amp;AN$31,LCIA_Rows_B&amp;LCIA_Rows_C,0),MATCH($AD49,LCIA_Columns,0)),NA())*$AK49,0)</f>
        <v>0</v>
      </c>
      <c r="AO49" s="180">
        <f t="array" ref="AO49">IF($Q46=1,IFERROR(INDEX(LCIA_Data,MATCH($AE49&amp;AO$31,LCIA_Rows_B&amp;LCIA_Rows_C,0),MATCH($AD49,LCIA_Columns,0)),NA())*$AK49,0)</f>
        <v>0</v>
      </c>
      <c r="AP49" s="180">
        <f t="array" ref="AP49">IF($Q46=1,IFERROR(INDEX(LCIA_Data,MATCH($AE49&amp;AP$31,LCIA_Rows_B&amp;LCIA_Rows_C,0),MATCH($AD49,LCIA_Columns,0)),NA())*$AK49,0)</f>
        <v>0</v>
      </c>
      <c r="AQ49" s="180">
        <f t="array" ref="AQ49">IF($Q46=1,IFERROR(INDEX(LCIA_Data,MATCH($AE49&amp;AQ$31,LCIA_Rows_B&amp;LCIA_Rows_C,0),MATCH($AD49,LCIA_Columns,0)),NA())*$AK49,0)</f>
        <v>0</v>
      </c>
      <c r="AR49" s="180">
        <f t="array" ref="AR49">IF($Q46=1,IFERROR(INDEX(LCIA_Data,MATCH($AE49&amp;AR$31,LCIA_Rows_B&amp;LCIA_Rows_C,0),MATCH($AD49,LCIA_Columns,0)),NA())*$AK49,0)</f>
        <v>0</v>
      </c>
      <c r="AS49" s="180">
        <f t="array" ref="AS49">IF($Q46=1,IFERROR(INDEX(LCIA_Data,MATCH($AE49&amp;AS$31,LCIA_Rows_B&amp;LCIA_Rows_C,0),MATCH($AD49,LCIA_Columns,0)),NA())*$AK49,0)</f>
        <v>0</v>
      </c>
      <c r="AT49" s="180">
        <f t="array" ref="AT49">IF($Q46=1,IFERROR(INDEX(LCIA_Data,MATCH($AE49&amp;AT$31,LCIA_Rows_B&amp;LCIA_Rows_C,0),MATCH($AD49,LCIA_Columns,0)),NA())*$AK49,0)</f>
        <v>0</v>
      </c>
      <c r="AU49" s="180">
        <f t="array" ref="AU49">IF($Q46=1,IFERROR(INDEX(LCIA_Data,MATCH($AE49&amp;AU$31,LCIA_Rows_B&amp;LCIA_Rows_C,0),MATCH($AD49,LCIA_Columns,0)),NA())*$AK49,0)</f>
        <v>0</v>
      </c>
      <c r="AV49" s="180">
        <f t="array" ref="AV49">IF($Q46=1,IFERROR(INDEX(LCIA_Data,MATCH($AE49&amp;AV$31,LCIA_Rows_B&amp;LCIA_Rows_C,0),MATCH($AD49,LCIA_Columns,0)),NA())*$AK49,0)</f>
        <v>0</v>
      </c>
      <c r="AW49" s="180">
        <f t="array" ref="AW49">IF($Q46=1,IFERROR(INDEX(LCIA_Data,MATCH($AE49&amp;AW$31,LCIA_Rows_B&amp;LCIA_Rows_C,0),MATCH($AD49,LCIA_Columns,0)),NA())*$AK49,0)</f>
        <v>0</v>
      </c>
      <c r="AX49" s="180">
        <f t="array" ref="AX49">IF($Q46=1,IFERROR(INDEX(LCIA_Data,MATCH($AE49&amp;AX$31,LCIA_Rows_B&amp;LCIA_Rows_C,0),MATCH($AD49,LCIA_Columns,0)),NA())*$AK49,0)</f>
        <v>0</v>
      </c>
      <c r="AY49" s="180">
        <f t="array" ref="AY49">IF($Q46=1,IFERROR(INDEX(LCIA_Data,MATCH($AE49&amp;AY$31,LCIA_Rows_B&amp;LCIA_Rows_C,0),MATCH($AD49,LCIA_Columns,0)),NA())*$AK49,0)</f>
        <v>0</v>
      </c>
      <c r="AZ49" s="180">
        <f t="array" ref="AZ49">IF($Q46=1,IFERROR(INDEX(LCIA_Data,MATCH($AE49&amp;AZ$31,LCIA_Rows_B&amp;LCIA_Rows_C,0),MATCH($AD49,LCIA_Columns,0)),NA())*$AK49,0)</f>
        <v>0</v>
      </c>
      <c r="BA49" s="180">
        <f t="array" ref="BA49">IF($Q46=1,IFERROR(INDEX(LCIA_Data,MATCH($AE49&amp;BA$31,LCIA_Rows_B&amp;LCIA_Rows_C,0),MATCH($AD49,LCIA_Columns,0)),NA())*$AK49,0)</f>
        <v>0</v>
      </c>
      <c r="FX49" s="3"/>
      <c r="FY49" s="3"/>
    </row>
    <row r="50" spans="2:181" ht="15" customHeight="1">
      <c r="B50" s="26"/>
      <c r="C50" s="590"/>
      <c r="D50" s="516" t="str">
        <f t="shared" si="62"/>
        <v>% of SCMs - Silica Fume Source #3</v>
      </c>
      <c r="E50" s="504"/>
      <c r="F50" s="652"/>
      <c r="G50" s="103">
        <f>AL46*AF50</f>
        <v>0</v>
      </c>
      <c r="H50" s="204" t="str">
        <f t="shared" si="14"/>
        <v>short ton</v>
      </c>
      <c r="I50" s="527"/>
      <c r="J50" s="528"/>
      <c r="K50" s="528"/>
      <c r="L50" s="528"/>
      <c r="M50" s="514"/>
      <c r="N50" s="529"/>
      <c r="W50" s="209"/>
      <c r="X50" s="209"/>
      <c r="Y50" s="210"/>
      <c r="Z50" s="210"/>
      <c r="AA50" s="210"/>
      <c r="AB50" s="210"/>
      <c r="AC50" s="3">
        <f>AC46</f>
        <v>3</v>
      </c>
      <c r="AD50" s="3" t="str">
        <f>'Plant Inputs'!D$40</f>
        <v>SCMs - Silica Fume</v>
      </c>
      <c r="AE50" s="171">
        <f>IF($D46="Offshore",'Plant Inputs'!$AP$16,IF(COUNTIF(Locations_USA,$D46)=1,VLOOKUP($D46,Locations_USA,3,FALSE),IF(COUNTIF(Locations_CAN,$D46)=1,VLOOKUP($D46,Locations_CAN,3,FALSE),NA())))</f>
        <v>0</v>
      </c>
      <c r="AF50" s="172">
        <f t="shared" ref="AF50" si="65">$Q46*$E50</f>
        <v>0</v>
      </c>
      <c r="AG50" s="171"/>
      <c r="AH50" s="171"/>
      <c r="AI50" s="172"/>
      <c r="AJ50" s="3">
        <f>$AF50*AJ46</f>
        <v>0</v>
      </c>
      <c r="AK50" s="171">
        <f t="shared" si="16"/>
        <v>0</v>
      </c>
      <c r="AL50" s="171">
        <f t="shared" si="17"/>
        <v>0</v>
      </c>
      <c r="AN50" s="180">
        <f t="array" ref="AN50">IF($Q46=1,IFERROR(INDEX(LCIA_Data,MATCH($AE50&amp;AN$31,LCIA_Rows_B&amp;LCIA_Rows_C,0),MATCH($AD50,LCIA_Columns,0)),NA())*$AK50,0)</f>
        <v>0</v>
      </c>
      <c r="AO50" s="180">
        <f t="array" ref="AO50">IF($Q46=1,IFERROR(INDEX(LCIA_Data,MATCH($AE50&amp;AO$31,LCIA_Rows_B&amp;LCIA_Rows_C,0),MATCH($AD50,LCIA_Columns,0)),NA())*$AK50,0)</f>
        <v>0</v>
      </c>
      <c r="AP50" s="180">
        <f t="array" ref="AP50">IF($Q46=1,IFERROR(INDEX(LCIA_Data,MATCH($AE50&amp;AP$31,LCIA_Rows_B&amp;LCIA_Rows_C,0),MATCH($AD50,LCIA_Columns,0)),NA())*$AK50,0)</f>
        <v>0</v>
      </c>
      <c r="AQ50" s="180">
        <f t="array" ref="AQ50">IF($Q46=1,IFERROR(INDEX(LCIA_Data,MATCH($AE50&amp;AQ$31,LCIA_Rows_B&amp;LCIA_Rows_C,0),MATCH($AD50,LCIA_Columns,0)),NA())*$AK50,0)</f>
        <v>0</v>
      </c>
      <c r="AR50" s="180">
        <f t="array" ref="AR50">IF($Q46=1,IFERROR(INDEX(LCIA_Data,MATCH($AE50&amp;AR$31,LCIA_Rows_B&amp;LCIA_Rows_C,0),MATCH($AD50,LCIA_Columns,0)),NA())*$AK50,0)</f>
        <v>0</v>
      </c>
      <c r="AS50" s="180">
        <f t="array" ref="AS50">IF($Q46=1,IFERROR(INDEX(LCIA_Data,MATCH($AE50&amp;AS$31,LCIA_Rows_B&amp;LCIA_Rows_C,0),MATCH($AD50,LCIA_Columns,0)),NA())*$AK50,0)</f>
        <v>0</v>
      </c>
      <c r="AT50" s="180">
        <f t="array" ref="AT50">IF($Q46=1,IFERROR(INDEX(LCIA_Data,MATCH($AE50&amp;AT$31,LCIA_Rows_B&amp;LCIA_Rows_C,0),MATCH($AD50,LCIA_Columns,0)),NA())*$AK50,0)</f>
        <v>0</v>
      </c>
      <c r="AU50" s="180">
        <f t="array" ref="AU50">IF($Q46=1,IFERROR(INDEX(LCIA_Data,MATCH($AE50&amp;AU$31,LCIA_Rows_B&amp;LCIA_Rows_C,0),MATCH($AD50,LCIA_Columns,0)),NA())*$AK50,0)</f>
        <v>0</v>
      </c>
      <c r="AV50" s="180">
        <f t="array" ref="AV50">IF($Q46=1,IFERROR(INDEX(LCIA_Data,MATCH($AE50&amp;AV$31,LCIA_Rows_B&amp;LCIA_Rows_C,0),MATCH($AD50,LCIA_Columns,0)),NA())*$AK50,0)</f>
        <v>0</v>
      </c>
      <c r="AW50" s="180">
        <f t="array" ref="AW50">IF($Q46=1,IFERROR(INDEX(LCIA_Data,MATCH($AE50&amp;AW$31,LCIA_Rows_B&amp;LCIA_Rows_C,0),MATCH($AD50,LCIA_Columns,0)),NA())*$AK50,0)</f>
        <v>0</v>
      </c>
      <c r="AX50" s="180">
        <f t="array" ref="AX50">IF($Q46=1,IFERROR(INDEX(LCIA_Data,MATCH($AE50&amp;AX$31,LCIA_Rows_B&amp;LCIA_Rows_C,0),MATCH($AD50,LCIA_Columns,0)),NA())*$AK50,0)</f>
        <v>0</v>
      </c>
      <c r="AY50" s="180">
        <f t="array" ref="AY50">IF($Q46=1,IFERROR(INDEX(LCIA_Data,MATCH($AE50&amp;AY$31,LCIA_Rows_B&amp;LCIA_Rows_C,0),MATCH($AD50,LCIA_Columns,0)),NA())*$AK50,0)</f>
        <v>0</v>
      </c>
      <c r="AZ50" s="180">
        <f t="array" ref="AZ50">IF($Q46=1,IFERROR(INDEX(LCIA_Data,MATCH($AE50&amp;AZ$31,LCIA_Rows_B&amp;LCIA_Rows_C,0),MATCH($AD50,LCIA_Columns,0)),NA())*$AK50,0)</f>
        <v>0</v>
      </c>
      <c r="BA50" s="180">
        <f t="array" ref="BA50">IF($Q46=1,IFERROR(INDEX(LCIA_Data,MATCH($AE50&amp;BA$31,LCIA_Rows_B&amp;LCIA_Rows_C,0),MATCH($AD50,LCIA_Columns,0)),NA())*$AK50,0)</f>
        <v>0</v>
      </c>
      <c r="FX50" s="3"/>
      <c r="FY50" s="3"/>
    </row>
    <row r="51" spans="2:181" ht="15" customHeight="1" thickBot="1">
      <c r="B51" s="233"/>
      <c r="C51" s="591"/>
      <c r="D51" s="517" t="str">
        <f t="shared" si="62"/>
        <v>% of Slag Cement Source #3</v>
      </c>
      <c r="E51" s="533"/>
      <c r="F51" s="652"/>
      <c r="G51" s="534">
        <f t="shared" ref="G51" si="66">AL50*AF51</f>
        <v>0</v>
      </c>
      <c r="H51" s="237" t="str">
        <f t="shared" si="14"/>
        <v>short ton</v>
      </c>
      <c r="I51" s="527"/>
      <c r="J51" s="528"/>
      <c r="K51" s="528"/>
      <c r="L51" s="528"/>
      <c r="M51" s="514"/>
      <c r="N51" s="529"/>
      <c r="P51" s="35" t="s">
        <v>723</v>
      </c>
      <c r="W51" s="209"/>
      <c r="X51" s="209"/>
      <c r="Y51" s="210"/>
      <c r="Z51" s="210"/>
      <c r="AA51" s="210"/>
      <c r="AB51" s="210"/>
      <c r="AC51" s="3">
        <f>AC46</f>
        <v>3</v>
      </c>
      <c r="AD51" s="3" t="str">
        <f>'Plant Inputs'!D$41</f>
        <v>Slag Cement</v>
      </c>
      <c r="AE51" s="171">
        <f>IF($D46="Offshore",'Plant Inputs'!$AP$16,IF(COUNTIF(Locations_USA,$D46)=1,VLOOKUP($D46,Locations_USA,3,FALSE),IF(COUNTIF(Locations_CAN,$D46)=1,VLOOKUP($D46,Locations_CAN,3,FALSE),NA())))</f>
        <v>0</v>
      </c>
      <c r="AF51" s="172">
        <f t="shared" ref="AF51" si="67">$Q46*$E51</f>
        <v>0</v>
      </c>
      <c r="AG51" s="171"/>
      <c r="AH51" s="171"/>
      <c r="AI51" s="172"/>
      <c r="AJ51" s="3">
        <f>$AF51*AJ46</f>
        <v>0</v>
      </c>
      <c r="AK51" s="171">
        <f t="shared" si="16"/>
        <v>0</v>
      </c>
      <c r="AL51" s="171">
        <f t="shared" si="17"/>
        <v>0</v>
      </c>
      <c r="AN51" s="180">
        <f t="array" ref="AN51">IF($Q46=1,IFERROR(INDEX(LCIA_Data,MATCH($AE51&amp;AN$31,LCIA_Rows_B&amp;LCIA_Rows_C,0),MATCH($AD51,LCIA_Columns,0)),NA())*$AK51,0)</f>
        <v>0</v>
      </c>
      <c r="AO51" s="180">
        <f t="array" ref="AO51">IF($Q46=1,IFERROR(INDEX(LCIA_Data,MATCH($AE51&amp;AO$31,LCIA_Rows_B&amp;LCIA_Rows_C,0),MATCH($AD51,LCIA_Columns,0)),NA())*$AK51,0)</f>
        <v>0</v>
      </c>
      <c r="AP51" s="180">
        <f t="array" ref="AP51">IF($Q46=1,IFERROR(INDEX(LCIA_Data,MATCH($AE51&amp;AP$31,LCIA_Rows_B&amp;LCIA_Rows_C,0),MATCH($AD51,LCIA_Columns,0)),NA())*$AK51,0)</f>
        <v>0</v>
      </c>
      <c r="AQ51" s="180">
        <f t="array" ref="AQ51">IF($Q46=1,IFERROR(INDEX(LCIA_Data,MATCH($AE51&amp;AQ$31,LCIA_Rows_B&amp;LCIA_Rows_C,0),MATCH($AD51,LCIA_Columns,0)),NA())*$AK51,0)</f>
        <v>0</v>
      </c>
      <c r="AR51" s="180">
        <f t="array" ref="AR51">IF($Q46=1,IFERROR(INDEX(LCIA_Data,MATCH($AE51&amp;AR$31,LCIA_Rows_B&amp;LCIA_Rows_C,0),MATCH($AD51,LCIA_Columns,0)),NA())*$AK51,0)</f>
        <v>0</v>
      </c>
      <c r="AS51" s="180">
        <f t="array" ref="AS51">IF($Q46=1,IFERROR(INDEX(LCIA_Data,MATCH($AE51&amp;AS$31,LCIA_Rows_B&amp;LCIA_Rows_C,0),MATCH($AD51,LCIA_Columns,0)),NA())*$AK51,0)</f>
        <v>0</v>
      </c>
      <c r="AT51" s="180">
        <f t="array" ref="AT51">IF($Q46=1,IFERROR(INDEX(LCIA_Data,MATCH($AE51&amp;AT$31,LCIA_Rows_B&amp;LCIA_Rows_C,0),MATCH($AD51,LCIA_Columns,0)),NA())*$AK51,0)</f>
        <v>0</v>
      </c>
      <c r="AU51" s="180">
        <f t="array" ref="AU51">IF($Q46=1,IFERROR(INDEX(LCIA_Data,MATCH($AE51&amp;AU$31,LCIA_Rows_B&amp;LCIA_Rows_C,0),MATCH($AD51,LCIA_Columns,0)),NA())*$AK51,0)</f>
        <v>0</v>
      </c>
      <c r="AV51" s="180">
        <f t="array" ref="AV51">IF($Q46=1,IFERROR(INDEX(LCIA_Data,MATCH($AE51&amp;AV$31,LCIA_Rows_B&amp;LCIA_Rows_C,0),MATCH($AD51,LCIA_Columns,0)),NA())*$AK51,0)</f>
        <v>0</v>
      </c>
      <c r="AW51" s="180">
        <f t="array" ref="AW51">IF($Q46=1,IFERROR(INDEX(LCIA_Data,MATCH($AE51&amp;AW$31,LCIA_Rows_B&amp;LCIA_Rows_C,0),MATCH($AD51,LCIA_Columns,0)),NA())*$AK51,0)</f>
        <v>0</v>
      </c>
      <c r="AX51" s="180">
        <f t="array" ref="AX51">IF($Q46=1,IFERROR(INDEX(LCIA_Data,MATCH($AE51&amp;AX$31,LCIA_Rows_B&amp;LCIA_Rows_C,0),MATCH($AD51,LCIA_Columns,0)),NA())*$AK51,0)</f>
        <v>0</v>
      </c>
      <c r="AY51" s="180">
        <f t="array" ref="AY51">IF($Q46=1,IFERROR(INDEX(LCIA_Data,MATCH($AE51&amp;AY$31,LCIA_Rows_B&amp;LCIA_Rows_C,0),MATCH($AD51,LCIA_Columns,0)),NA())*$AK51,0)</f>
        <v>0</v>
      </c>
      <c r="AZ51" s="180">
        <f t="array" ref="AZ51">IF($Q46=1,IFERROR(INDEX(LCIA_Data,MATCH($AE51&amp;AZ$31,LCIA_Rows_B&amp;LCIA_Rows_C,0),MATCH($AD51,LCIA_Columns,0)),NA())*$AK51,0)</f>
        <v>0</v>
      </c>
      <c r="BA51" s="180">
        <f t="array" ref="BA51">IF($Q46=1,IFERROR(INDEX(LCIA_Data,MATCH($AE51&amp;BA$31,LCIA_Rows_B&amp;LCIA_Rows_C,0),MATCH($AD51,LCIA_Columns,0)),NA())*$AK51,0)</f>
        <v>0</v>
      </c>
      <c r="FX51" s="3"/>
      <c r="FY51" s="3"/>
    </row>
    <row r="52" spans="2:181" ht="15" customHeight="1">
      <c r="B52" s="535">
        <v>4</v>
      </c>
      <c r="C52" s="536" t="str">
        <f>AD52&amp;" Source #"&amp;AC52</f>
        <v>Pre-Blended Cement Source #4</v>
      </c>
      <c r="D52" s="537" t="s">
        <v>442</v>
      </c>
      <c r="E52" s="538"/>
      <c r="F52" s="539" t="str">
        <f>MassDisplayUnit</f>
        <v>short ton</v>
      </c>
      <c r="G52" s="540">
        <f>AL52</f>
        <v>0</v>
      </c>
      <c r="H52" s="541" t="str">
        <f t="shared" si="14"/>
        <v>short ton</v>
      </c>
      <c r="I52" s="542"/>
      <c r="J52" s="542"/>
      <c r="K52" s="542"/>
      <c r="L52" s="542"/>
      <c r="M52" s="543" t="s">
        <v>386</v>
      </c>
      <c r="N52" s="544" t="str">
        <f>DistanceDisplayUnit</f>
        <v>mile</v>
      </c>
      <c r="P52" s="35" t="s">
        <v>724</v>
      </c>
      <c r="Q52" s="3">
        <f>IF(AND($D52&lt;&gt;"Insert Location",$E52&lt;&gt;0,OR(ISNUMBER($I52),ISNUMBER($J52),ISNUMBER($K52),ISNUMBER($L52))),1,0)</f>
        <v>0</v>
      </c>
      <c r="R52" s="3">
        <f>IF(BlendYourOwnCement4="Yes",0, $Q52*I52)</f>
        <v>0</v>
      </c>
      <c r="S52" s="3">
        <f>IF(BlendYourOwnCement4="Yes",0, $Q52*J52)</f>
        <v>0</v>
      </c>
      <c r="T52" s="3">
        <f>IF(BlendYourOwnCement4="Yes",0, $Q52*K52)</f>
        <v>0</v>
      </c>
      <c r="U52" s="3">
        <f>IF(BlendYourOwnCement4="Yes",0, $Q52*L52)</f>
        <v>0</v>
      </c>
      <c r="V52" s="209" t="str">
        <f>N52</f>
        <v>mile</v>
      </c>
      <c r="W52" s="209">
        <f t="shared" si="15"/>
        <v>1</v>
      </c>
      <c r="X52" s="209" t="str">
        <f t="shared" si="45"/>
        <v>mile/mile</v>
      </c>
      <c r="Y52" s="210">
        <f>IF(BlendYourOwnCement4="Yes",(R53*$G53*$W53+R54*$G54*$W54+R55*$G55*$W55+R56*$G56*$W56+R57*$G57*$W57)/$G52, R52*$W52)</f>
        <v>0</v>
      </c>
      <c r="Z52" s="210">
        <f>IF(BlendYourOwnCement4="Yes",(S53*$G53*$W53+S54*$G54*$W54+S55*$G55*$W55+S56*$G56*$W56+S57*$G57*$W57)/$G52, S52*$W52)</f>
        <v>0</v>
      </c>
      <c r="AA52" s="210">
        <f>IF(BlendYourOwnCement4="Yes",(T53*$G53*$W53+T54*$G54*$W54+T55*$G55*$W55+T56*$G56*$W56+T57*$G57*$W57)/$G52, T52*$W52)</f>
        <v>0</v>
      </c>
      <c r="AB52" s="210">
        <f>IF(BlendYourOwnCement4="Yes",(U53*$G53*$W53+U54*$G54*$W54+U55*$G55*$W55+U56*$G56*$W56+U57*$G57*$W57)/$G52, U52*$W52)</f>
        <v>0</v>
      </c>
      <c r="AC52" s="3">
        <v>4</v>
      </c>
      <c r="AD52" s="3" t="str">
        <f>'Plant Inputs'!$D$32</f>
        <v>Pre-Blended Cement</v>
      </c>
      <c r="AE52" s="171">
        <f>IF($D52="Offshore",'Plant Inputs'!$AP$16,IF(COUNTIF(Locations_USA,$D52)=1,VLOOKUP($D52,Locations_USA,3,FALSE),IF(COUNTIF(Locations_CAN,$D52)=1,VLOOKUP($D52,Locations_CAN,3,FALSE),NA())))</f>
        <v>0</v>
      </c>
      <c r="AF52" s="172">
        <f t="shared" ref="AF52" si="68">$Q52*$E52</f>
        <v>0</v>
      </c>
      <c r="AG52" s="171" t="str">
        <f>F52</f>
        <v>short ton</v>
      </c>
      <c r="AH52" s="171">
        <f>INDEX(Conversion_Table,MATCH($AG52,Conversion_Rows,0),MATCH($AJ$8,Conversion_Columns,0))</f>
        <v>0.90718499588591606</v>
      </c>
      <c r="AI52" s="172" t="str">
        <f>$AJ$8&amp;"/"&amp;AG52</f>
        <v>tonne/short ton</v>
      </c>
      <c r="AJ52" s="172">
        <f>AF52*AH52</f>
        <v>0</v>
      </c>
      <c r="AK52" s="172">
        <f t="shared" si="16"/>
        <v>0</v>
      </c>
      <c r="AL52" s="172">
        <f t="shared" si="17"/>
        <v>0</v>
      </c>
      <c r="AN52" s="511">
        <f t="shared" ref="AN52" si="69">SUM(AN53:AN57)</f>
        <v>0</v>
      </c>
      <c r="AO52" s="511">
        <f t="shared" ref="AO52" si="70">SUM(AO53:AO57)</f>
        <v>0</v>
      </c>
      <c r="AP52" s="511">
        <f t="shared" ref="AP52" si="71">SUM(AP53:AP57)</f>
        <v>0</v>
      </c>
      <c r="AQ52" s="511">
        <f t="shared" ref="AQ52" si="72">SUM(AQ53:AQ57)</f>
        <v>0</v>
      </c>
      <c r="AR52" s="511">
        <f t="shared" ref="AR52" si="73">SUM(AR53:AR57)</f>
        <v>0</v>
      </c>
      <c r="AS52" s="511">
        <f t="shared" ref="AS52" si="74">SUM(AS53:AS57)</f>
        <v>0</v>
      </c>
      <c r="AT52" s="511">
        <f t="shared" ref="AT52" si="75">SUM(AT53:AT57)</f>
        <v>0</v>
      </c>
      <c r="AU52" s="511">
        <f t="shared" ref="AU52" si="76">SUM(AU53:AU57)</f>
        <v>0</v>
      </c>
      <c r="AV52" s="511">
        <f t="shared" ref="AV52" si="77">SUM(AV53:AV57)</f>
        <v>0</v>
      </c>
      <c r="AW52" s="511">
        <f t="shared" ref="AW52" si="78">SUM(AW53:AW57)</f>
        <v>0</v>
      </c>
      <c r="AX52" s="511">
        <f t="shared" ref="AX52" si="79">SUM(AX53:AX57)</f>
        <v>0</v>
      </c>
      <c r="AY52" s="511">
        <f t="shared" ref="AY52" si="80">SUM(AY53:AY57)</f>
        <v>0</v>
      </c>
      <c r="AZ52" s="511">
        <f t="shared" ref="AZ52" si="81">SUM(AZ53:AZ57)</f>
        <v>0</v>
      </c>
      <c r="BA52" s="511">
        <f t="shared" ref="BA52" si="82">SUM(BA53:BA57)</f>
        <v>0</v>
      </c>
      <c r="FX52" s="3"/>
      <c r="FY52" s="3"/>
    </row>
    <row r="53" spans="2:181" ht="15" customHeight="1">
      <c r="B53" s="26"/>
      <c r="C53" s="522"/>
      <c r="D53" s="516" t="str">
        <f>"% of "&amp;$AD53&amp;" Source #"&amp;$AC53</f>
        <v>% of Portland Cement Source #4</v>
      </c>
      <c r="E53" s="504"/>
      <c r="F53" s="651" t="str">
        <f>IF(AND($E52&gt;0,SUM($E53:$E57)&lt;&gt;1),"These 5 percentages must add to 100%","")</f>
        <v/>
      </c>
      <c r="G53" s="103">
        <f>AL52*AF53</f>
        <v>0</v>
      </c>
      <c r="H53" s="204" t="str">
        <f t="shared" si="14"/>
        <v>short ton</v>
      </c>
      <c r="I53" s="524"/>
      <c r="J53" s="525"/>
      <c r="K53" s="525"/>
      <c r="L53" s="525"/>
      <c r="M53" s="513"/>
      <c r="N53" s="526"/>
      <c r="W53" s="209"/>
      <c r="X53" s="209"/>
      <c r="Y53" s="210"/>
      <c r="Z53" s="210"/>
      <c r="AA53" s="210"/>
      <c r="AB53" s="210"/>
      <c r="AC53" s="3">
        <f>AC52</f>
        <v>4</v>
      </c>
      <c r="AD53" s="3" t="str">
        <f>'Plant Inputs'!D$30</f>
        <v>Portland Cement</v>
      </c>
      <c r="AE53" s="171">
        <f>IF($D52="Offshore",'Plant Inputs'!$AP$16,IF(COUNTIF(Locations_USA,$D52)=1,VLOOKUP($D52,Locations_USA,3,FALSE),IF(COUNTIF(Locations_CAN,$D52)=1,VLOOKUP($D52,Locations_CAN,3,FALSE),NA())))</f>
        <v>0</v>
      </c>
      <c r="AF53" s="172">
        <f t="shared" ref="AF53" si="83">$Q52*$E53</f>
        <v>0</v>
      </c>
      <c r="AG53" s="171"/>
      <c r="AH53" s="171"/>
      <c r="AI53" s="172"/>
      <c r="AJ53" s="3">
        <f>$AF53*AJ52</f>
        <v>0</v>
      </c>
      <c r="AK53" s="171">
        <f t="shared" si="16"/>
        <v>0</v>
      </c>
      <c r="AL53" s="171">
        <f t="shared" si="17"/>
        <v>0</v>
      </c>
      <c r="AN53" s="180">
        <f t="array" ref="AN53">IF($Q52=1,IFERROR(INDEX(LCIA_Data,MATCH($AE53&amp;AN$31,LCIA_Rows_B&amp;LCIA_Rows_C,0),MATCH($AD53,LCIA_Columns,0)),NA())*$AK53,0)</f>
        <v>0</v>
      </c>
      <c r="AO53" s="180">
        <f t="array" ref="AO53">IF($Q52=1,IFERROR(INDEX(LCIA_Data,MATCH($AE53&amp;AO$31,LCIA_Rows_B&amp;LCIA_Rows_C,0),MATCH($AD53,LCIA_Columns,0)),NA())*$AK53,0)</f>
        <v>0</v>
      </c>
      <c r="AP53" s="180">
        <f t="array" ref="AP53">IF($Q52=1,IFERROR(INDEX(LCIA_Data,MATCH($AE53&amp;AP$31,LCIA_Rows_B&amp;LCIA_Rows_C,0),MATCH($AD53,LCIA_Columns,0)),NA())*$AK53,0)</f>
        <v>0</v>
      </c>
      <c r="AQ53" s="180">
        <f t="array" ref="AQ53">IF($Q52=1,IFERROR(INDEX(LCIA_Data,MATCH($AE53&amp;AQ$31,LCIA_Rows_B&amp;LCIA_Rows_C,0),MATCH($AD53,LCIA_Columns,0)),NA())*$AK53,0)</f>
        <v>0</v>
      </c>
      <c r="AR53" s="180">
        <f t="array" ref="AR53">IF($Q52=1,IFERROR(INDEX(LCIA_Data,MATCH($AE53&amp;AR$31,LCIA_Rows_B&amp;LCIA_Rows_C,0),MATCH($AD53,LCIA_Columns,0)),NA())*$AK53,0)</f>
        <v>0</v>
      </c>
      <c r="AS53" s="180">
        <f t="array" ref="AS53">IF($Q52=1,IFERROR(INDEX(LCIA_Data,MATCH($AE53&amp;AS$31,LCIA_Rows_B&amp;LCIA_Rows_C,0),MATCH($AD53,LCIA_Columns,0)),NA())*$AK53,0)</f>
        <v>0</v>
      </c>
      <c r="AT53" s="180">
        <f t="array" ref="AT53">IF($Q52=1,IFERROR(INDEX(LCIA_Data,MATCH($AE53&amp;AT$31,LCIA_Rows_B&amp;LCIA_Rows_C,0),MATCH($AD53,LCIA_Columns,0)),NA())*$AK53,0)</f>
        <v>0</v>
      </c>
      <c r="AU53" s="180">
        <f t="array" ref="AU53">IF($Q52=1,IFERROR(INDEX(LCIA_Data,MATCH($AE53&amp;AU$31,LCIA_Rows_B&amp;LCIA_Rows_C,0),MATCH($AD53,LCIA_Columns,0)),NA())*$AK53,0)</f>
        <v>0</v>
      </c>
      <c r="AV53" s="180">
        <f t="array" ref="AV53">IF($Q52=1,IFERROR(INDEX(LCIA_Data,MATCH($AE53&amp;AV$31,LCIA_Rows_B&amp;LCIA_Rows_C,0),MATCH($AD53,LCIA_Columns,0)),NA())*$AK53,0)</f>
        <v>0</v>
      </c>
      <c r="AW53" s="180">
        <f t="array" ref="AW53">IF($Q52=1,IFERROR(INDEX(LCIA_Data,MATCH($AE53&amp;AW$31,LCIA_Rows_B&amp;LCIA_Rows_C,0),MATCH($AD53,LCIA_Columns,0)),NA())*$AK53,0)</f>
        <v>0</v>
      </c>
      <c r="AX53" s="180">
        <f t="array" ref="AX53">IF($Q52=1,IFERROR(INDEX(LCIA_Data,MATCH($AE53&amp;AX$31,LCIA_Rows_B&amp;LCIA_Rows_C,0),MATCH($AD53,LCIA_Columns,0)),NA())*$AK53,0)</f>
        <v>0</v>
      </c>
      <c r="AY53" s="180">
        <f t="array" ref="AY53">IF($Q52=1,IFERROR(INDEX(LCIA_Data,MATCH($AE53&amp;AY$31,LCIA_Rows_B&amp;LCIA_Rows_C,0),MATCH($AD53,LCIA_Columns,0)),NA())*$AK53,0)</f>
        <v>0</v>
      </c>
      <c r="AZ53" s="180">
        <f t="array" ref="AZ53">IF($Q52=1,IFERROR(INDEX(LCIA_Data,MATCH($AE53&amp;AZ$31,LCIA_Rows_B&amp;LCIA_Rows_C,0),MATCH($AD53,LCIA_Columns,0)),NA())*$AK53,0)</f>
        <v>0</v>
      </c>
      <c r="BA53" s="180">
        <f t="array" ref="BA53">IF($Q52=1,IFERROR(INDEX(LCIA_Data,MATCH($AE53&amp;BA$31,LCIA_Rows_B&amp;LCIA_Rows_C,0),MATCH($AD53,LCIA_Columns,0)),NA())*$AK53,0)</f>
        <v>0</v>
      </c>
      <c r="FX53" s="3"/>
      <c r="FY53" s="3"/>
    </row>
    <row r="54" spans="2:181" ht="15" customHeight="1">
      <c r="B54" s="26"/>
      <c r="C54" s="522"/>
      <c r="D54" s="516" t="str">
        <f t="shared" ref="D54:D57" si="84">"% of "&amp;$AD54&amp;" Source #"&amp;$AC54</f>
        <v>% of Portland Limestone Cement (PLC) Source #4</v>
      </c>
      <c r="E54" s="504"/>
      <c r="F54" s="652"/>
      <c r="G54" s="103">
        <f>AL52*AF54</f>
        <v>0</v>
      </c>
      <c r="H54" s="204" t="str">
        <f t="shared" si="14"/>
        <v>short ton</v>
      </c>
      <c r="I54" s="527"/>
      <c r="J54" s="528"/>
      <c r="K54" s="528"/>
      <c r="L54" s="528"/>
      <c r="M54" s="514"/>
      <c r="N54" s="529"/>
      <c r="W54" s="209"/>
      <c r="X54" s="209"/>
      <c r="Y54" s="210"/>
      <c r="Z54" s="210"/>
      <c r="AA54" s="210"/>
      <c r="AB54" s="210"/>
      <c r="AC54" s="3">
        <f>AC52</f>
        <v>4</v>
      </c>
      <c r="AD54" s="3" t="str">
        <f>'Plant Inputs'!D$31</f>
        <v>Portland Limestone Cement (PLC)</v>
      </c>
      <c r="AE54" s="171">
        <f>IF($D52="Offshore",'Plant Inputs'!$AP$16,IF(COUNTIF(Locations_USA,$D52)=1,VLOOKUP($D52,Locations_USA,3,FALSE),IF(COUNTIF(Locations_CAN,$D52)=1,VLOOKUP($D52,Locations_CAN,3,FALSE),NA())))</f>
        <v>0</v>
      </c>
      <c r="AF54" s="172">
        <f t="shared" ref="AF54" si="85">$Q52*$E54</f>
        <v>0</v>
      </c>
      <c r="AG54" s="171"/>
      <c r="AH54" s="171"/>
      <c r="AI54" s="172"/>
      <c r="AJ54" s="3">
        <f>$AF54*AJ52</f>
        <v>0</v>
      </c>
      <c r="AK54" s="171">
        <f t="shared" si="16"/>
        <v>0</v>
      </c>
      <c r="AL54" s="171">
        <f t="shared" si="17"/>
        <v>0</v>
      </c>
      <c r="AN54" s="180">
        <f t="array" ref="AN54">IF($Q52=1,IFERROR(INDEX(LCIA_Data,MATCH($AE54&amp;AN$31,LCIA_Rows_B&amp;LCIA_Rows_C,0),MATCH($AD54,LCIA_Columns,0)),NA())*$AK54,0)</f>
        <v>0</v>
      </c>
      <c r="AO54" s="180">
        <f t="array" ref="AO54">IF($Q52=1,IFERROR(INDEX(LCIA_Data,MATCH($AE54&amp;AO$31,LCIA_Rows_B&amp;LCIA_Rows_C,0),MATCH($AD54,LCIA_Columns,0)),NA())*$AK54,0)</f>
        <v>0</v>
      </c>
      <c r="AP54" s="180">
        <f t="array" ref="AP54">IF($Q52=1,IFERROR(INDEX(LCIA_Data,MATCH($AE54&amp;AP$31,LCIA_Rows_B&amp;LCIA_Rows_C,0),MATCH($AD54,LCIA_Columns,0)),NA())*$AK54,0)</f>
        <v>0</v>
      </c>
      <c r="AQ54" s="180">
        <f t="array" ref="AQ54">IF($Q52=1,IFERROR(INDEX(LCIA_Data,MATCH($AE54&amp;AQ$31,LCIA_Rows_B&amp;LCIA_Rows_C,0),MATCH($AD54,LCIA_Columns,0)),NA())*$AK54,0)</f>
        <v>0</v>
      </c>
      <c r="AR54" s="180">
        <f t="array" ref="AR54">IF($Q52=1,IFERROR(INDEX(LCIA_Data,MATCH($AE54&amp;AR$31,LCIA_Rows_B&amp;LCIA_Rows_C,0),MATCH($AD54,LCIA_Columns,0)),NA())*$AK54,0)</f>
        <v>0</v>
      </c>
      <c r="AS54" s="180">
        <f t="array" ref="AS54">IF($Q52=1,IFERROR(INDEX(LCIA_Data,MATCH($AE54&amp;AS$31,LCIA_Rows_B&amp;LCIA_Rows_C,0),MATCH($AD54,LCIA_Columns,0)),NA())*$AK54,0)</f>
        <v>0</v>
      </c>
      <c r="AT54" s="180">
        <f t="array" ref="AT54">IF($Q52=1,IFERROR(INDEX(LCIA_Data,MATCH($AE54&amp;AT$31,LCIA_Rows_B&amp;LCIA_Rows_C,0),MATCH($AD54,LCIA_Columns,0)),NA())*$AK54,0)</f>
        <v>0</v>
      </c>
      <c r="AU54" s="180">
        <f t="array" ref="AU54">IF($Q52=1,IFERROR(INDEX(LCIA_Data,MATCH($AE54&amp;AU$31,LCIA_Rows_B&amp;LCIA_Rows_C,0),MATCH($AD54,LCIA_Columns,0)),NA())*$AK54,0)</f>
        <v>0</v>
      </c>
      <c r="AV54" s="180">
        <f t="array" ref="AV54">IF($Q52=1,IFERROR(INDEX(LCIA_Data,MATCH($AE54&amp;AV$31,LCIA_Rows_B&amp;LCIA_Rows_C,0),MATCH($AD54,LCIA_Columns,0)),NA())*$AK54,0)</f>
        <v>0</v>
      </c>
      <c r="AW54" s="180">
        <f t="array" ref="AW54">IF($Q52=1,IFERROR(INDEX(LCIA_Data,MATCH($AE54&amp;AW$31,LCIA_Rows_B&amp;LCIA_Rows_C,0),MATCH($AD54,LCIA_Columns,0)),NA())*$AK54,0)</f>
        <v>0</v>
      </c>
      <c r="AX54" s="180">
        <f t="array" ref="AX54">IF($Q52=1,IFERROR(INDEX(LCIA_Data,MATCH($AE54&amp;AX$31,LCIA_Rows_B&amp;LCIA_Rows_C,0),MATCH($AD54,LCIA_Columns,0)),NA())*$AK54,0)</f>
        <v>0</v>
      </c>
      <c r="AY54" s="180">
        <f t="array" ref="AY54">IF($Q52=1,IFERROR(INDEX(LCIA_Data,MATCH($AE54&amp;AY$31,LCIA_Rows_B&amp;LCIA_Rows_C,0),MATCH($AD54,LCIA_Columns,0)),NA())*$AK54,0)</f>
        <v>0</v>
      </c>
      <c r="AZ54" s="180">
        <f t="array" ref="AZ54">IF($Q52=1,IFERROR(INDEX(LCIA_Data,MATCH($AE54&amp;AZ$31,LCIA_Rows_B&amp;LCIA_Rows_C,0),MATCH($AD54,LCIA_Columns,0)),NA())*$AK54,0)</f>
        <v>0</v>
      </c>
      <c r="BA54" s="180">
        <f t="array" ref="BA54">IF($Q52=1,IFERROR(INDEX(LCIA_Data,MATCH($AE54&amp;BA$31,LCIA_Rows_B&amp;LCIA_Rows_C,0),MATCH($AD54,LCIA_Columns,0)),NA())*$AK54,0)</f>
        <v>0</v>
      </c>
      <c r="FX54" s="3"/>
      <c r="FY54" s="3"/>
    </row>
    <row r="55" spans="2:181" ht="15" customHeight="1">
      <c r="B55" s="26"/>
      <c r="C55" s="522"/>
      <c r="D55" s="516" t="str">
        <f t="shared" si="84"/>
        <v>% of SCMs - Fly Ash Source #4</v>
      </c>
      <c r="E55" s="504"/>
      <c r="F55" s="652"/>
      <c r="G55" s="103">
        <f>AL52*AF55</f>
        <v>0</v>
      </c>
      <c r="H55" s="204" t="str">
        <f t="shared" si="14"/>
        <v>short ton</v>
      </c>
      <c r="I55" s="527"/>
      <c r="J55" s="528"/>
      <c r="K55" s="528"/>
      <c r="L55" s="528"/>
      <c r="M55" s="514"/>
      <c r="N55" s="529"/>
      <c r="W55" s="209"/>
      <c r="X55" s="209"/>
      <c r="Y55" s="210"/>
      <c r="Z55" s="210"/>
      <c r="AA55" s="210"/>
      <c r="AB55" s="210"/>
      <c r="AC55" s="3">
        <f>AC52</f>
        <v>4</v>
      </c>
      <c r="AD55" s="3" t="str">
        <f>'Plant Inputs'!D$39</f>
        <v>SCMs - Fly Ash</v>
      </c>
      <c r="AE55" s="171">
        <f>IF($D52="Offshore",'Plant Inputs'!$AP$16,IF(COUNTIF(Locations_USA,$D52)=1,VLOOKUP($D52,Locations_USA,3,FALSE),IF(COUNTIF(Locations_CAN,$D52)=1,VLOOKUP($D52,Locations_CAN,3,FALSE),NA())))</f>
        <v>0</v>
      </c>
      <c r="AF55" s="172">
        <f t="shared" ref="AF55" si="86">$Q52*$E55</f>
        <v>0</v>
      </c>
      <c r="AG55" s="171"/>
      <c r="AH55" s="171"/>
      <c r="AI55" s="172"/>
      <c r="AJ55" s="3">
        <f>$AF55*AJ52</f>
        <v>0</v>
      </c>
      <c r="AK55" s="171">
        <f t="shared" si="16"/>
        <v>0</v>
      </c>
      <c r="AL55" s="171">
        <f t="shared" si="17"/>
        <v>0</v>
      </c>
      <c r="AN55" s="180">
        <f t="array" ref="AN55">IF($Q52=1,IFERROR(INDEX(LCIA_Data,MATCH($AE55&amp;AN$31,LCIA_Rows_B&amp;LCIA_Rows_C,0),MATCH($AD55,LCIA_Columns,0)),NA())*$AK55,0)</f>
        <v>0</v>
      </c>
      <c r="AO55" s="180">
        <f t="array" ref="AO55">IF($Q52=1,IFERROR(INDEX(LCIA_Data,MATCH($AE55&amp;AO$31,LCIA_Rows_B&amp;LCIA_Rows_C,0),MATCH($AD55,LCIA_Columns,0)),NA())*$AK55,0)</f>
        <v>0</v>
      </c>
      <c r="AP55" s="180">
        <f t="array" ref="AP55">IF($Q52=1,IFERROR(INDEX(LCIA_Data,MATCH($AE55&amp;AP$31,LCIA_Rows_B&amp;LCIA_Rows_C,0),MATCH($AD55,LCIA_Columns,0)),NA())*$AK55,0)</f>
        <v>0</v>
      </c>
      <c r="AQ55" s="180">
        <f t="array" ref="AQ55">IF($Q52=1,IFERROR(INDEX(LCIA_Data,MATCH($AE55&amp;AQ$31,LCIA_Rows_B&amp;LCIA_Rows_C,0),MATCH($AD55,LCIA_Columns,0)),NA())*$AK55,0)</f>
        <v>0</v>
      </c>
      <c r="AR55" s="180">
        <f t="array" ref="AR55">IF($Q52=1,IFERROR(INDEX(LCIA_Data,MATCH($AE55&amp;AR$31,LCIA_Rows_B&amp;LCIA_Rows_C,0),MATCH($AD55,LCIA_Columns,0)),NA())*$AK55,0)</f>
        <v>0</v>
      </c>
      <c r="AS55" s="180">
        <f t="array" ref="AS55">IF($Q52=1,IFERROR(INDEX(LCIA_Data,MATCH($AE55&amp;AS$31,LCIA_Rows_B&amp;LCIA_Rows_C,0),MATCH($AD55,LCIA_Columns,0)),NA())*$AK55,0)</f>
        <v>0</v>
      </c>
      <c r="AT55" s="180">
        <f t="array" ref="AT55">IF($Q52=1,IFERROR(INDEX(LCIA_Data,MATCH($AE55&amp;AT$31,LCIA_Rows_B&amp;LCIA_Rows_C,0),MATCH($AD55,LCIA_Columns,0)),NA())*$AK55,0)</f>
        <v>0</v>
      </c>
      <c r="AU55" s="180">
        <f t="array" ref="AU55">IF($Q52=1,IFERROR(INDEX(LCIA_Data,MATCH($AE55&amp;AU$31,LCIA_Rows_B&amp;LCIA_Rows_C,0),MATCH($AD55,LCIA_Columns,0)),NA())*$AK55,0)</f>
        <v>0</v>
      </c>
      <c r="AV55" s="180">
        <f t="array" ref="AV55">IF($Q52=1,IFERROR(INDEX(LCIA_Data,MATCH($AE55&amp;AV$31,LCIA_Rows_B&amp;LCIA_Rows_C,0),MATCH($AD55,LCIA_Columns,0)),NA())*$AK55,0)</f>
        <v>0</v>
      </c>
      <c r="AW55" s="180">
        <f t="array" ref="AW55">IF($Q52=1,IFERROR(INDEX(LCIA_Data,MATCH($AE55&amp;AW$31,LCIA_Rows_B&amp;LCIA_Rows_C,0),MATCH($AD55,LCIA_Columns,0)),NA())*$AK55,0)</f>
        <v>0</v>
      </c>
      <c r="AX55" s="180">
        <f t="array" ref="AX55">IF($Q52=1,IFERROR(INDEX(LCIA_Data,MATCH($AE55&amp;AX$31,LCIA_Rows_B&amp;LCIA_Rows_C,0),MATCH($AD55,LCIA_Columns,0)),NA())*$AK55,0)</f>
        <v>0</v>
      </c>
      <c r="AY55" s="180">
        <f t="array" ref="AY55">IF($Q52=1,IFERROR(INDEX(LCIA_Data,MATCH($AE55&amp;AY$31,LCIA_Rows_B&amp;LCIA_Rows_C,0),MATCH($AD55,LCIA_Columns,0)),NA())*$AK55,0)</f>
        <v>0</v>
      </c>
      <c r="AZ55" s="180">
        <f t="array" ref="AZ55">IF($Q52=1,IFERROR(INDEX(LCIA_Data,MATCH($AE55&amp;AZ$31,LCIA_Rows_B&amp;LCIA_Rows_C,0),MATCH($AD55,LCIA_Columns,0)),NA())*$AK55,0)</f>
        <v>0</v>
      </c>
      <c r="BA55" s="180">
        <f t="array" ref="BA55">IF($Q52=1,IFERROR(INDEX(LCIA_Data,MATCH($AE55&amp;BA$31,LCIA_Rows_B&amp;LCIA_Rows_C,0),MATCH($AD55,LCIA_Columns,0)),NA())*$AK55,0)</f>
        <v>0</v>
      </c>
      <c r="FX55" s="3"/>
      <c r="FY55" s="3"/>
    </row>
    <row r="56" spans="2:181" ht="15" customHeight="1">
      <c r="B56" s="26"/>
      <c r="C56" s="522"/>
      <c r="D56" s="516" t="str">
        <f t="shared" si="84"/>
        <v>% of SCMs - Silica Fume Source #4</v>
      </c>
      <c r="E56" s="504"/>
      <c r="F56" s="652"/>
      <c r="G56" s="103">
        <f>AL52*AF56</f>
        <v>0</v>
      </c>
      <c r="H56" s="204" t="str">
        <f t="shared" si="14"/>
        <v>short ton</v>
      </c>
      <c r="I56" s="527"/>
      <c r="J56" s="528"/>
      <c r="K56" s="528"/>
      <c r="L56" s="528"/>
      <c r="M56" s="514"/>
      <c r="N56" s="529"/>
      <c r="W56" s="209"/>
      <c r="X56" s="209"/>
      <c r="Y56" s="210"/>
      <c r="Z56" s="210"/>
      <c r="AA56" s="210"/>
      <c r="AB56" s="210"/>
      <c r="AC56" s="3">
        <f>AC52</f>
        <v>4</v>
      </c>
      <c r="AD56" s="3" t="str">
        <f>'Plant Inputs'!D$40</f>
        <v>SCMs - Silica Fume</v>
      </c>
      <c r="AE56" s="171">
        <f>IF($D52="Offshore",'Plant Inputs'!$AP$16,IF(COUNTIF(Locations_USA,$D52)=1,VLOOKUP($D52,Locations_USA,3,FALSE),IF(COUNTIF(Locations_CAN,$D52)=1,VLOOKUP($D52,Locations_CAN,3,FALSE),NA())))</f>
        <v>0</v>
      </c>
      <c r="AF56" s="172">
        <f t="shared" ref="AF56" si="87">$Q52*$E56</f>
        <v>0</v>
      </c>
      <c r="AG56" s="171"/>
      <c r="AH56" s="171"/>
      <c r="AI56" s="172"/>
      <c r="AJ56" s="3">
        <f>$AF56*AJ52</f>
        <v>0</v>
      </c>
      <c r="AK56" s="171">
        <f t="shared" si="16"/>
        <v>0</v>
      </c>
      <c r="AL56" s="171">
        <f t="shared" si="17"/>
        <v>0</v>
      </c>
      <c r="AN56" s="180">
        <f t="array" ref="AN56">IF($Q52=1,IFERROR(INDEX(LCIA_Data,MATCH($AE56&amp;AN$31,LCIA_Rows_B&amp;LCIA_Rows_C,0),MATCH($AD56,LCIA_Columns,0)),NA())*$AK56,0)</f>
        <v>0</v>
      </c>
      <c r="AO56" s="180">
        <f t="array" ref="AO56">IF($Q52=1,IFERROR(INDEX(LCIA_Data,MATCH($AE56&amp;AO$31,LCIA_Rows_B&amp;LCIA_Rows_C,0),MATCH($AD56,LCIA_Columns,0)),NA())*$AK56,0)</f>
        <v>0</v>
      </c>
      <c r="AP56" s="180">
        <f t="array" ref="AP56">IF($Q52=1,IFERROR(INDEX(LCIA_Data,MATCH($AE56&amp;AP$31,LCIA_Rows_B&amp;LCIA_Rows_C,0),MATCH($AD56,LCIA_Columns,0)),NA())*$AK56,0)</f>
        <v>0</v>
      </c>
      <c r="AQ56" s="180">
        <f t="array" ref="AQ56">IF($Q52=1,IFERROR(INDEX(LCIA_Data,MATCH($AE56&amp;AQ$31,LCIA_Rows_B&amp;LCIA_Rows_C,0),MATCH($AD56,LCIA_Columns,0)),NA())*$AK56,0)</f>
        <v>0</v>
      </c>
      <c r="AR56" s="180">
        <f t="array" ref="AR56">IF($Q52=1,IFERROR(INDEX(LCIA_Data,MATCH($AE56&amp;AR$31,LCIA_Rows_B&amp;LCIA_Rows_C,0),MATCH($AD56,LCIA_Columns,0)),NA())*$AK56,0)</f>
        <v>0</v>
      </c>
      <c r="AS56" s="180">
        <f t="array" ref="AS56">IF($Q52=1,IFERROR(INDEX(LCIA_Data,MATCH($AE56&amp;AS$31,LCIA_Rows_B&amp;LCIA_Rows_C,0),MATCH($AD56,LCIA_Columns,0)),NA())*$AK56,0)</f>
        <v>0</v>
      </c>
      <c r="AT56" s="180">
        <f t="array" ref="AT56">IF($Q52=1,IFERROR(INDEX(LCIA_Data,MATCH($AE56&amp;AT$31,LCIA_Rows_B&amp;LCIA_Rows_C,0),MATCH($AD56,LCIA_Columns,0)),NA())*$AK56,0)</f>
        <v>0</v>
      </c>
      <c r="AU56" s="180">
        <f t="array" ref="AU56">IF($Q52=1,IFERROR(INDEX(LCIA_Data,MATCH($AE56&amp;AU$31,LCIA_Rows_B&amp;LCIA_Rows_C,0),MATCH($AD56,LCIA_Columns,0)),NA())*$AK56,0)</f>
        <v>0</v>
      </c>
      <c r="AV56" s="180">
        <f t="array" ref="AV56">IF($Q52=1,IFERROR(INDEX(LCIA_Data,MATCH($AE56&amp;AV$31,LCIA_Rows_B&amp;LCIA_Rows_C,0),MATCH($AD56,LCIA_Columns,0)),NA())*$AK56,0)</f>
        <v>0</v>
      </c>
      <c r="AW56" s="180">
        <f t="array" ref="AW56">IF($Q52=1,IFERROR(INDEX(LCIA_Data,MATCH($AE56&amp;AW$31,LCIA_Rows_B&amp;LCIA_Rows_C,0),MATCH($AD56,LCIA_Columns,0)),NA())*$AK56,0)</f>
        <v>0</v>
      </c>
      <c r="AX56" s="180">
        <f t="array" ref="AX56">IF($Q52=1,IFERROR(INDEX(LCIA_Data,MATCH($AE56&amp;AX$31,LCIA_Rows_B&amp;LCIA_Rows_C,0),MATCH($AD56,LCIA_Columns,0)),NA())*$AK56,0)</f>
        <v>0</v>
      </c>
      <c r="AY56" s="180">
        <f t="array" ref="AY56">IF($Q52=1,IFERROR(INDEX(LCIA_Data,MATCH($AE56&amp;AY$31,LCIA_Rows_B&amp;LCIA_Rows_C,0),MATCH($AD56,LCIA_Columns,0)),NA())*$AK56,0)</f>
        <v>0</v>
      </c>
      <c r="AZ56" s="180">
        <f t="array" ref="AZ56">IF($Q52=1,IFERROR(INDEX(LCIA_Data,MATCH($AE56&amp;AZ$31,LCIA_Rows_B&amp;LCIA_Rows_C,0),MATCH($AD56,LCIA_Columns,0)),NA())*$AK56,0)</f>
        <v>0</v>
      </c>
      <c r="BA56" s="180">
        <f t="array" ref="BA56">IF($Q52=1,IFERROR(INDEX(LCIA_Data,MATCH($AE56&amp;BA$31,LCIA_Rows_B&amp;LCIA_Rows_C,0),MATCH($AD56,LCIA_Columns,0)),NA())*$AK56,0)</f>
        <v>0</v>
      </c>
      <c r="FX56" s="3"/>
      <c r="FY56" s="3"/>
    </row>
    <row r="57" spans="2:181" ht="15" customHeight="1" thickBot="1">
      <c r="B57" s="32"/>
      <c r="C57" s="523"/>
      <c r="D57" s="517" t="str">
        <f t="shared" si="84"/>
        <v>% of Slag Cement Source #4</v>
      </c>
      <c r="E57" s="518"/>
      <c r="F57" s="653"/>
      <c r="G57" s="103">
        <f t="shared" ref="G57" si="88">AL56*AF57</f>
        <v>0</v>
      </c>
      <c r="H57" s="204" t="str">
        <f t="shared" si="14"/>
        <v>short ton</v>
      </c>
      <c r="I57" s="530"/>
      <c r="J57" s="531"/>
      <c r="K57" s="531"/>
      <c r="L57" s="531"/>
      <c r="M57" s="515"/>
      <c r="N57" s="532"/>
      <c r="W57" s="209"/>
      <c r="X57" s="209"/>
      <c r="Y57" s="210"/>
      <c r="Z57" s="210"/>
      <c r="AA57" s="210"/>
      <c r="AB57" s="210"/>
      <c r="AC57" s="3">
        <f>AC52</f>
        <v>4</v>
      </c>
      <c r="AD57" s="3" t="str">
        <f>'Plant Inputs'!D$41</f>
        <v>Slag Cement</v>
      </c>
      <c r="AE57" s="171">
        <f>IF($D52="Offshore",'Plant Inputs'!$AP$16,IF(COUNTIF(Locations_USA,$D52)=1,VLOOKUP($D52,Locations_USA,3,FALSE),IF(COUNTIF(Locations_CAN,$D52)=1,VLOOKUP($D52,Locations_CAN,3,FALSE),NA())))</f>
        <v>0</v>
      </c>
      <c r="AF57" s="172">
        <f t="shared" ref="AF57" si="89">$Q52*$E57</f>
        <v>0</v>
      </c>
      <c r="AG57" s="171"/>
      <c r="AH57" s="171"/>
      <c r="AI57" s="172"/>
      <c r="AJ57" s="3">
        <f>$AF57*AJ52</f>
        <v>0</v>
      </c>
      <c r="AK57" s="171">
        <f t="shared" si="16"/>
        <v>0</v>
      </c>
      <c r="AL57" s="171">
        <f t="shared" si="17"/>
        <v>0</v>
      </c>
      <c r="AN57" s="180">
        <f t="array" ref="AN57">IF($Q52=1,IFERROR(INDEX(LCIA_Data,MATCH($AE57&amp;AN$31,LCIA_Rows_B&amp;LCIA_Rows_C,0),MATCH($AD57,LCIA_Columns,0)),NA())*$AK57,0)</f>
        <v>0</v>
      </c>
      <c r="AO57" s="180">
        <f t="array" ref="AO57">IF($Q52=1,IFERROR(INDEX(LCIA_Data,MATCH($AE57&amp;AO$31,LCIA_Rows_B&amp;LCIA_Rows_C,0),MATCH($AD57,LCIA_Columns,0)),NA())*$AK57,0)</f>
        <v>0</v>
      </c>
      <c r="AP57" s="180">
        <f t="array" ref="AP57">IF($Q52=1,IFERROR(INDEX(LCIA_Data,MATCH($AE57&amp;AP$31,LCIA_Rows_B&amp;LCIA_Rows_C,0),MATCH($AD57,LCIA_Columns,0)),NA())*$AK57,0)</f>
        <v>0</v>
      </c>
      <c r="AQ57" s="180">
        <f t="array" ref="AQ57">IF($Q52=1,IFERROR(INDEX(LCIA_Data,MATCH($AE57&amp;AQ$31,LCIA_Rows_B&amp;LCIA_Rows_C,0),MATCH($AD57,LCIA_Columns,0)),NA())*$AK57,0)</f>
        <v>0</v>
      </c>
      <c r="AR57" s="180">
        <f t="array" ref="AR57">IF($Q52=1,IFERROR(INDEX(LCIA_Data,MATCH($AE57&amp;AR$31,LCIA_Rows_B&amp;LCIA_Rows_C,0),MATCH($AD57,LCIA_Columns,0)),NA())*$AK57,0)</f>
        <v>0</v>
      </c>
      <c r="AS57" s="180">
        <f t="array" ref="AS57">IF($Q52=1,IFERROR(INDEX(LCIA_Data,MATCH($AE57&amp;AS$31,LCIA_Rows_B&amp;LCIA_Rows_C,0),MATCH($AD57,LCIA_Columns,0)),NA())*$AK57,0)</f>
        <v>0</v>
      </c>
      <c r="AT57" s="180">
        <f t="array" ref="AT57">IF($Q52=1,IFERROR(INDEX(LCIA_Data,MATCH($AE57&amp;AT$31,LCIA_Rows_B&amp;LCIA_Rows_C,0),MATCH($AD57,LCIA_Columns,0)),NA())*$AK57,0)</f>
        <v>0</v>
      </c>
      <c r="AU57" s="180">
        <f t="array" ref="AU57">IF($Q52=1,IFERROR(INDEX(LCIA_Data,MATCH($AE57&amp;AU$31,LCIA_Rows_B&amp;LCIA_Rows_C,0),MATCH($AD57,LCIA_Columns,0)),NA())*$AK57,0)</f>
        <v>0</v>
      </c>
      <c r="AV57" s="180">
        <f t="array" ref="AV57">IF($Q52=1,IFERROR(INDEX(LCIA_Data,MATCH($AE57&amp;AV$31,LCIA_Rows_B&amp;LCIA_Rows_C,0),MATCH($AD57,LCIA_Columns,0)),NA())*$AK57,0)</f>
        <v>0</v>
      </c>
      <c r="AW57" s="180">
        <f t="array" ref="AW57">IF($Q52=1,IFERROR(INDEX(LCIA_Data,MATCH($AE57&amp;AW$31,LCIA_Rows_B&amp;LCIA_Rows_C,0),MATCH($AD57,LCIA_Columns,0)),NA())*$AK57,0)</f>
        <v>0</v>
      </c>
      <c r="AX57" s="180">
        <f t="array" ref="AX57">IF($Q52=1,IFERROR(INDEX(LCIA_Data,MATCH($AE57&amp;AX$31,LCIA_Rows_B&amp;LCIA_Rows_C,0),MATCH($AD57,LCIA_Columns,0)),NA())*$AK57,0)</f>
        <v>0</v>
      </c>
      <c r="AY57" s="180">
        <f t="array" ref="AY57">IF($Q52=1,IFERROR(INDEX(LCIA_Data,MATCH($AE57&amp;AY$31,LCIA_Rows_B&amp;LCIA_Rows_C,0),MATCH($AD57,LCIA_Columns,0)),NA())*$AK57,0)</f>
        <v>0</v>
      </c>
      <c r="AZ57" s="180">
        <f t="array" ref="AZ57">IF($Q52=1,IFERROR(INDEX(LCIA_Data,MATCH($AE57&amp;AZ$31,LCIA_Rows_B&amp;LCIA_Rows_C,0),MATCH($AD57,LCIA_Columns,0)),NA())*$AK57,0)</f>
        <v>0</v>
      </c>
      <c r="BA57" s="180">
        <f t="array" ref="BA57">IF($Q52=1,IFERROR(INDEX(LCIA_Data,MATCH($AE57&amp;BA$31,LCIA_Rows_B&amp;LCIA_Rows_C,0),MATCH($AD57,LCIA_Columns,0)),NA())*$AK57,0)</f>
        <v>0</v>
      </c>
      <c r="FX57" s="3"/>
      <c r="FY57" s="3"/>
    </row>
    <row r="58" spans="2:181" ht="16" thickBot="1">
      <c r="B58" s="174"/>
      <c r="C58" s="174"/>
      <c r="D58" s="174"/>
      <c r="E58" s="174"/>
      <c r="F58" s="107" t="s">
        <v>19</v>
      </c>
      <c r="G58" s="507">
        <f>IF(AND($G34=0,$G40=0,$G46=0,$G52=0),0,$AL58)</f>
        <v>0</v>
      </c>
      <c r="H58" s="205" t="str">
        <f t="shared" si="14"/>
        <v>short ton</v>
      </c>
      <c r="I58" s="507">
        <f>Y58</f>
        <v>0</v>
      </c>
      <c r="J58" s="507">
        <f>Z58</f>
        <v>0</v>
      </c>
      <c r="K58" s="507">
        <f>AA58</f>
        <v>0</v>
      </c>
      <c r="L58" s="507">
        <f>AB58</f>
        <v>0</v>
      </c>
      <c r="M58" s="428"/>
      <c r="N58" s="206" t="str">
        <f>DistanceDisplayUnit</f>
        <v>mile</v>
      </c>
      <c r="Q58" s="3">
        <f>OR(SUM($Q34,$Q40,$Q46,$Q52)&gt;0,OR(AND($G13&lt;&gt;0,SUM($I13:$L13)&lt;&gt;0),AND($G25&lt;&gt;0,SUM($I25:$L25)&lt;&gt;0)))*1</f>
        <v>0</v>
      </c>
      <c r="R58" s="3" t="str">
        <f>IFERROR((R34*$G34+R40*$G40+R46*$G46+R52*$G52)/$G58,"")</f>
        <v/>
      </c>
      <c r="S58" s="3" t="str">
        <f>IFERROR((S34*$G34+S40*$G40+S46*$G46+S52*$G52)/$G58,"")</f>
        <v/>
      </c>
      <c r="T58" s="3" t="str">
        <f>IFERROR((T34*$G34+T40*$G40+T46*$G46+T52*$G52)/$G58,"")</f>
        <v/>
      </c>
      <c r="U58" s="3" t="str">
        <f>IFERROR((U34*$G34+U40*$G40+U46*$G46+U52*$G52)/$G58,"")</f>
        <v/>
      </c>
      <c r="W58" s="209"/>
      <c r="X58" s="209" t="str">
        <f>N58</f>
        <v>mile</v>
      </c>
      <c r="Y58" s="210">
        <f>IFERROR((Y34*$G34+Y40*$G40+Y46*$G46+Y52*$G52)/$G58,0)</f>
        <v>0</v>
      </c>
      <c r="Z58" s="210">
        <f>IFERROR((Z34*$G34+Z40*$G40+Z46*$G46+Z52*$G52)/$G58,0)</f>
        <v>0</v>
      </c>
      <c r="AA58" s="210">
        <f>IFERROR((AA34*$G34+AA40*$G40+AA46*$G46+AA52*$G52)/$G58,0)</f>
        <v>0</v>
      </c>
      <c r="AB58" s="210">
        <f>IFERROR((AB34*$G34+AB40*$G40+AB46*$G46+AB52*$G52)/$G58,0)</f>
        <v>0</v>
      </c>
      <c r="AC58" s="171"/>
      <c r="AD58" s="171"/>
      <c r="AE58" s="171"/>
      <c r="AF58" s="172"/>
      <c r="AI58" s="171" t="s">
        <v>19</v>
      </c>
      <c r="AJ58" s="510">
        <f>AJ34+AJ40+AJ46+AJ52</f>
        <v>0</v>
      </c>
      <c r="AK58" s="510">
        <f>AK34+AK40+AK46+AK52</f>
        <v>0</v>
      </c>
      <c r="AL58" s="172">
        <f>$AJ58*INDEX(Conversion_Table,MATCH($AJ$8,Conversion_Rows,0),MATCH($AL$8,Conversion_Columns,0))</f>
        <v>0</v>
      </c>
      <c r="AN58" s="511">
        <f t="shared" ref="AN58:AX58" si="90">AN34+AN40+AN46+AN52</f>
        <v>0</v>
      </c>
      <c r="AO58" s="511">
        <f t="shared" si="90"/>
        <v>0</v>
      </c>
      <c r="AP58" s="511">
        <f t="shared" si="90"/>
        <v>0</v>
      </c>
      <c r="AQ58" s="511">
        <f t="shared" si="90"/>
        <v>0</v>
      </c>
      <c r="AR58" s="511">
        <f t="shared" si="90"/>
        <v>0</v>
      </c>
      <c r="AS58" s="511">
        <f t="shared" si="90"/>
        <v>0</v>
      </c>
      <c r="AT58" s="511">
        <f t="shared" si="90"/>
        <v>0</v>
      </c>
      <c r="AU58" s="511">
        <f t="shared" si="90"/>
        <v>0</v>
      </c>
      <c r="AV58" s="511">
        <f t="shared" si="90"/>
        <v>0</v>
      </c>
      <c r="AW58" s="511">
        <f t="shared" si="90"/>
        <v>0</v>
      </c>
      <c r="AX58" s="511">
        <f t="shared" si="90"/>
        <v>0</v>
      </c>
      <c r="AY58" s="511">
        <f t="shared" ref="AY58:BA58" si="91">AY34+AY40+AY46+AY52</f>
        <v>0</v>
      </c>
      <c r="AZ58" s="511">
        <f t="shared" si="91"/>
        <v>0</v>
      </c>
      <c r="BA58" s="511">
        <f t="shared" si="91"/>
        <v>0</v>
      </c>
      <c r="BB58" s="173"/>
      <c r="FX58" s="3"/>
      <c r="FY58" s="3"/>
    </row>
    <row r="59" spans="2:181" s="3" customFormat="1">
      <c r="Y59" s="172"/>
      <c r="Z59" s="172"/>
      <c r="AA59" s="172"/>
      <c r="AB59" s="172"/>
    </row>
    <row r="60" spans="2:181" s="3" customFormat="1">
      <c r="Y60" s="172"/>
      <c r="Z60" s="172"/>
      <c r="AA60" s="172"/>
      <c r="AB60" s="172"/>
    </row>
    <row r="61" spans="2:181" s="3" customFormat="1">
      <c r="Y61" s="172"/>
      <c r="Z61" s="172"/>
      <c r="AA61" s="172"/>
      <c r="AB61" s="172"/>
    </row>
    <row r="62" spans="2:181" s="3" customFormat="1">
      <c r="Y62" s="172"/>
      <c r="Z62" s="172"/>
      <c r="AA62" s="172"/>
      <c r="AB62" s="172"/>
    </row>
    <row r="63" spans="2:181" s="3" customFormat="1">
      <c r="Y63" s="172"/>
      <c r="Z63" s="172"/>
      <c r="AA63" s="172"/>
      <c r="AB63" s="172"/>
    </row>
    <row r="64" spans="2:181" s="3" customFormat="1">
      <c r="Y64" s="172"/>
      <c r="Z64" s="172"/>
      <c r="AA64" s="172"/>
      <c r="AB64" s="172"/>
    </row>
    <row r="65" spans="25:28" s="3" customFormat="1">
      <c r="Y65" s="172"/>
      <c r="Z65" s="172"/>
      <c r="AA65" s="172"/>
      <c r="AB65" s="172"/>
    </row>
    <row r="66" spans="25:28" s="3" customFormat="1">
      <c r="Y66" s="172"/>
      <c r="Z66" s="172"/>
      <c r="AA66" s="172"/>
      <c r="AB66" s="172"/>
    </row>
    <row r="67" spans="25:28" s="3" customFormat="1">
      <c r="Y67" s="172"/>
      <c r="Z67" s="172"/>
      <c r="AA67" s="172"/>
      <c r="AB67" s="172"/>
    </row>
    <row r="68" spans="25:28" s="3" customFormat="1">
      <c r="Y68" s="172"/>
      <c r="Z68" s="172"/>
      <c r="AA68" s="172"/>
      <c r="AB68" s="172"/>
    </row>
    <row r="69" spans="25:28" s="3" customFormat="1">
      <c r="Y69" s="172"/>
      <c r="Z69" s="172"/>
      <c r="AA69" s="172"/>
      <c r="AB69" s="172"/>
    </row>
    <row r="70" spans="25:28" s="3" customFormat="1">
      <c r="Y70" s="172"/>
      <c r="Z70" s="172"/>
      <c r="AA70" s="172"/>
      <c r="AB70" s="172"/>
    </row>
    <row r="71" spans="25:28" s="3" customFormat="1">
      <c r="Y71" s="172"/>
      <c r="Z71" s="172"/>
      <c r="AA71" s="172"/>
      <c r="AB71" s="172"/>
    </row>
    <row r="72" spans="25:28" s="3" customFormat="1">
      <c r="Y72" s="172"/>
      <c r="Z72" s="172"/>
      <c r="AA72" s="172"/>
      <c r="AB72" s="172"/>
    </row>
    <row r="73" spans="25:28" s="3" customFormat="1">
      <c r="Y73" s="172"/>
      <c r="Z73" s="172"/>
      <c r="AA73" s="172"/>
      <c r="AB73" s="172"/>
    </row>
    <row r="74" spans="25:28" s="3" customFormat="1">
      <c r="Y74" s="172"/>
      <c r="Z74" s="172"/>
      <c r="AA74" s="172"/>
      <c r="AB74" s="172"/>
    </row>
    <row r="75" spans="25:28" s="3" customFormat="1">
      <c r="Y75" s="172"/>
      <c r="Z75" s="172"/>
      <c r="AA75" s="172"/>
      <c r="AB75" s="172"/>
    </row>
    <row r="76" spans="25:28" s="3" customFormat="1">
      <c r="Y76" s="172"/>
      <c r="Z76" s="172"/>
      <c r="AA76" s="172"/>
      <c r="AB76" s="172"/>
    </row>
    <row r="77" spans="25:28" s="3" customFormat="1">
      <c r="Y77" s="172"/>
      <c r="Z77" s="172"/>
      <c r="AA77" s="172"/>
      <c r="AB77" s="172"/>
    </row>
    <row r="78" spans="25:28" s="3" customFormat="1">
      <c r="Y78" s="172"/>
      <c r="Z78" s="172"/>
      <c r="AA78" s="172"/>
      <c r="AB78" s="172"/>
    </row>
    <row r="79" spans="25:28" s="3" customFormat="1">
      <c r="Y79" s="172"/>
      <c r="Z79" s="172"/>
      <c r="AA79" s="172"/>
      <c r="AB79" s="172"/>
    </row>
    <row r="80" spans="25:28" s="3" customFormat="1">
      <c r="Y80" s="172"/>
      <c r="Z80" s="172"/>
      <c r="AA80" s="172"/>
      <c r="AB80" s="172"/>
    </row>
    <row r="81" spans="25:28" s="3" customFormat="1">
      <c r="Y81" s="172"/>
      <c r="Z81" s="172"/>
      <c r="AA81" s="172"/>
      <c r="AB81" s="172"/>
    </row>
    <row r="82" spans="25:28" s="3" customFormat="1">
      <c r="Y82" s="172"/>
      <c r="Z82" s="172"/>
      <c r="AA82" s="172"/>
      <c r="AB82" s="172"/>
    </row>
    <row r="83" spans="25:28" s="3" customFormat="1">
      <c r="Y83" s="172"/>
      <c r="Z83" s="172"/>
      <c r="AA83" s="172"/>
      <c r="AB83" s="172"/>
    </row>
    <row r="84" spans="25:28" s="3" customFormat="1">
      <c r="Y84" s="172"/>
      <c r="Z84" s="172"/>
      <c r="AA84" s="172"/>
      <c r="AB84" s="172"/>
    </row>
    <row r="85" spans="25:28" s="3" customFormat="1">
      <c r="Y85" s="172"/>
      <c r="Z85" s="172"/>
      <c r="AA85" s="172"/>
      <c r="AB85" s="172"/>
    </row>
    <row r="86" spans="25:28" s="3" customFormat="1">
      <c r="Y86" s="172"/>
      <c r="Z86" s="172"/>
      <c r="AA86" s="172"/>
      <c r="AB86" s="172"/>
    </row>
    <row r="87" spans="25:28" s="3" customFormat="1">
      <c r="Y87" s="172"/>
      <c r="Z87" s="172"/>
      <c r="AA87" s="172"/>
      <c r="AB87" s="172"/>
    </row>
    <row r="88" spans="25:28" s="3" customFormat="1">
      <c r="Y88" s="172"/>
      <c r="Z88" s="172"/>
      <c r="AA88" s="172"/>
      <c r="AB88" s="172"/>
    </row>
    <row r="89" spans="25:28" s="3" customFormat="1">
      <c r="Y89" s="172"/>
      <c r="Z89" s="172"/>
      <c r="AA89" s="172"/>
      <c r="AB89" s="172"/>
    </row>
    <row r="90" spans="25:28" s="3" customFormat="1">
      <c r="Y90" s="172"/>
      <c r="Z90" s="172"/>
      <c r="AA90" s="172"/>
      <c r="AB90" s="172"/>
    </row>
    <row r="91" spans="25:28" s="3" customFormat="1">
      <c r="Y91" s="172"/>
      <c r="Z91" s="172"/>
      <c r="AA91" s="172"/>
      <c r="AB91" s="172"/>
    </row>
    <row r="92" spans="25:28" s="3" customFormat="1">
      <c r="Y92" s="172"/>
      <c r="Z92" s="172"/>
      <c r="AA92" s="172"/>
      <c r="AB92" s="172"/>
    </row>
    <row r="93" spans="25:28" s="3" customFormat="1">
      <c r="Y93" s="172"/>
      <c r="Z93" s="172"/>
      <c r="AA93" s="172"/>
      <c r="AB93" s="172"/>
    </row>
    <row r="94" spans="25:28" s="3" customFormat="1">
      <c r="Y94" s="172"/>
      <c r="Z94" s="172"/>
      <c r="AA94" s="172"/>
      <c r="AB94" s="172"/>
    </row>
    <row r="95" spans="25:28" s="3" customFormat="1">
      <c r="Y95" s="172"/>
      <c r="Z95" s="172"/>
      <c r="AA95" s="172"/>
      <c r="AB95" s="172"/>
    </row>
    <row r="96" spans="25:28" s="3" customFormat="1">
      <c r="Y96" s="172"/>
      <c r="Z96" s="172"/>
      <c r="AA96" s="172"/>
      <c r="AB96" s="172"/>
    </row>
    <row r="97" spans="25:28" s="3" customFormat="1">
      <c r="Y97" s="172"/>
      <c r="Z97" s="172"/>
      <c r="AA97" s="172"/>
      <c r="AB97" s="172"/>
    </row>
    <row r="98" spans="25:28" s="3" customFormat="1">
      <c r="Y98" s="172"/>
      <c r="Z98" s="172"/>
      <c r="AA98" s="172"/>
      <c r="AB98" s="172"/>
    </row>
    <row r="99" spans="25:28" s="3" customFormat="1">
      <c r="Y99" s="172"/>
      <c r="Z99" s="172"/>
      <c r="AA99" s="172"/>
      <c r="AB99" s="172"/>
    </row>
    <row r="100" spans="25:28" s="3" customFormat="1">
      <c r="Y100" s="172"/>
      <c r="Z100" s="172"/>
      <c r="AA100" s="172"/>
      <c r="AB100" s="172"/>
    </row>
    <row r="101" spans="25:28" s="3" customFormat="1">
      <c r="Y101" s="172"/>
      <c r="Z101" s="172"/>
      <c r="AA101" s="172"/>
      <c r="AB101" s="172"/>
    </row>
    <row r="102" spans="25:28" s="3" customFormat="1">
      <c r="Y102" s="172"/>
      <c r="Z102" s="172"/>
      <c r="AA102" s="172"/>
      <c r="AB102" s="172"/>
    </row>
    <row r="103" spans="25:28" s="3" customFormat="1">
      <c r="Y103" s="172"/>
      <c r="Z103" s="172"/>
      <c r="AA103" s="172"/>
      <c r="AB103" s="172"/>
    </row>
    <row r="104" spans="25:28" s="3" customFormat="1">
      <c r="Y104" s="172"/>
      <c r="Z104" s="172"/>
      <c r="AA104" s="172"/>
      <c r="AB104" s="172"/>
    </row>
    <row r="105" spans="25:28" s="3" customFormat="1">
      <c r="Y105" s="172"/>
      <c r="Z105" s="172"/>
      <c r="AA105" s="172"/>
      <c r="AB105" s="172"/>
    </row>
    <row r="106" spans="25:28" s="3" customFormat="1">
      <c r="Y106" s="172"/>
      <c r="Z106" s="172"/>
      <c r="AA106" s="172"/>
      <c r="AB106" s="172"/>
    </row>
    <row r="107" spans="25:28" s="3" customFormat="1">
      <c r="Y107" s="172"/>
      <c r="Z107" s="172"/>
      <c r="AA107" s="172"/>
      <c r="AB107" s="172"/>
    </row>
    <row r="108" spans="25:28" s="3" customFormat="1">
      <c r="Y108" s="172"/>
      <c r="Z108" s="172"/>
      <c r="AA108" s="172"/>
      <c r="AB108" s="172"/>
    </row>
    <row r="109" spans="25:28" s="3" customFormat="1">
      <c r="Y109" s="172"/>
      <c r="Z109" s="172"/>
      <c r="AA109" s="172"/>
      <c r="AB109" s="172"/>
    </row>
    <row r="110" spans="25:28" s="3" customFormat="1">
      <c r="Y110" s="172"/>
      <c r="Z110" s="172"/>
      <c r="AA110" s="172"/>
      <c r="AB110" s="172"/>
    </row>
    <row r="111" spans="25:28" s="3" customFormat="1">
      <c r="Y111" s="172"/>
      <c r="Z111" s="172"/>
      <c r="AA111" s="172"/>
      <c r="AB111" s="172"/>
    </row>
    <row r="112" spans="25:28" s="3" customFormat="1">
      <c r="Y112" s="172"/>
      <c r="Z112" s="172"/>
      <c r="AA112" s="172"/>
      <c r="AB112" s="172"/>
    </row>
    <row r="113" spans="25:28" s="3" customFormat="1">
      <c r="Y113" s="172"/>
      <c r="Z113" s="172"/>
      <c r="AA113" s="172"/>
      <c r="AB113" s="172"/>
    </row>
    <row r="114" spans="25:28" s="3" customFormat="1">
      <c r="Y114" s="172"/>
      <c r="Z114" s="172"/>
      <c r="AA114" s="172"/>
      <c r="AB114" s="172"/>
    </row>
    <row r="115" spans="25:28" s="3" customFormat="1">
      <c r="Y115" s="172"/>
      <c r="Z115" s="172"/>
      <c r="AA115" s="172"/>
      <c r="AB115" s="172"/>
    </row>
    <row r="116" spans="25:28" s="3" customFormat="1">
      <c r="Y116" s="172"/>
      <c r="Z116" s="172"/>
      <c r="AA116" s="172"/>
      <c r="AB116" s="172"/>
    </row>
    <row r="117" spans="25:28" s="3" customFormat="1">
      <c r="Y117" s="172"/>
      <c r="Z117" s="172"/>
      <c r="AA117" s="172"/>
      <c r="AB117" s="172"/>
    </row>
    <row r="118" spans="25:28" s="3" customFormat="1">
      <c r="Y118" s="172"/>
      <c r="Z118" s="172"/>
      <c r="AA118" s="172"/>
      <c r="AB118" s="172"/>
    </row>
    <row r="119" spans="25:28" s="3" customFormat="1">
      <c r="Y119" s="172"/>
      <c r="Z119" s="172"/>
      <c r="AA119" s="172"/>
      <c r="AB119" s="172"/>
    </row>
    <row r="120" spans="25:28" s="3" customFormat="1">
      <c r="Y120" s="172"/>
      <c r="Z120" s="172"/>
      <c r="AA120" s="172"/>
      <c r="AB120" s="172"/>
    </row>
    <row r="121" spans="25:28" s="3" customFormat="1">
      <c r="Y121" s="172"/>
      <c r="Z121" s="172"/>
      <c r="AA121" s="172"/>
      <c r="AB121" s="172"/>
    </row>
    <row r="122" spans="25:28" s="3" customFormat="1">
      <c r="Y122" s="172"/>
      <c r="Z122" s="172"/>
      <c r="AA122" s="172"/>
      <c r="AB122" s="172"/>
    </row>
    <row r="123" spans="25:28" s="3" customFormat="1">
      <c r="Y123" s="172"/>
      <c r="Z123" s="172"/>
      <c r="AA123" s="172"/>
      <c r="AB123" s="172"/>
    </row>
    <row r="124" spans="25:28" s="3" customFormat="1">
      <c r="Y124" s="172"/>
      <c r="Z124" s="172"/>
      <c r="AA124" s="172"/>
      <c r="AB124" s="172"/>
    </row>
    <row r="125" spans="25:28" s="3" customFormat="1">
      <c r="Y125" s="172"/>
      <c r="Z125" s="172"/>
      <c r="AA125" s="172"/>
      <c r="AB125" s="172"/>
    </row>
    <row r="126" spans="25:28" s="3" customFormat="1">
      <c r="Y126" s="172"/>
      <c r="Z126" s="172"/>
      <c r="AA126" s="172"/>
      <c r="AB126" s="172"/>
    </row>
    <row r="127" spans="25:28" s="3" customFormat="1">
      <c r="Y127" s="172"/>
      <c r="Z127" s="172"/>
      <c r="AA127" s="172"/>
      <c r="AB127" s="172"/>
    </row>
    <row r="128" spans="25:28" s="3" customFormat="1">
      <c r="Y128" s="172"/>
      <c r="Z128" s="172"/>
      <c r="AA128" s="172"/>
      <c r="AB128" s="172"/>
    </row>
    <row r="129" spans="25:28" s="3" customFormat="1">
      <c r="Y129" s="172"/>
      <c r="Z129" s="172"/>
      <c r="AA129" s="172"/>
      <c r="AB129" s="172"/>
    </row>
    <row r="130" spans="25:28" s="3" customFormat="1">
      <c r="Y130" s="172"/>
      <c r="Z130" s="172"/>
      <c r="AA130" s="172"/>
      <c r="AB130" s="172"/>
    </row>
    <row r="131" spans="25:28" s="3" customFormat="1">
      <c r="Y131" s="172"/>
      <c r="Z131" s="172"/>
      <c r="AA131" s="172"/>
      <c r="AB131" s="172"/>
    </row>
    <row r="132" spans="25:28" s="3" customFormat="1">
      <c r="Y132" s="172"/>
      <c r="Z132" s="172"/>
      <c r="AA132" s="172"/>
      <c r="AB132" s="172"/>
    </row>
    <row r="133" spans="25:28" s="3" customFormat="1">
      <c r="Y133" s="172"/>
      <c r="Z133" s="172"/>
      <c r="AA133" s="172"/>
      <c r="AB133" s="172"/>
    </row>
    <row r="134" spans="25:28" s="3" customFormat="1">
      <c r="Y134" s="172"/>
      <c r="Z134" s="172"/>
      <c r="AA134" s="172"/>
      <c r="AB134" s="172"/>
    </row>
    <row r="135" spans="25:28" s="3" customFormat="1">
      <c r="Y135" s="172"/>
      <c r="Z135" s="172"/>
      <c r="AA135" s="172"/>
      <c r="AB135" s="172"/>
    </row>
    <row r="136" spans="25:28" s="3" customFormat="1">
      <c r="Y136" s="172"/>
      <c r="Z136" s="172"/>
      <c r="AA136" s="172"/>
      <c r="AB136" s="172"/>
    </row>
    <row r="137" spans="25:28" s="3" customFormat="1">
      <c r="Y137" s="172"/>
      <c r="Z137" s="172"/>
      <c r="AA137" s="172"/>
      <c r="AB137" s="172"/>
    </row>
    <row r="138" spans="25:28" s="3" customFormat="1">
      <c r="Y138" s="172"/>
      <c r="Z138" s="172"/>
      <c r="AA138" s="172"/>
      <c r="AB138" s="172"/>
    </row>
    <row r="139" spans="25:28" s="3" customFormat="1">
      <c r="Y139" s="172"/>
      <c r="Z139" s="172"/>
      <c r="AA139" s="172"/>
      <c r="AB139" s="172"/>
    </row>
    <row r="140" spans="25:28" s="3" customFormat="1">
      <c r="Y140" s="172"/>
      <c r="Z140" s="172"/>
      <c r="AA140" s="172"/>
      <c r="AB140" s="172"/>
    </row>
    <row r="141" spans="25:28" s="3" customFormat="1">
      <c r="Y141" s="172"/>
      <c r="Z141" s="172"/>
      <c r="AA141" s="172"/>
      <c r="AB141" s="172"/>
    </row>
    <row r="142" spans="25:28" s="3" customFormat="1">
      <c r="Y142" s="172"/>
      <c r="Z142" s="172"/>
      <c r="AA142" s="172"/>
      <c r="AB142" s="172"/>
    </row>
    <row r="143" spans="25:28" s="3" customFormat="1">
      <c r="Y143" s="172"/>
      <c r="Z143" s="172"/>
      <c r="AA143" s="172"/>
      <c r="AB143" s="172"/>
    </row>
    <row r="144" spans="25:28" s="3" customFormat="1">
      <c r="Y144" s="172"/>
      <c r="Z144" s="172"/>
      <c r="AA144" s="172"/>
      <c r="AB144" s="172"/>
    </row>
    <row r="145" spans="25:28" s="3" customFormat="1">
      <c r="Y145" s="172"/>
      <c r="Z145" s="172"/>
      <c r="AA145" s="172"/>
      <c r="AB145" s="172"/>
    </row>
    <row r="146" spans="25:28" s="3" customFormat="1">
      <c r="Y146" s="172"/>
      <c r="Z146" s="172"/>
      <c r="AA146" s="172"/>
      <c r="AB146" s="172"/>
    </row>
    <row r="147" spans="25:28" s="3" customFormat="1">
      <c r="Y147" s="172"/>
      <c r="Z147" s="172"/>
      <c r="AA147" s="172"/>
      <c r="AB147" s="172"/>
    </row>
    <row r="148" spans="25:28" s="3" customFormat="1">
      <c r="Y148" s="172"/>
      <c r="Z148" s="172"/>
      <c r="AA148" s="172"/>
      <c r="AB148" s="172"/>
    </row>
    <row r="149" spans="25:28" s="3" customFormat="1">
      <c r="Y149" s="172"/>
      <c r="Z149" s="172"/>
      <c r="AA149" s="172"/>
      <c r="AB149" s="172"/>
    </row>
    <row r="150" spans="25:28" s="3" customFormat="1">
      <c r="Y150" s="172"/>
      <c r="Z150" s="172"/>
      <c r="AA150" s="172"/>
      <c r="AB150" s="172"/>
    </row>
    <row r="151" spans="25:28" s="3" customFormat="1">
      <c r="Y151" s="172"/>
      <c r="Z151" s="172"/>
      <c r="AA151" s="172"/>
      <c r="AB151" s="172"/>
    </row>
    <row r="152" spans="25:28" s="3" customFormat="1">
      <c r="Y152" s="172"/>
      <c r="Z152" s="172"/>
      <c r="AA152" s="172"/>
      <c r="AB152" s="172"/>
    </row>
    <row r="153" spans="25:28" s="3" customFormat="1">
      <c r="Y153" s="172"/>
      <c r="Z153" s="172"/>
      <c r="AA153" s="172"/>
      <c r="AB153" s="172"/>
    </row>
    <row r="154" spans="25:28" s="3" customFormat="1">
      <c r="Y154" s="172"/>
      <c r="Z154" s="172"/>
      <c r="AA154" s="172"/>
      <c r="AB154" s="172"/>
    </row>
    <row r="155" spans="25:28" s="3" customFormat="1">
      <c r="Y155" s="172"/>
      <c r="Z155" s="172"/>
      <c r="AA155" s="172"/>
      <c r="AB155" s="172"/>
    </row>
    <row r="156" spans="25:28" s="3" customFormat="1">
      <c r="Y156" s="172"/>
      <c r="Z156" s="172"/>
      <c r="AA156" s="172"/>
      <c r="AB156" s="172"/>
    </row>
    <row r="157" spans="25:28" s="3" customFormat="1">
      <c r="Y157" s="172"/>
      <c r="Z157" s="172"/>
      <c r="AA157" s="172"/>
      <c r="AB157" s="172"/>
    </row>
    <row r="158" spans="25:28" s="3" customFormat="1">
      <c r="Y158" s="172"/>
      <c r="Z158" s="172"/>
      <c r="AA158" s="172"/>
      <c r="AB158" s="172"/>
    </row>
    <row r="159" spans="25:28" s="3" customFormat="1">
      <c r="Y159" s="172"/>
      <c r="Z159" s="172"/>
      <c r="AA159" s="172"/>
      <c r="AB159" s="172"/>
    </row>
    <row r="160" spans="25:28" s="3" customFormat="1">
      <c r="Y160" s="172"/>
      <c r="Z160" s="172"/>
      <c r="AA160" s="172"/>
      <c r="AB160" s="172"/>
    </row>
    <row r="161" spans="25:28" s="3" customFormat="1">
      <c r="Y161" s="172"/>
      <c r="Z161" s="172"/>
      <c r="AA161" s="172"/>
      <c r="AB161" s="172"/>
    </row>
    <row r="162" spans="25:28" s="3" customFormat="1">
      <c r="Y162" s="172"/>
      <c r="Z162" s="172"/>
      <c r="AA162" s="172"/>
      <c r="AB162" s="172"/>
    </row>
    <row r="163" spans="25:28" s="3" customFormat="1">
      <c r="Y163" s="172"/>
      <c r="Z163" s="172"/>
      <c r="AA163" s="172"/>
      <c r="AB163" s="172"/>
    </row>
    <row r="164" spans="25:28" s="3" customFormat="1">
      <c r="Y164" s="172"/>
      <c r="Z164" s="172"/>
      <c r="AA164" s="172"/>
      <c r="AB164" s="172"/>
    </row>
    <row r="165" spans="25:28" s="3" customFormat="1">
      <c r="Y165" s="172"/>
      <c r="Z165" s="172"/>
      <c r="AA165" s="172"/>
      <c r="AB165" s="172"/>
    </row>
    <row r="166" spans="25:28" s="3" customFormat="1">
      <c r="Y166" s="172"/>
      <c r="Z166" s="172"/>
      <c r="AA166" s="172"/>
      <c r="AB166" s="172"/>
    </row>
    <row r="167" spans="25:28" s="3" customFormat="1">
      <c r="Y167" s="172"/>
      <c r="Z167" s="172"/>
      <c r="AA167" s="172"/>
      <c r="AB167" s="172"/>
    </row>
    <row r="168" spans="25:28" s="3" customFormat="1">
      <c r="Y168" s="172"/>
      <c r="Z168" s="172"/>
      <c r="AA168" s="172"/>
      <c r="AB168" s="172"/>
    </row>
    <row r="169" spans="25:28" s="3" customFormat="1">
      <c r="Y169" s="172"/>
      <c r="Z169" s="172"/>
      <c r="AA169" s="172"/>
      <c r="AB169" s="172"/>
    </row>
    <row r="170" spans="25:28" s="3" customFormat="1">
      <c r="Y170" s="172"/>
      <c r="Z170" s="172"/>
      <c r="AA170" s="172"/>
      <c r="AB170" s="172"/>
    </row>
    <row r="171" spans="25:28" s="3" customFormat="1">
      <c r="Y171" s="172"/>
      <c r="Z171" s="172"/>
      <c r="AA171" s="172"/>
      <c r="AB171" s="172"/>
    </row>
    <row r="172" spans="25:28" s="3" customFormat="1">
      <c r="Y172" s="172"/>
      <c r="Z172" s="172"/>
      <c r="AA172" s="172"/>
      <c r="AB172" s="172"/>
    </row>
    <row r="173" spans="25:28" s="3" customFormat="1">
      <c r="Y173" s="172"/>
      <c r="Z173" s="172"/>
      <c r="AA173" s="172"/>
      <c r="AB173" s="172"/>
    </row>
    <row r="174" spans="25:28" s="3" customFormat="1">
      <c r="Y174" s="172"/>
      <c r="Z174" s="172"/>
      <c r="AA174" s="172"/>
      <c r="AB174" s="172"/>
    </row>
    <row r="175" spans="25:28" s="3" customFormat="1">
      <c r="Y175" s="172"/>
      <c r="Z175" s="172"/>
      <c r="AA175" s="172"/>
      <c r="AB175" s="172"/>
    </row>
    <row r="176" spans="25:28" s="3" customFormat="1">
      <c r="Y176" s="172"/>
      <c r="Z176" s="172"/>
      <c r="AA176" s="172"/>
      <c r="AB176" s="172"/>
    </row>
    <row r="177" spans="25:28" s="3" customFormat="1">
      <c r="Y177" s="172"/>
      <c r="Z177" s="172"/>
      <c r="AA177" s="172"/>
      <c r="AB177" s="172"/>
    </row>
    <row r="178" spans="25:28" s="3" customFormat="1">
      <c r="Y178" s="172"/>
      <c r="Z178" s="172"/>
      <c r="AA178" s="172"/>
      <c r="AB178" s="172"/>
    </row>
    <row r="179" spans="25:28" s="3" customFormat="1">
      <c r="Y179" s="172"/>
      <c r="Z179" s="172"/>
      <c r="AA179" s="172"/>
      <c r="AB179" s="172"/>
    </row>
    <row r="180" spans="25:28" s="3" customFormat="1">
      <c r="Y180" s="172"/>
      <c r="Z180" s="172"/>
      <c r="AA180" s="172"/>
      <c r="AB180" s="172"/>
    </row>
    <row r="181" spans="25:28" s="3" customFormat="1">
      <c r="Y181" s="172"/>
      <c r="Z181" s="172"/>
      <c r="AA181" s="172"/>
      <c r="AB181" s="172"/>
    </row>
    <row r="182" spans="25:28" s="3" customFormat="1">
      <c r="Y182" s="172"/>
      <c r="Z182" s="172"/>
      <c r="AA182" s="172"/>
      <c r="AB182" s="172"/>
    </row>
    <row r="183" spans="25:28" s="3" customFormat="1">
      <c r="Y183" s="172"/>
      <c r="Z183" s="172"/>
      <c r="AA183" s="172"/>
      <c r="AB183" s="172"/>
    </row>
    <row r="184" spans="25:28" s="3" customFormat="1">
      <c r="Y184" s="172"/>
      <c r="Z184" s="172"/>
      <c r="AA184" s="172"/>
      <c r="AB184" s="172"/>
    </row>
    <row r="185" spans="25:28" s="3" customFormat="1">
      <c r="Y185" s="172"/>
      <c r="Z185" s="172"/>
      <c r="AA185" s="172"/>
      <c r="AB185" s="172"/>
    </row>
    <row r="186" spans="25:28" s="3" customFormat="1">
      <c r="Y186" s="172"/>
      <c r="Z186" s="172"/>
      <c r="AA186" s="172"/>
      <c r="AB186" s="172"/>
    </row>
    <row r="187" spans="25:28" s="3" customFormat="1">
      <c r="Y187" s="172"/>
      <c r="Z187" s="172"/>
      <c r="AA187" s="172"/>
      <c r="AB187" s="172"/>
    </row>
    <row r="188" spans="25:28" s="3" customFormat="1">
      <c r="Y188" s="172"/>
      <c r="Z188" s="172"/>
      <c r="AA188" s="172"/>
      <c r="AB188" s="172"/>
    </row>
    <row r="189" spans="25:28" s="3" customFormat="1">
      <c r="Y189" s="172"/>
      <c r="Z189" s="172"/>
      <c r="AA189" s="172"/>
      <c r="AB189" s="172"/>
    </row>
    <row r="190" spans="25:28" s="3" customFormat="1">
      <c r="Y190" s="172"/>
      <c r="Z190" s="172"/>
      <c r="AA190" s="172"/>
      <c r="AB190" s="172"/>
    </row>
    <row r="191" spans="25:28" s="3" customFormat="1">
      <c r="Y191" s="172"/>
      <c r="Z191" s="172"/>
      <c r="AA191" s="172"/>
      <c r="AB191" s="172"/>
    </row>
    <row r="192" spans="25:28" s="3" customFormat="1">
      <c r="Y192" s="172"/>
      <c r="Z192" s="172"/>
      <c r="AA192" s="172"/>
      <c r="AB192" s="172"/>
    </row>
    <row r="193" spans="25:28" s="3" customFormat="1">
      <c r="Y193" s="172"/>
      <c r="Z193" s="172"/>
      <c r="AA193" s="172"/>
      <c r="AB193" s="172"/>
    </row>
    <row r="194" spans="25:28" s="3" customFormat="1">
      <c r="Y194" s="172"/>
      <c r="Z194" s="172"/>
      <c r="AA194" s="172"/>
      <c r="AB194" s="172"/>
    </row>
    <row r="195" spans="25:28" s="3" customFormat="1">
      <c r="Y195" s="172"/>
      <c r="Z195" s="172"/>
      <c r="AA195" s="172"/>
      <c r="AB195" s="172"/>
    </row>
    <row r="196" spans="25:28" s="3" customFormat="1">
      <c r="Y196" s="172"/>
      <c r="Z196" s="172"/>
      <c r="AA196" s="172"/>
      <c r="AB196" s="172"/>
    </row>
    <row r="197" spans="25:28" s="3" customFormat="1">
      <c r="Y197" s="172"/>
      <c r="Z197" s="172"/>
      <c r="AA197" s="172"/>
      <c r="AB197" s="172"/>
    </row>
    <row r="198" spans="25:28" s="3" customFormat="1">
      <c r="Y198" s="172"/>
      <c r="Z198" s="172"/>
      <c r="AA198" s="172"/>
      <c r="AB198" s="172"/>
    </row>
    <row r="199" spans="25:28" s="3" customFormat="1">
      <c r="Y199" s="172"/>
      <c r="Z199" s="172"/>
      <c r="AA199" s="172"/>
      <c r="AB199" s="172"/>
    </row>
    <row r="200" spans="25:28" s="3" customFormat="1">
      <c r="Y200" s="172"/>
      <c r="Z200" s="172"/>
      <c r="AA200" s="172"/>
      <c r="AB200" s="172"/>
    </row>
    <row r="201" spans="25:28" s="3" customFormat="1">
      <c r="Y201" s="172"/>
      <c r="Z201" s="172"/>
      <c r="AA201" s="172"/>
      <c r="AB201" s="172"/>
    </row>
    <row r="202" spans="25:28" s="3" customFormat="1">
      <c r="Y202" s="172"/>
      <c r="Z202" s="172"/>
      <c r="AA202" s="172"/>
      <c r="AB202" s="172"/>
    </row>
    <row r="203" spans="25:28" s="3" customFormat="1">
      <c r="Y203" s="172"/>
      <c r="Z203" s="172"/>
      <c r="AA203" s="172"/>
      <c r="AB203" s="172"/>
    </row>
    <row r="204" spans="25:28" s="3" customFormat="1">
      <c r="Y204" s="172"/>
      <c r="Z204" s="172"/>
      <c r="AA204" s="172"/>
      <c r="AB204" s="172"/>
    </row>
    <row r="205" spans="25:28" s="3" customFormat="1">
      <c r="Y205" s="172"/>
      <c r="Z205" s="172"/>
      <c r="AA205" s="172"/>
      <c r="AB205" s="172"/>
    </row>
    <row r="206" spans="25:28" s="3" customFormat="1">
      <c r="Y206" s="172"/>
      <c r="Z206" s="172"/>
      <c r="AA206" s="172"/>
      <c r="AB206" s="172"/>
    </row>
    <row r="207" spans="25:28" s="3" customFormat="1">
      <c r="Y207" s="172"/>
      <c r="Z207" s="172"/>
      <c r="AA207" s="172"/>
      <c r="AB207" s="172"/>
    </row>
    <row r="208" spans="25:28" s="3" customFormat="1">
      <c r="Y208" s="172"/>
      <c r="Z208" s="172"/>
      <c r="AA208" s="172"/>
      <c r="AB208" s="172"/>
    </row>
    <row r="209" spans="25:28" s="3" customFormat="1">
      <c r="Y209" s="172"/>
      <c r="Z209" s="172"/>
      <c r="AA209" s="172"/>
      <c r="AB209" s="172"/>
    </row>
    <row r="210" spans="25:28" s="3" customFormat="1">
      <c r="Y210" s="172"/>
      <c r="Z210" s="172"/>
      <c r="AA210" s="172"/>
      <c r="AB210" s="172"/>
    </row>
    <row r="211" spans="25:28" s="3" customFormat="1">
      <c r="Y211" s="172"/>
      <c r="Z211" s="172"/>
      <c r="AA211" s="172"/>
      <c r="AB211" s="172"/>
    </row>
    <row r="212" spans="25:28" s="3" customFormat="1">
      <c r="Y212" s="172"/>
      <c r="Z212" s="172"/>
      <c r="AA212" s="172"/>
      <c r="AB212" s="172"/>
    </row>
    <row r="213" spans="25:28" s="3" customFormat="1">
      <c r="Y213" s="172"/>
      <c r="Z213" s="172"/>
      <c r="AA213" s="172"/>
      <c r="AB213" s="172"/>
    </row>
    <row r="214" spans="25:28" s="3" customFormat="1">
      <c r="Y214" s="172"/>
      <c r="Z214" s="172"/>
      <c r="AA214" s="172"/>
      <c r="AB214" s="172"/>
    </row>
    <row r="215" spans="25:28" s="3" customFormat="1">
      <c r="Y215" s="172"/>
      <c r="Z215" s="172"/>
      <c r="AA215" s="172"/>
      <c r="AB215" s="172"/>
    </row>
    <row r="216" spans="25:28" s="3" customFormat="1">
      <c r="Y216" s="172"/>
      <c r="Z216" s="172"/>
      <c r="AA216" s="172"/>
      <c r="AB216" s="172"/>
    </row>
    <row r="217" spans="25:28" s="3" customFormat="1">
      <c r="Y217" s="172"/>
      <c r="Z217" s="172"/>
      <c r="AA217" s="172"/>
      <c r="AB217" s="172"/>
    </row>
    <row r="218" spans="25:28" s="3" customFormat="1">
      <c r="Y218" s="172"/>
      <c r="Z218" s="172"/>
      <c r="AA218" s="172"/>
      <c r="AB218" s="172"/>
    </row>
    <row r="219" spans="25:28" s="3" customFormat="1">
      <c r="Y219" s="172"/>
      <c r="Z219" s="172"/>
      <c r="AA219" s="172"/>
      <c r="AB219" s="172"/>
    </row>
    <row r="220" spans="25:28" s="3" customFormat="1">
      <c r="Y220" s="172"/>
      <c r="Z220" s="172"/>
      <c r="AA220" s="172"/>
      <c r="AB220" s="172"/>
    </row>
    <row r="221" spans="25:28" s="3" customFormat="1">
      <c r="Y221" s="172"/>
      <c r="Z221" s="172"/>
      <c r="AA221" s="172"/>
      <c r="AB221" s="172"/>
    </row>
    <row r="222" spans="25:28" s="3" customFormat="1">
      <c r="Y222" s="172"/>
      <c r="Z222" s="172"/>
      <c r="AA222" s="172"/>
      <c r="AB222" s="172"/>
    </row>
    <row r="223" spans="25:28" s="3" customFormat="1">
      <c r="Y223" s="172"/>
      <c r="Z223" s="172"/>
      <c r="AA223" s="172"/>
      <c r="AB223" s="172"/>
    </row>
    <row r="224" spans="25:28" s="3" customFormat="1">
      <c r="Y224" s="172"/>
      <c r="Z224" s="172"/>
      <c r="AA224" s="172"/>
      <c r="AB224" s="172"/>
    </row>
    <row r="225" spans="25:28" s="3" customFormat="1">
      <c r="Y225" s="172"/>
      <c r="Z225" s="172"/>
      <c r="AA225" s="172"/>
      <c r="AB225" s="172"/>
    </row>
    <row r="226" spans="25:28" s="3" customFormat="1">
      <c r="Y226" s="172"/>
      <c r="Z226" s="172"/>
      <c r="AA226" s="172"/>
      <c r="AB226" s="172"/>
    </row>
    <row r="227" spans="25:28" s="3" customFormat="1">
      <c r="Y227" s="172"/>
      <c r="Z227" s="172"/>
      <c r="AA227" s="172"/>
      <c r="AB227" s="172"/>
    </row>
    <row r="228" spans="25:28" s="3" customFormat="1">
      <c r="Y228" s="172"/>
      <c r="Z228" s="172"/>
      <c r="AA228" s="172"/>
      <c r="AB228" s="172"/>
    </row>
    <row r="229" spans="25:28" s="3" customFormat="1">
      <c r="Y229" s="172"/>
      <c r="Z229" s="172"/>
      <c r="AA229" s="172"/>
      <c r="AB229" s="172"/>
    </row>
    <row r="230" spans="25:28" s="3" customFormat="1">
      <c r="Y230" s="172"/>
      <c r="Z230" s="172"/>
      <c r="AA230" s="172"/>
      <c r="AB230" s="172"/>
    </row>
    <row r="231" spans="25:28" s="3" customFormat="1">
      <c r="Y231" s="172"/>
      <c r="Z231" s="172"/>
      <c r="AA231" s="172"/>
      <c r="AB231" s="172"/>
    </row>
    <row r="232" spans="25:28" s="3" customFormat="1">
      <c r="Y232" s="172"/>
      <c r="Z232" s="172"/>
      <c r="AA232" s="172"/>
      <c r="AB232" s="172"/>
    </row>
    <row r="233" spans="25:28" s="3" customFormat="1">
      <c r="Y233" s="172"/>
      <c r="Z233" s="172"/>
      <c r="AA233" s="172"/>
      <c r="AB233" s="172"/>
    </row>
    <row r="234" spans="25:28" s="3" customFormat="1">
      <c r="Y234" s="172"/>
      <c r="Z234" s="172"/>
      <c r="AA234" s="172"/>
      <c r="AB234" s="172"/>
    </row>
    <row r="235" spans="25:28" s="3" customFormat="1">
      <c r="Y235" s="172"/>
      <c r="Z235" s="172"/>
      <c r="AA235" s="172"/>
      <c r="AB235" s="172"/>
    </row>
    <row r="236" spans="25:28" s="3" customFormat="1">
      <c r="Y236" s="172"/>
      <c r="Z236" s="172"/>
      <c r="AA236" s="172"/>
      <c r="AB236" s="172"/>
    </row>
    <row r="237" spans="25:28" s="3" customFormat="1">
      <c r="Y237" s="172"/>
      <c r="Z237" s="172"/>
      <c r="AA237" s="172"/>
      <c r="AB237" s="172"/>
    </row>
    <row r="238" spans="25:28" s="3" customFormat="1">
      <c r="Y238" s="172"/>
      <c r="Z238" s="172"/>
      <c r="AA238" s="172"/>
      <c r="AB238" s="172"/>
    </row>
    <row r="239" spans="25:28" s="3" customFormat="1">
      <c r="Y239" s="172"/>
      <c r="Z239" s="172"/>
      <c r="AA239" s="172"/>
      <c r="AB239" s="172"/>
    </row>
    <row r="240" spans="25:28" s="3" customFormat="1">
      <c r="Y240" s="172"/>
      <c r="Z240" s="172"/>
      <c r="AA240" s="172"/>
      <c r="AB240" s="172"/>
    </row>
    <row r="241" spans="25:28" s="3" customFormat="1">
      <c r="Y241" s="172"/>
      <c r="Z241" s="172"/>
      <c r="AA241" s="172"/>
      <c r="AB241" s="172"/>
    </row>
    <row r="242" spans="25:28" s="3" customFormat="1">
      <c r="Y242" s="172"/>
      <c r="Z242" s="172"/>
      <c r="AA242" s="172"/>
      <c r="AB242" s="172"/>
    </row>
    <row r="243" spans="25:28" s="3" customFormat="1">
      <c r="Y243" s="172"/>
      <c r="Z243" s="172"/>
      <c r="AA243" s="172"/>
      <c r="AB243" s="172"/>
    </row>
    <row r="244" spans="25:28" s="3" customFormat="1">
      <c r="Y244" s="172"/>
      <c r="Z244" s="172"/>
      <c r="AA244" s="172"/>
      <c r="AB244" s="172"/>
    </row>
    <row r="245" spans="25:28" s="3" customFormat="1">
      <c r="Y245" s="172"/>
      <c r="Z245" s="172"/>
      <c r="AA245" s="172"/>
      <c r="AB245" s="172"/>
    </row>
    <row r="246" spans="25:28" s="3" customFormat="1">
      <c r="Y246" s="172"/>
      <c r="Z246" s="172"/>
      <c r="AA246" s="172"/>
      <c r="AB246" s="172"/>
    </row>
    <row r="247" spans="25:28" s="3" customFormat="1">
      <c r="Y247" s="172"/>
      <c r="Z247" s="172"/>
      <c r="AA247" s="172"/>
      <c r="AB247" s="172"/>
    </row>
    <row r="248" spans="25:28" s="3" customFormat="1">
      <c r="Y248" s="172"/>
      <c r="Z248" s="172"/>
      <c r="AA248" s="172"/>
      <c r="AB248" s="172"/>
    </row>
    <row r="249" spans="25:28" s="3" customFormat="1">
      <c r="Y249" s="172"/>
      <c r="Z249" s="172"/>
      <c r="AA249" s="172"/>
      <c r="AB249" s="172"/>
    </row>
    <row r="250" spans="25:28" s="3" customFormat="1">
      <c r="Y250" s="172"/>
      <c r="Z250" s="172"/>
      <c r="AA250" s="172"/>
      <c r="AB250" s="172"/>
    </row>
    <row r="251" spans="25:28" s="3" customFormat="1">
      <c r="Y251" s="172"/>
      <c r="Z251" s="172"/>
      <c r="AA251" s="172"/>
      <c r="AB251" s="172"/>
    </row>
    <row r="252" spans="25:28" s="3" customFormat="1">
      <c r="Y252" s="172"/>
      <c r="Z252" s="172"/>
      <c r="AA252" s="172"/>
      <c r="AB252" s="172"/>
    </row>
    <row r="253" spans="25:28" s="3" customFormat="1">
      <c r="Y253" s="172"/>
      <c r="Z253" s="172"/>
      <c r="AA253" s="172"/>
      <c r="AB253" s="172"/>
    </row>
    <row r="254" spans="25:28" s="3" customFormat="1">
      <c r="Y254" s="172"/>
      <c r="Z254" s="172"/>
      <c r="AA254" s="172"/>
      <c r="AB254" s="172"/>
    </row>
    <row r="255" spans="25:28" s="3" customFormat="1">
      <c r="Y255" s="172"/>
      <c r="Z255" s="172"/>
      <c r="AA255" s="172"/>
      <c r="AB255" s="172"/>
    </row>
    <row r="256" spans="25:28" s="3" customFormat="1">
      <c r="Y256" s="172"/>
      <c r="Z256" s="172"/>
      <c r="AA256" s="172"/>
      <c r="AB256" s="172"/>
    </row>
    <row r="257" spans="25:28" s="3" customFormat="1">
      <c r="Y257" s="172"/>
      <c r="Z257" s="172"/>
      <c r="AA257" s="172"/>
      <c r="AB257" s="172"/>
    </row>
    <row r="258" spans="25:28" s="3" customFormat="1">
      <c r="Y258" s="172"/>
      <c r="Z258" s="172"/>
      <c r="AA258" s="172"/>
      <c r="AB258" s="172"/>
    </row>
    <row r="259" spans="25:28" s="3" customFormat="1">
      <c r="Y259" s="172"/>
      <c r="Z259" s="172"/>
      <c r="AA259" s="172"/>
      <c r="AB259" s="172"/>
    </row>
    <row r="260" spans="25:28" s="3" customFormat="1">
      <c r="Y260" s="172"/>
      <c r="Z260" s="172"/>
      <c r="AA260" s="172"/>
      <c r="AB260" s="172"/>
    </row>
    <row r="261" spans="25:28" s="3" customFormat="1">
      <c r="Y261" s="172"/>
      <c r="Z261" s="172"/>
      <c r="AA261" s="172"/>
      <c r="AB261" s="172"/>
    </row>
    <row r="262" spans="25:28" s="3" customFormat="1">
      <c r="Y262" s="172"/>
      <c r="Z262" s="172"/>
      <c r="AA262" s="172"/>
      <c r="AB262" s="172"/>
    </row>
    <row r="263" spans="25:28" s="3" customFormat="1">
      <c r="Y263" s="172"/>
      <c r="Z263" s="172"/>
      <c r="AA263" s="172"/>
      <c r="AB263" s="172"/>
    </row>
    <row r="264" spans="25:28" s="3" customFormat="1">
      <c r="Y264" s="172"/>
      <c r="Z264" s="172"/>
      <c r="AA264" s="172"/>
      <c r="AB264" s="172"/>
    </row>
    <row r="265" spans="25:28" s="3" customFormat="1">
      <c r="Y265" s="172"/>
      <c r="Z265" s="172"/>
      <c r="AA265" s="172"/>
      <c r="AB265" s="172"/>
    </row>
    <row r="266" spans="25:28" s="3" customFormat="1">
      <c r="Y266" s="172"/>
      <c r="Z266" s="172"/>
      <c r="AA266" s="172"/>
      <c r="AB266" s="172"/>
    </row>
    <row r="267" spans="25:28" s="3" customFormat="1">
      <c r="Y267" s="172"/>
      <c r="Z267" s="172"/>
      <c r="AA267" s="172"/>
      <c r="AB267" s="172"/>
    </row>
    <row r="268" spans="25:28" s="3" customFormat="1">
      <c r="Y268" s="172"/>
      <c r="Z268" s="172"/>
      <c r="AA268" s="172"/>
      <c r="AB268" s="172"/>
    </row>
    <row r="269" spans="25:28" s="3" customFormat="1">
      <c r="Y269" s="172"/>
      <c r="Z269" s="172"/>
      <c r="AA269" s="172"/>
      <c r="AB269" s="172"/>
    </row>
    <row r="270" spans="25:28" s="3" customFormat="1">
      <c r="Y270" s="172"/>
      <c r="Z270" s="172"/>
      <c r="AA270" s="172"/>
      <c r="AB270" s="172"/>
    </row>
    <row r="271" spans="25:28" s="3" customFormat="1">
      <c r="Y271" s="172"/>
      <c r="Z271" s="172"/>
      <c r="AA271" s="172"/>
      <c r="AB271" s="172"/>
    </row>
    <row r="272" spans="25:28" s="3" customFormat="1">
      <c r="Y272" s="172"/>
      <c r="Z272" s="172"/>
      <c r="AA272" s="172"/>
      <c r="AB272" s="172"/>
    </row>
    <row r="273" spans="25:28" s="3" customFormat="1">
      <c r="Y273" s="172"/>
      <c r="Z273" s="172"/>
      <c r="AA273" s="172"/>
      <c r="AB273" s="172"/>
    </row>
    <row r="274" spans="25:28" s="3" customFormat="1">
      <c r="Y274" s="172"/>
      <c r="Z274" s="172"/>
      <c r="AA274" s="172"/>
      <c r="AB274" s="172"/>
    </row>
    <row r="275" spans="25:28" s="3" customFormat="1">
      <c r="Y275" s="172"/>
      <c r="Z275" s="172"/>
      <c r="AA275" s="172"/>
      <c r="AB275" s="172"/>
    </row>
    <row r="276" spans="25:28" s="3" customFormat="1">
      <c r="Y276" s="172"/>
      <c r="Z276" s="172"/>
      <c r="AA276" s="172"/>
      <c r="AB276" s="172"/>
    </row>
    <row r="277" spans="25:28" s="3" customFormat="1">
      <c r="Y277" s="172"/>
      <c r="Z277" s="172"/>
      <c r="AA277" s="172"/>
      <c r="AB277" s="172"/>
    </row>
    <row r="278" spans="25:28" s="3" customFormat="1">
      <c r="Y278" s="172"/>
      <c r="Z278" s="172"/>
      <c r="AA278" s="172"/>
      <c r="AB278" s="172"/>
    </row>
    <row r="279" spans="25:28" s="3" customFormat="1">
      <c r="Y279" s="172"/>
      <c r="Z279" s="172"/>
      <c r="AA279" s="172"/>
      <c r="AB279" s="172"/>
    </row>
    <row r="280" spans="25:28" s="3" customFormat="1">
      <c r="Y280" s="172"/>
      <c r="Z280" s="172"/>
      <c r="AA280" s="172"/>
      <c r="AB280" s="172"/>
    </row>
    <row r="281" spans="25:28" s="3" customFormat="1">
      <c r="Y281" s="172"/>
      <c r="Z281" s="172"/>
      <c r="AA281" s="172"/>
      <c r="AB281" s="172"/>
    </row>
    <row r="282" spans="25:28" s="3" customFormat="1">
      <c r="Y282" s="172"/>
      <c r="Z282" s="172"/>
      <c r="AA282" s="172"/>
      <c r="AB282" s="172"/>
    </row>
    <row r="283" spans="25:28" s="3" customFormat="1">
      <c r="Y283" s="172"/>
      <c r="Z283" s="172"/>
      <c r="AA283" s="172"/>
      <c r="AB283" s="172"/>
    </row>
    <row r="284" spans="25:28" s="3" customFormat="1">
      <c r="Y284" s="172"/>
      <c r="Z284" s="172"/>
      <c r="AA284" s="172"/>
      <c r="AB284" s="172"/>
    </row>
    <row r="285" spans="25:28" s="3" customFormat="1">
      <c r="Y285" s="172"/>
      <c r="Z285" s="172"/>
      <c r="AA285" s="172"/>
      <c r="AB285" s="172"/>
    </row>
    <row r="286" spans="25:28" s="3" customFormat="1">
      <c r="Y286" s="172"/>
      <c r="Z286" s="172"/>
      <c r="AA286" s="172"/>
      <c r="AB286" s="172"/>
    </row>
    <row r="287" spans="25:28" s="3" customFormat="1">
      <c r="Y287" s="172"/>
      <c r="Z287" s="172"/>
      <c r="AA287" s="172"/>
      <c r="AB287" s="172"/>
    </row>
    <row r="288" spans="25:28" s="3" customFormat="1">
      <c r="Y288" s="172"/>
      <c r="Z288" s="172"/>
      <c r="AA288" s="172"/>
      <c r="AB288" s="172"/>
    </row>
    <row r="289" spans="25:28" s="3" customFormat="1">
      <c r="Y289" s="172"/>
      <c r="Z289" s="172"/>
      <c r="AA289" s="172"/>
      <c r="AB289" s="172"/>
    </row>
    <row r="290" spans="25:28" s="3" customFormat="1">
      <c r="Y290" s="172"/>
      <c r="Z290" s="172"/>
      <c r="AA290" s="172"/>
      <c r="AB290" s="172"/>
    </row>
    <row r="291" spans="25:28" s="3" customFormat="1">
      <c r="Y291" s="172"/>
      <c r="Z291" s="172"/>
      <c r="AA291" s="172"/>
      <c r="AB291" s="172"/>
    </row>
    <row r="292" spans="25:28" s="3" customFormat="1">
      <c r="Y292" s="172"/>
      <c r="Z292" s="172"/>
      <c r="AA292" s="172"/>
      <c r="AB292" s="172"/>
    </row>
    <row r="293" spans="25:28" s="3" customFormat="1">
      <c r="Y293" s="172"/>
      <c r="Z293" s="172"/>
      <c r="AA293" s="172"/>
      <c r="AB293" s="172"/>
    </row>
    <row r="294" spans="25:28" s="3" customFormat="1">
      <c r="Y294" s="172"/>
      <c r="Z294" s="172"/>
      <c r="AA294" s="172"/>
      <c r="AB294" s="172"/>
    </row>
    <row r="295" spans="25:28" s="3" customFormat="1">
      <c r="Y295" s="172"/>
      <c r="Z295" s="172"/>
      <c r="AA295" s="172"/>
      <c r="AB295" s="172"/>
    </row>
    <row r="296" spans="25:28" s="3" customFormat="1">
      <c r="Y296" s="172"/>
      <c r="Z296" s="172"/>
      <c r="AA296" s="172"/>
      <c r="AB296" s="172"/>
    </row>
    <row r="297" spans="25:28" s="3" customFormat="1">
      <c r="Y297" s="172"/>
      <c r="Z297" s="172"/>
      <c r="AA297" s="172"/>
      <c r="AB297" s="172"/>
    </row>
    <row r="298" spans="25:28" s="3" customFormat="1">
      <c r="Y298" s="172"/>
      <c r="Z298" s="172"/>
      <c r="AA298" s="172"/>
      <c r="AB298" s="172"/>
    </row>
    <row r="299" spans="25:28" s="3" customFormat="1">
      <c r="Y299" s="172"/>
      <c r="Z299" s="172"/>
      <c r="AA299" s="172"/>
      <c r="AB299" s="172"/>
    </row>
    <row r="300" spans="25:28" s="3" customFormat="1">
      <c r="Y300" s="172"/>
      <c r="Z300" s="172"/>
      <c r="AA300" s="172"/>
      <c r="AB300" s="172"/>
    </row>
    <row r="301" spans="25:28" s="3" customFormat="1">
      <c r="Y301" s="172"/>
      <c r="Z301" s="172"/>
      <c r="AA301" s="172"/>
      <c r="AB301" s="172"/>
    </row>
    <row r="302" spans="25:28" s="3" customFormat="1">
      <c r="Y302" s="172"/>
      <c r="Z302" s="172"/>
      <c r="AA302" s="172"/>
      <c r="AB302" s="172"/>
    </row>
    <row r="303" spans="25:28" s="3" customFormat="1">
      <c r="Y303" s="172"/>
      <c r="Z303" s="172"/>
      <c r="AA303" s="172"/>
      <c r="AB303" s="172"/>
    </row>
    <row r="304" spans="25:28" s="3" customFormat="1">
      <c r="Y304" s="172"/>
      <c r="Z304" s="172"/>
      <c r="AA304" s="172"/>
      <c r="AB304" s="172"/>
    </row>
    <row r="305" spans="25:28" s="3" customFormat="1">
      <c r="Y305" s="172"/>
      <c r="Z305" s="172"/>
      <c r="AA305" s="172"/>
      <c r="AB305" s="172"/>
    </row>
    <row r="306" spans="25:28" s="3" customFormat="1">
      <c r="Y306" s="172"/>
      <c r="Z306" s="172"/>
      <c r="AA306" s="172"/>
      <c r="AB306" s="172"/>
    </row>
    <row r="307" spans="25:28" s="3" customFormat="1">
      <c r="Y307" s="172"/>
      <c r="Z307" s="172"/>
      <c r="AA307" s="172"/>
      <c r="AB307" s="172"/>
    </row>
    <row r="308" spans="25:28" s="3" customFormat="1">
      <c r="Y308" s="172"/>
      <c r="Z308" s="172"/>
      <c r="AA308" s="172"/>
      <c r="AB308" s="172"/>
    </row>
    <row r="309" spans="25:28" s="3" customFormat="1">
      <c r="Y309" s="172"/>
      <c r="Z309" s="172"/>
      <c r="AA309" s="172"/>
      <c r="AB309" s="172"/>
    </row>
    <row r="310" spans="25:28" s="3" customFormat="1">
      <c r="Y310" s="172"/>
      <c r="Z310" s="172"/>
      <c r="AA310" s="172"/>
      <c r="AB310" s="172"/>
    </row>
    <row r="311" spans="25:28" s="3" customFormat="1">
      <c r="Y311" s="172"/>
      <c r="Z311" s="172"/>
      <c r="AA311" s="172"/>
      <c r="AB311" s="172"/>
    </row>
    <row r="312" spans="25:28" s="3" customFormat="1">
      <c r="Y312" s="172"/>
      <c r="Z312" s="172"/>
      <c r="AA312" s="172"/>
      <c r="AB312" s="172"/>
    </row>
    <row r="313" spans="25:28" s="3" customFormat="1">
      <c r="Y313" s="172"/>
      <c r="Z313" s="172"/>
      <c r="AA313" s="172"/>
      <c r="AB313" s="172"/>
    </row>
    <row r="314" spans="25:28" s="3" customFormat="1">
      <c r="Y314" s="172"/>
      <c r="Z314" s="172"/>
      <c r="AA314" s="172"/>
      <c r="AB314" s="172"/>
    </row>
    <row r="315" spans="25:28" s="3" customFormat="1">
      <c r="Y315" s="172"/>
      <c r="Z315" s="172"/>
      <c r="AA315" s="172"/>
      <c r="AB315" s="172"/>
    </row>
    <row r="316" spans="25:28" s="3" customFormat="1">
      <c r="Y316" s="172"/>
      <c r="Z316" s="172"/>
      <c r="AA316" s="172"/>
      <c r="AB316" s="172"/>
    </row>
    <row r="317" spans="25:28" s="3" customFormat="1">
      <c r="Y317" s="172"/>
      <c r="Z317" s="172"/>
      <c r="AA317" s="172"/>
      <c r="AB317" s="172"/>
    </row>
    <row r="318" spans="25:28" s="3" customFormat="1">
      <c r="Y318" s="172"/>
      <c r="Z318" s="172"/>
      <c r="AA318" s="172"/>
      <c r="AB318" s="172"/>
    </row>
    <row r="319" spans="25:28" s="3" customFormat="1">
      <c r="Y319" s="172"/>
      <c r="Z319" s="172"/>
      <c r="AA319" s="172"/>
      <c r="AB319" s="172"/>
    </row>
    <row r="320" spans="25:28" s="3" customFormat="1">
      <c r="Y320" s="172"/>
      <c r="Z320" s="172"/>
      <c r="AA320" s="172"/>
      <c r="AB320" s="172"/>
    </row>
    <row r="321" spans="25:28" s="3" customFormat="1">
      <c r="Y321" s="172"/>
      <c r="Z321" s="172"/>
      <c r="AA321" s="172"/>
      <c r="AB321" s="172"/>
    </row>
    <row r="322" spans="25:28" s="3" customFormat="1">
      <c r="Y322" s="172"/>
      <c r="Z322" s="172"/>
      <c r="AA322" s="172"/>
      <c r="AB322" s="172"/>
    </row>
    <row r="323" spans="25:28" s="3" customFormat="1">
      <c r="Y323" s="172"/>
      <c r="Z323" s="172"/>
      <c r="AA323" s="172"/>
      <c r="AB323" s="172"/>
    </row>
    <row r="324" spans="25:28" s="3" customFormat="1">
      <c r="Y324" s="172"/>
      <c r="Z324" s="172"/>
      <c r="AA324" s="172"/>
      <c r="AB324" s="172"/>
    </row>
    <row r="325" spans="25:28" s="3" customFormat="1">
      <c r="Y325" s="172"/>
      <c r="Z325" s="172"/>
      <c r="AA325" s="172"/>
      <c r="AB325" s="172"/>
    </row>
    <row r="326" spans="25:28" s="3" customFormat="1">
      <c r="Y326" s="172"/>
      <c r="Z326" s="172"/>
      <c r="AA326" s="172"/>
      <c r="AB326" s="172"/>
    </row>
    <row r="327" spans="25:28" s="3" customFormat="1">
      <c r="Y327" s="172"/>
      <c r="Z327" s="172"/>
      <c r="AA327" s="172"/>
      <c r="AB327" s="172"/>
    </row>
    <row r="328" spans="25:28" s="3" customFormat="1">
      <c r="Y328" s="172"/>
      <c r="Z328" s="172"/>
      <c r="AA328" s="172"/>
      <c r="AB328" s="172"/>
    </row>
    <row r="329" spans="25:28" s="3" customFormat="1">
      <c r="Y329" s="172"/>
      <c r="Z329" s="172"/>
      <c r="AA329" s="172"/>
      <c r="AB329" s="172"/>
    </row>
    <row r="330" spans="25:28" s="3" customFormat="1">
      <c r="Y330" s="172"/>
      <c r="Z330" s="172"/>
      <c r="AA330" s="172"/>
      <c r="AB330" s="172"/>
    </row>
    <row r="331" spans="25:28" s="3" customFormat="1">
      <c r="Y331" s="172"/>
      <c r="Z331" s="172"/>
      <c r="AA331" s="172"/>
      <c r="AB331" s="172"/>
    </row>
    <row r="332" spans="25:28" s="3" customFormat="1">
      <c r="Y332" s="172"/>
      <c r="Z332" s="172"/>
      <c r="AA332" s="172"/>
      <c r="AB332" s="172"/>
    </row>
    <row r="333" spans="25:28" s="3" customFormat="1">
      <c r="Y333" s="172"/>
      <c r="Z333" s="172"/>
      <c r="AA333" s="172"/>
      <c r="AB333" s="172"/>
    </row>
    <row r="334" spans="25:28" s="3" customFormat="1">
      <c r="Y334" s="172"/>
      <c r="Z334" s="172"/>
      <c r="AA334" s="172"/>
      <c r="AB334" s="172"/>
    </row>
    <row r="335" spans="25:28" s="3" customFormat="1">
      <c r="Y335" s="172"/>
      <c r="Z335" s="172"/>
      <c r="AA335" s="172"/>
      <c r="AB335" s="172"/>
    </row>
    <row r="336" spans="25:28" s="3" customFormat="1">
      <c r="Y336" s="172"/>
      <c r="Z336" s="172"/>
      <c r="AA336" s="172"/>
      <c r="AB336" s="172"/>
    </row>
    <row r="337" spans="25:28" s="3" customFormat="1">
      <c r="Y337" s="172"/>
      <c r="Z337" s="172"/>
      <c r="AA337" s="172"/>
      <c r="AB337" s="172"/>
    </row>
    <row r="338" spans="25:28" s="3" customFormat="1">
      <c r="Y338" s="172"/>
      <c r="Z338" s="172"/>
      <c r="AA338" s="172"/>
      <c r="AB338" s="172"/>
    </row>
    <row r="339" spans="25:28" s="3" customFormat="1">
      <c r="Y339" s="172"/>
      <c r="Z339" s="172"/>
      <c r="AA339" s="172"/>
      <c r="AB339" s="172"/>
    </row>
    <row r="340" spans="25:28" s="3" customFormat="1">
      <c r="Y340" s="172"/>
      <c r="Z340" s="172"/>
      <c r="AA340" s="172"/>
      <c r="AB340" s="172"/>
    </row>
    <row r="341" spans="25:28" s="3" customFormat="1">
      <c r="Y341" s="172"/>
      <c r="Z341" s="172"/>
      <c r="AA341" s="172"/>
      <c r="AB341" s="172"/>
    </row>
    <row r="342" spans="25:28" s="3" customFormat="1">
      <c r="Y342" s="172"/>
      <c r="Z342" s="172"/>
      <c r="AA342" s="172"/>
      <c r="AB342" s="172"/>
    </row>
    <row r="343" spans="25:28" s="3" customFormat="1">
      <c r="Y343" s="172"/>
      <c r="Z343" s="172"/>
      <c r="AA343" s="172"/>
      <c r="AB343" s="172"/>
    </row>
    <row r="344" spans="25:28" s="3" customFormat="1">
      <c r="Y344" s="172"/>
      <c r="Z344" s="172"/>
      <c r="AA344" s="172"/>
      <c r="AB344" s="172"/>
    </row>
    <row r="345" spans="25:28" s="3" customFormat="1">
      <c r="Y345" s="172"/>
      <c r="Z345" s="172"/>
      <c r="AA345" s="172"/>
      <c r="AB345" s="172"/>
    </row>
    <row r="346" spans="25:28" s="3" customFormat="1">
      <c r="Y346" s="172"/>
      <c r="Z346" s="172"/>
      <c r="AA346" s="172"/>
      <c r="AB346" s="172"/>
    </row>
    <row r="347" spans="25:28" s="3" customFormat="1">
      <c r="Y347" s="172"/>
      <c r="Z347" s="172"/>
      <c r="AA347" s="172"/>
      <c r="AB347" s="172"/>
    </row>
    <row r="348" spans="25:28" s="3" customFormat="1">
      <c r="Y348" s="172"/>
      <c r="Z348" s="172"/>
      <c r="AA348" s="172"/>
      <c r="AB348" s="172"/>
    </row>
    <row r="349" spans="25:28" s="3" customFormat="1">
      <c r="Y349" s="172"/>
      <c r="Z349" s="172"/>
      <c r="AA349" s="172"/>
      <c r="AB349" s="172"/>
    </row>
    <row r="350" spans="25:28" s="3" customFormat="1">
      <c r="Y350" s="172"/>
      <c r="Z350" s="172"/>
      <c r="AA350" s="172"/>
      <c r="AB350" s="172"/>
    </row>
    <row r="351" spans="25:28" s="3" customFormat="1">
      <c r="Y351" s="172"/>
      <c r="Z351" s="172"/>
      <c r="AA351" s="172"/>
      <c r="AB351" s="172"/>
    </row>
    <row r="352" spans="25:28" s="3" customFormat="1">
      <c r="Y352" s="172"/>
      <c r="Z352" s="172"/>
      <c r="AA352" s="172"/>
      <c r="AB352" s="172"/>
    </row>
    <row r="353" spans="25:28" s="3" customFormat="1">
      <c r="Y353" s="172"/>
      <c r="Z353" s="172"/>
      <c r="AA353" s="172"/>
      <c r="AB353" s="172"/>
    </row>
    <row r="354" spans="25:28" s="3" customFormat="1">
      <c r="Y354" s="172"/>
      <c r="Z354" s="172"/>
      <c r="AA354" s="172"/>
      <c r="AB354" s="172"/>
    </row>
    <row r="355" spans="25:28" s="3" customFormat="1">
      <c r="Y355" s="172"/>
      <c r="Z355" s="172"/>
      <c r="AA355" s="172"/>
      <c r="AB355" s="172"/>
    </row>
    <row r="356" spans="25:28" s="3" customFormat="1">
      <c r="Y356" s="172"/>
      <c r="Z356" s="172"/>
      <c r="AA356" s="172"/>
      <c r="AB356" s="172"/>
    </row>
    <row r="357" spans="25:28" s="3" customFormat="1">
      <c r="Y357" s="172"/>
      <c r="Z357" s="172"/>
      <c r="AA357" s="172"/>
      <c r="AB357" s="172"/>
    </row>
    <row r="358" spans="25:28" s="3" customFormat="1">
      <c r="Y358" s="172"/>
      <c r="Z358" s="172"/>
      <c r="AA358" s="172"/>
      <c r="AB358" s="172"/>
    </row>
    <row r="359" spans="25:28" s="3" customFormat="1">
      <c r="Y359" s="172"/>
      <c r="Z359" s="172"/>
      <c r="AA359" s="172"/>
      <c r="AB359" s="172"/>
    </row>
    <row r="360" spans="25:28" s="3" customFormat="1">
      <c r="Y360" s="172"/>
      <c r="Z360" s="172"/>
      <c r="AA360" s="172"/>
      <c r="AB360" s="172"/>
    </row>
    <row r="361" spans="25:28" s="3" customFormat="1">
      <c r="Y361" s="172"/>
      <c r="Z361" s="172"/>
      <c r="AA361" s="172"/>
      <c r="AB361" s="172"/>
    </row>
    <row r="362" spans="25:28" s="3" customFormat="1">
      <c r="Y362" s="172"/>
      <c r="Z362" s="172"/>
      <c r="AA362" s="172"/>
      <c r="AB362" s="172"/>
    </row>
    <row r="363" spans="25:28" s="3" customFormat="1">
      <c r="Y363" s="172"/>
      <c r="Z363" s="172"/>
      <c r="AA363" s="172"/>
      <c r="AB363" s="172"/>
    </row>
    <row r="364" spans="25:28" s="3" customFormat="1">
      <c r="Y364" s="172"/>
      <c r="Z364" s="172"/>
      <c r="AA364" s="172"/>
      <c r="AB364" s="172"/>
    </row>
    <row r="365" spans="25:28" s="3" customFormat="1">
      <c r="Y365" s="172"/>
      <c r="Z365" s="172"/>
      <c r="AA365" s="172"/>
      <c r="AB365" s="172"/>
    </row>
    <row r="366" spans="25:28" s="3" customFormat="1">
      <c r="Y366" s="172"/>
      <c r="Z366" s="172"/>
      <c r="AA366" s="172"/>
      <c r="AB366" s="172"/>
    </row>
    <row r="367" spans="25:28" s="3" customFormat="1">
      <c r="Y367" s="172"/>
      <c r="Z367" s="172"/>
      <c r="AA367" s="172"/>
      <c r="AB367" s="172"/>
    </row>
    <row r="368" spans="25:28" s="3" customFormat="1">
      <c r="Y368" s="172"/>
      <c r="Z368" s="172"/>
      <c r="AA368" s="172"/>
      <c r="AB368" s="172"/>
    </row>
    <row r="369" spans="25:28" s="3" customFormat="1">
      <c r="Y369" s="172"/>
      <c r="Z369" s="172"/>
      <c r="AA369" s="172"/>
      <c r="AB369" s="172"/>
    </row>
    <row r="370" spans="25:28" s="3" customFormat="1">
      <c r="Y370" s="172"/>
      <c r="Z370" s="172"/>
      <c r="AA370" s="172"/>
      <c r="AB370" s="172"/>
    </row>
    <row r="371" spans="25:28" s="3" customFormat="1">
      <c r="Y371" s="172"/>
      <c r="Z371" s="172"/>
      <c r="AA371" s="172"/>
      <c r="AB371" s="172"/>
    </row>
    <row r="372" spans="25:28" s="3" customFormat="1">
      <c r="Y372" s="172"/>
      <c r="Z372" s="172"/>
      <c r="AA372" s="172"/>
      <c r="AB372" s="172"/>
    </row>
    <row r="373" spans="25:28" s="3" customFormat="1">
      <c r="Y373" s="172"/>
      <c r="Z373" s="172"/>
      <c r="AA373" s="172"/>
      <c r="AB373" s="172"/>
    </row>
    <row r="374" spans="25:28" s="3" customFormat="1">
      <c r="Y374" s="172"/>
      <c r="Z374" s="172"/>
      <c r="AA374" s="172"/>
      <c r="AB374" s="172"/>
    </row>
    <row r="375" spans="25:28" s="3" customFormat="1">
      <c r="Y375" s="172"/>
      <c r="Z375" s="172"/>
      <c r="AA375" s="172"/>
      <c r="AB375" s="172"/>
    </row>
    <row r="376" spans="25:28" s="3" customFormat="1">
      <c r="Y376" s="172"/>
      <c r="Z376" s="172"/>
      <c r="AA376" s="172"/>
      <c r="AB376" s="172"/>
    </row>
    <row r="377" spans="25:28" s="3" customFormat="1">
      <c r="Y377" s="172"/>
      <c r="Z377" s="172"/>
      <c r="AA377" s="172"/>
      <c r="AB377" s="172"/>
    </row>
    <row r="378" spans="25:28" s="3" customFormat="1">
      <c r="Y378" s="172"/>
      <c r="Z378" s="172"/>
      <c r="AA378" s="172"/>
      <c r="AB378" s="172"/>
    </row>
    <row r="379" spans="25:28" s="3" customFormat="1">
      <c r="Y379" s="172"/>
      <c r="Z379" s="172"/>
      <c r="AA379" s="172"/>
      <c r="AB379" s="172"/>
    </row>
    <row r="380" spans="25:28" s="3" customFormat="1">
      <c r="Y380" s="172"/>
      <c r="Z380" s="172"/>
      <c r="AA380" s="172"/>
      <c r="AB380" s="172"/>
    </row>
    <row r="381" spans="25:28" s="3" customFormat="1">
      <c r="Y381" s="172"/>
      <c r="Z381" s="172"/>
      <c r="AA381" s="172"/>
      <c r="AB381" s="172"/>
    </row>
    <row r="382" spans="25:28" s="3" customFormat="1">
      <c r="Y382" s="172"/>
      <c r="Z382" s="172"/>
      <c r="AA382" s="172"/>
      <c r="AB382" s="172"/>
    </row>
    <row r="383" spans="25:28" s="3" customFormat="1">
      <c r="Y383" s="172"/>
      <c r="Z383" s="172"/>
      <c r="AA383" s="172"/>
      <c r="AB383" s="172"/>
    </row>
    <row r="384" spans="25:28" s="3" customFormat="1">
      <c r="Y384" s="172"/>
      <c r="Z384" s="172"/>
      <c r="AA384" s="172"/>
      <c r="AB384" s="172"/>
    </row>
    <row r="385" spans="25:28" s="3" customFormat="1">
      <c r="Y385" s="172"/>
      <c r="Z385" s="172"/>
      <c r="AA385" s="172"/>
      <c r="AB385" s="172"/>
    </row>
    <row r="386" spans="25:28" s="3" customFormat="1">
      <c r="Y386" s="172"/>
      <c r="Z386" s="172"/>
      <c r="AA386" s="172"/>
      <c r="AB386" s="172"/>
    </row>
    <row r="387" spans="25:28" s="3" customFormat="1">
      <c r="Y387" s="172"/>
      <c r="Z387" s="172"/>
      <c r="AA387" s="172"/>
      <c r="AB387" s="172"/>
    </row>
    <row r="388" spans="25:28" s="3" customFormat="1">
      <c r="Y388" s="172"/>
      <c r="Z388" s="172"/>
      <c r="AA388" s="172"/>
      <c r="AB388" s="172"/>
    </row>
    <row r="389" spans="25:28" s="3" customFormat="1">
      <c r="Y389" s="172"/>
      <c r="Z389" s="172"/>
      <c r="AA389" s="172"/>
      <c r="AB389" s="172"/>
    </row>
    <row r="390" spans="25:28" s="3" customFormat="1">
      <c r="Y390" s="172"/>
      <c r="Z390" s="172"/>
      <c r="AA390" s="172"/>
      <c r="AB390" s="172"/>
    </row>
    <row r="391" spans="25:28" s="3" customFormat="1">
      <c r="Y391" s="172"/>
      <c r="Z391" s="172"/>
      <c r="AA391" s="172"/>
      <c r="AB391" s="172"/>
    </row>
    <row r="392" spans="25:28" s="3" customFormat="1">
      <c r="Y392" s="172"/>
      <c r="Z392" s="172"/>
      <c r="AA392" s="172"/>
      <c r="AB392" s="172"/>
    </row>
    <row r="393" spans="25:28" s="3" customFormat="1">
      <c r="Y393" s="172"/>
      <c r="Z393" s="172"/>
      <c r="AA393" s="172"/>
      <c r="AB393" s="172"/>
    </row>
    <row r="394" spans="25:28" s="3" customFormat="1">
      <c r="Y394" s="172"/>
      <c r="Z394" s="172"/>
      <c r="AA394" s="172"/>
      <c r="AB394" s="172"/>
    </row>
    <row r="395" spans="25:28" s="3" customFormat="1">
      <c r="Y395" s="172"/>
      <c r="Z395" s="172"/>
      <c r="AA395" s="172"/>
      <c r="AB395" s="172"/>
    </row>
    <row r="396" spans="25:28" s="3" customFormat="1">
      <c r="Y396" s="172"/>
      <c r="Z396" s="172"/>
      <c r="AA396" s="172"/>
      <c r="AB396" s="172"/>
    </row>
    <row r="397" spans="25:28" s="3" customFormat="1">
      <c r="Y397" s="172"/>
      <c r="Z397" s="172"/>
      <c r="AA397" s="172"/>
      <c r="AB397" s="172"/>
    </row>
    <row r="398" spans="25:28" s="3" customFormat="1">
      <c r="Y398" s="172"/>
      <c r="Z398" s="172"/>
      <c r="AA398" s="172"/>
      <c r="AB398" s="172"/>
    </row>
    <row r="399" spans="25:28" s="3" customFormat="1">
      <c r="Y399" s="172"/>
      <c r="Z399" s="172"/>
      <c r="AA399" s="172"/>
      <c r="AB399" s="172"/>
    </row>
    <row r="400" spans="25:28" s="3" customFormat="1">
      <c r="Y400" s="172"/>
      <c r="Z400" s="172"/>
      <c r="AA400" s="172"/>
      <c r="AB400" s="172"/>
    </row>
    <row r="401" spans="25:28" s="3" customFormat="1">
      <c r="Y401" s="172"/>
      <c r="Z401" s="172"/>
      <c r="AA401" s="172"/>
      <c r="AB401" s="172"/>
    </row>
    <row r="402" spans="25:28" s="3" customFormat="1">
      <c r="Y402" s="172"/>
      <c r="Z402" s="172"/>
      <c r="AA402" s="172"/>
      <c r="AB402" s="172"/>
    </row>
    <row r="403" spans="25:28" s="3" customFormat="1">
      <c r="Y403" s="172"/>
      <c r="Z403" s="172"/>
      <c r="AA403" s="172"/>
      <c r="AB403" s="172"/>
    </row>
    <row r="404" spans="25:28" s="3" customFormat="1">
      <c r="Y404" s="172"/>
      <c r="Z404" s="172"/>
      <c r="AA404" s="172"/>
      <c r="AB404" s="172"/>
    </row>
    <row r="405" spans="25:28" s="3" customFormat="1">
      <c r="Y405" s="172"/>
      <c r="Z405" s="172"/>
      <c r="AA405" s="172"/>
      <c r="AB405" s="172"/>
    </row>
    <row r="406" spans="25:28" s="3" customFormat="1">
      <c r="Y406" s="172"/>
      <c r="Z406" s="172"/>
      <c r="AA406" s="172"/>
      <c r="AB406" s="172"/>
    </row>
    <row r="407" spans="25:28" s="3" customFormat="1">
      <c r="Y407" s="172"/>
      <c r="Z407" s="172"/>
      <c r="AA407" s="172"/>
      <c r="AB407" s="172"/>
    </row>
    <row r="408" spans="25:28" s="3" customFormat="1">
      <c r="Y408" s="172"/>
      <c r="Z408" s="172"/>
      <c r="AA408" s="172"/>
      <c r="AB408" s="172"/>
    </row>
    <row r="409" spans="25:28" s="3" customFormat="1">
      <c r="Y409" s="172"/>
      <c r="Z409" s="172"/>
      <c r="AA409" s="172"/>
      <c r="AB409" s="172"/>
    </row>
    <row r="410" spans="25:28" s="3" customFormat="1">
      <c r="Y410" s="172"/>
      <c r="Z410" s="172"/>
      <c r="AA410" s="172"/>
      <c r="AB410" s="172"/>
    </row>
    <row r="411" spans="25:28" s="3" customFormat="1">
      <c r="Y411" s="172"/>
      <c r="Z411" s="172"/>
      <c r="AA411" s="172"/>
      <c r="AB411" s="172"/>
    </row>
    <row r="412" spans="25:28" s="3" customFormat="1">
      <c r="Y412" s="172"/>
      <c r="Z412" s="172"/>
      <c r="AA412" s="172"/>
      <c r="AB412" s="172"/>
    </row>
    <row r="413" spans="25:28" s="3" customFormat="1">
      <c r="Y413" s="172"/>
      <c r="Z413" s="172"/>
      <c r="AA413" s="172"/>
      <c r="AB413" s="172"/>
    </row>
    <row r="414" spans="25:28" s="3" customFormat="1">
      <c r="Y414" s="172"/>
      <c r="Z414" s="172"/>
      <c r="AA414" s="172"/>
      <c r="AB414" s="172"/>
    </row>
    <row r="415" spans="25:28" s="3" customFormat="1">
      <c r="Y415" s="172"/>
      <c r="Z415" s="172"/>
      <c r="AA415" s="172"/>
      <c r="AB415" s="172"/>
    </row>
    <row r="416" spans="25:28" s="3" customFormat="1">
      <c r="Y416" s="172"/>
      <c r="Z416" s="172"/>
      <c r="AA416" s="172"/>
      <c r="AB416" s="172"/>
    </row>
    <row r="417" spans="25:28" s="3" customFormat="1">
      <c r="Y417" s="172"/>
      <c r="Z417" s="172"/>
      <c r="AA417" s="172"/>
      <c r="AB417" s="172"/>
    </row>
    <row r="418" spans="25:28" s="3" customFormat="1">
      <c r="Y418" s="172"/>
      <c r="Z418" s="172"/>
      <c r="AA418" s="172"/>
      <c r="AB418" s="172"/>
    </row>
    <row r="419" spans="25:28" s="3" customFormat="1">
      <c r="Y419" s="172"/>
      <c r="Z419" s="172"/>
      <c r="AA419" s="172"/>
      <c r="AB419" s="172"/>
    </row>
    <row r="420" spans="25:28" s="3" customFormat="1">
      <c r="Y420" s="172"/>
      <c r="Z420" s="172"/>
      <c r="AA420" s="172"/>
      <c r="AB420" s="172"/>
    </row>
    <row r="421" spans="25:28" s="3" customFormat="1">
      <c r="Y421" s="172"/>
      <c r="Z421" s="172"/>
      <c r="AA421" s="172"/>
      <c r="AB421" s="172"/>
    </row>
    <row r="422" spans="25:28" s="3" customFormat="1">
      <c r="Y422" s="172"/>
      <c r="Z422" s="172"/>
      <c r="AA422" s="172"/>
      <c r="AB422" s="172"/>
    </row>
    <row r="423" spans="25:28" s="3" customFormat="1">
      <c r="Y423" s="172"/>
      <c r="Z423" s="172"/>
      <c r="AA423" s="172"/>
      <c r="AB423" s="172"/>
    </row>
    <row r="424" spans="25:28" s="3" customFormat="1">
      <c r="Y424" s="172"/>
      <c r="Z424" s="172"/>
      <c r="AA424" s="172"/>
      <c r="AB424" s="172"/>
    </row>
    <row r="425" spans="25:28" s="3" customFormat="1">
      <c r="Y425" s="172"/>
      <c r="Z425" s="172"/>
      <c r="AA425" s="172"/>
      <c r="AB425" s="172"/>
    </row>
    <row r="426" spans="25:28" s="3" customFormat="1">
      <c r="Y426" s="172"/>
      <c r="Z426" s="172"/>
      <c r="AA426" s="172"/>
      <c r="AB426" s="172"/>
    </row>
    <row r="427" spans="25:28" s="3" customFormat="1">
      <c r="Y427" s="172"/>
      <c r="Z427" s="172"/>
      <c r="AA427" s="172"/>
      <c r="AB427" s="172"/>
    </row>
    <row r="428" spans="25:28" s="3" customFormat="1">
      <c r="Y428" s="172"/>
      <c r="Z428" s="172"/>
      <c r="AA428" s="172"/>
      <c r="AB428" s="172"/>
    </row>
    <row r="429" spans="25:28" s="3" customFormat="1">
      <c r="Y429" s="172"/>
      <c r="Z429" s="172"/>
      <c r="AA429" s="172"/>
      <c r="AB429" s="172"/>
    </row>
    <row r="430" spans="25:28" s="3" customFormat="1">
      <c r="Y430" s="172"/>
      <c r="Z430" s="172"/>
      <c r="AA430" s="172"/>
      <c r="AB430" s="172"/>
    </row>
    <row r="431" spans="25:28" s="3" customFormat="1">
      <c r="Y431" s="172"/>
      <c r="Z431" s="172"/>
      <c r="AA431" s="172"/>
      <c r="AB431" s="172"/>
    </row>
    <row r="432" spans="25:28" s="3" customFormat="1">
      <c r="Y432" s="172"/>
      <c r="Z432" s="172"/>
      <c r="AA432" s="172"/>
      <c r="AB432" s="172"/>
    </row>
    <row r="433" spans="25:28" s="3" customFormat="1">
      <c r="Y433" s="172"/>
      <c r="Z433" s="172"/>
      <c r="AA433" s="172"/>
      <c r="AB433" s="172"/>
    </row>
    <row r="434" spans="25:28" s="3" customFormat="1">
      <c r="Y434" s="172"/>
      <c r="Z434" s="172"/>
      <c r="AA434" s="172"/>
      <c r="AB434" s="172"/>
    </row>
    <row r="435" spans="25:28" s="3" customFormat="1">
      <c r="Y435" s="172"/>
      <c r="Z435" s="172"/>
      <c r="AA435" s="172"/>
      <c r="AB435" s="172"/>
    </row>
    <row r="436" spans="25:28" s="3" customFormat="1">
      <c r="Y436" s="172"/>
      <c r="Z436" s="172"/>
      <c r="AA436" s="172"/>
      <c r="AB436" s="172"/>
    </row>
    <row r="437" spans="25:28" s="3" customFormat="1">
      <c r="Y437" s="172"/>
      <c r="Z437" s="172"/>
      <c r="AA437" s="172"/>
      <c r="AB437" s="172"/>
    </row>
    <row r="438" spans="25:28" s="3" customFormat="1">
      <c r="Y438" s="172"/>
      <c r="Z438" s="172"/>
      <c r="AA438" s="172"/>
      <c r="AB438" s="172"/>
    </row>
    <row r="439" spans="25:28" s="3" customFormat="1">
      <c r="Y439" s="172"/>
      <c r="Z439" s="172"/>
      <c r="AA439" s="172"/>
      <c r="AB439" s="172"/>
    </row>
    <row r="440" spans="25:28" s="3" customFormat="1">
      <c r="Y440" s="172"/>
      <c r="Z440" s="172"/>
      <c r="AA440" s="172"/>
      <c r="AB440" s="172"/>
    </row>
    <row r="441" spans="25:28" s="3" customFormat="1">
      <c r="Y441" s="172"/>
      <c r="Z441" s="172"/>
      <c r="AA441" s="172"/>
      <c r="AB441" s="172"/>
    </row>
    <row r="442" spans="25:28" s="3" customFormat="1">
      <c r="Y442" s="172"/>
      <c r="Z442" s="172"/>
      <c r="AA442" s="172"/>
      <c r="AB442" s="172"/>
    </row>
    <row r="443" spans="25:28" s="3" customFormat="1">
      <c r="Y443" s="172"/>
      <c r="Z443" s="172"/>
      <c r="AA443" s="172"/>
      <c r="AB443" s="172"/>
    </row>
    <row r="444" spans="25:28" s="3" customFormat="1">
      <c r="Y444" s="172"/>
      <c r="Z444" s="172"/>
      <c r="AA444" s="172"/>
      <c r="AB444" s="172"/>
    </row>
    <row r="445" spans="25:28" s="3" customFormat="1">
      <c r="Y445" s="172"/>
      <c r="Z445" s="172"/>
      <c r="AA445" s="172"/>
      <c r="AB445" s="172"/>
    </row>
    <row r="446" spans="25:28" s="3" customFormat="1">
      <c r="Y446" s="172"/>
      <c r="Z446" s="172"/>
      <c r="AA446" s="172"/>
      <c r="AB446" s="172"/>
    </row>
    <row r="447" spans="25:28" s="3" customFormat="1">
      <c r="Y447" s="172"/>
      <c r="Z447" s="172"/>
      <c r="AA447" s="172"/>
      <c r="AB447" s="172"/>
    </row>
    <row r="448" spans="25:28" s="3" customFormat="1">
      <c r="Y448" s="172"/>
      <c r="Z448" s="172"/>
      <c r="AA448" s="172"/>
      <c r="AB448" s="172"/>
    </row>
    <row r="449" spans="25:28" s="3" customFormat="1">
      <c r="Y449" s="172"/>
      <c r="Z449" s="172"/>
      <c r="AA449" s="172"/>
      <c r="AB449" s="172"/>
    </row>
    <row r="450" spans="25:28" s="3" customFormat="1">
      <c r="Y450" s="172"/>
      <c r="Z450" s="172"/>
      <c r="AA450" s="172"/>
      <c r="AB450" s="172"/>
    </row>
    <row r="451" spans="25:28" s="3" customFormat="1">
      <c r="Y451" s="172"/>
      <c r="Z451" s="172"/>
      <c r="AA451" s="172"/>
      <c r="AB451" s="172"/>
    </row>
    <row r="452" spans="25:28" s="3" customFormat="1">
      <c r="Y452" s="172"/>
      <c r="Z452" s="172"/>
      <c r="AA452" s="172"/>
      <c r="AB452" s="172"/>
    </row>
    <row r="453" spans="25:28" s="3" customFormat="1">
      <c r="Y453" s="172"/>
      <c r="Z453" s="172"/>
      <c r="AA453" s="172"/>
      <c r="AB453" s="172"/>
    </row>
    <row r="454" spans="25:28" s="3" customFormat="1">
      <c r="Y454" s="172"/>
      <c r="Z454" s="172"/>
      <c r="AA454" s="172"/>
      <c r="AB454" s="172"/>
    </row>
    <row r="455" spans="25:28" s="3" customFormat="1">
      <c r="Y455" s="172"/>
      <c r="Z455" s="172"/>
      <c r="AA455" s="172"/>
      <c r="AB455" s="172"/>
    </row>
    <row r="456" spans="25:28" s="3" customFormat="1">
      <c r="Y456" s="172"/>
      <c r="Z456" s="172"/>
      <c r="AA456" s="172"/>
      <c r="AB456" s="172"/>
    </row>
    <row r="457" spans="25:28" s="3" customFormat="1">
      <c r="Y457" s="172"/>
      <c r="Z457" s="172"/>
      <c r="AA457" s="172"/>
      <c r="AB457" s="172"/>
    </row>
    <row r="458" spans="25:28" s="3" customFormat="1">
      <c r="Y458" s="172"/>
      <c r="Z458" s="172"/>
      <c r="AA458" s="172"/>
      <c r="AB458" s="172"/>
    </row>
    <row r="459" spans="25:28" s="3" customFormat="1">
      <c r="Y459" s="172"/>
      <c r="Z459" s="172"/>
      <c r="AA459" s="172"/>
      <c r="AB459" s="172"/>
    </row>
    <row r="460" spans="25:28" s="3" customFormat="1">
      <c r="Y460" s="172"/>
      <c r="Z460" s="172"/>
      <c r="AA460" s="172"/>
      <c r="AB460" s="172"/>
    </row>
    <row r="461" spans="25:28" s="3" customFormat="1">
      <c r="Y461" s="172"/>
      <c r="Z461" s="172"/>
      <c r="AA461" s="172"/>
      <c r="AB461" s="172"/>
    </row>
    <row r="462" spans="25:28" s="3" customFormat="1">
      <c r="Y462" s="172"/>
      <c r="Z462" s="172"/>
      <c r="AA462" s="172"/>
      <c r="AB462" s="172"/>
    </row>
    <row r="463" spans="25:28" s="3" customFormat="1">
      <c r="Y463" s="172"/>
      <c r="Z463" s="172"/>
      <c r="AA463" s="172"/>
      <c r="AB463" s="172"/>
    </row>
    <row r="464" spans="25:28" s="3" customFormat="1">
      <c r="Y464" s="172"/>
      <c r="Z464" s="172"/>
      <c r="AA464" s="172"/>
      <c r="AB464" s="172"/>
    </row>
    <row r="465" spans="25:28" s="3" customFormat="1">
      <c r="Y465" s="172"/>
      <c r="Z465" s="172"/>
      <c r="AA465" s="172"/>
      <c r="AB465" s="172"/>
    </row>
    <row r="466" spans="25:28" s="3" customFormat="1">
      <c r="Y466" s="172"/>
      <c r="Z466" s="172"/>
      <c r="AA466" s="172"/>
      <c r="AB466" s="172"/>
    </row>
    <row r="467" spans="25:28" s="3" customFormat="1">
      <c r="Y467" s="172"/>
      <c r="Z467" s="172"/>
      <c r="AA467" s="172"/>
      <c r="AB467" s="172"/>
    </row>
    <row r="468" spans="25:28" s="3" customFormat="1">
      <c r="Y468" s="172"/>
      <c r="Z468" s="172"/>
      <c r="AA468" s="172"/>
      <c r="AB468" s="172"/>
    </row>
    <row r="469" spans="25:28" s="3" customFormat="1">
      <c r="Y469" s="172"/>
      <c r="Z469" s="172"/>
      <c r="AA469" s="172"/>
      <c r="AB469" s="172"/>
    </row>
    <row r="470" spans="25:28" s="3" customFormat="1">
      <c r="Y470" s="172"/>
      <c r="Z470" s="172"/>
      <c r="AA470" s="172"/>
      <c r="AB470" s="172"/>
    </row>
    <row r="471" spans="25:28" s="3" customFormat="1">
      <c r="Y471" s="172"/>
      <c r="Z471" s="172"/>
      <c r="AA471" s="172"/>
      <c r="AB471" s="172"/>
    </row>
    <row r="472" spans="25:28" s="3" customFormat="1">
      <c r="Y472" s="172"/>
      <c r="Z472" s="172"/>
      <c r="AA472" s="172"/>
      <c r="AB472" s="172"/>
    </row>
    <row r="473" spans="25:28" s="3" customFormat="1">
      <c r="Y473" s="172"/>
      <c r="Z473" s="172"/>
      <c r="AA473" s="172"/>
      <c r="AB473" s="172"/>
    </row>
    <row r="474" spans="25:28" s="3" customFormat="1">
      <c r="Y474" s="172"/>
      <c r="Z474" s="172"/>
      <c r="AA474" s="172"/>
      <c r="AB474" s="172"/>
    </row>
    <row r="475" spans="25:28" s="3" customFormat="1">
      <c r="Y475" s="172"/>
      <c r="Z475" s="172"/>
      <c r="AA475" s="172"/>
      <c r="AB475" s="172"/>
    </row>
    <row r="476" spans="25:28" s="3" customFormat="1">
      <c r="Y476" s="172"/>
      <c r="Z476" s="172"/>
      <c r="AA476" s="172"/>
      <c r="AB476" s="172"/>
    </row>
    <row r="477" spans="25:28" s="3" customFormat="1">
      <c r="Y477" s="172"/>
      <c r="Z477" s="172"/>
      <c r="AA477" s="172"/>
      <c r="AB477" s="172"/>
    </row>
    <row r="478" spans="25:28" s="3" customFormat="1">
      <c r="Y478" s="172"/>
      <c r="Z478" s="172"/>
      <c r="AA478" s="172"/>
      <c r="AB478" s="172"/>
    </row>
    <row r="479" spans="25:28" s="3" customFormat="1">
      <c r="Y479" s="172"/>
      <c r="Z479" s="172"/>
      <c r="AA479" s="172"/>
      <c r="AB479" s="172"/>
    </row>
    <row r="480" spans="25:28" s="3" customFormat="1">
      <c r="Y480" s="172"/>
      <c r="Z480" s="172"/>
      <c r="AA480" s="172"/>
      <c r="AB480" s="172"/>
    </row>
    <row r="481" spans="25:28" s="3" customFormat="1">
      <c r="Y481" s="172"/>
      <c r="Z481" s="172"/>
      <c r="AA481" s="172"/>
      <c r="AB481" s="172"/>
    </row>
    <row r="482" spans="25:28" s="3" customFormat="1">
      <c r="Y482" s="172"/>
      <c r="Z482" s="172"/>
      <c r="AA482" s="172"/>
      <c r="AB482" s="172"/>
    </row>
    <row r="483" spans="25:28" s="3" customFormat="1">
      <c r="Y483" s="172"/>
      <c r="Z483" s="172"/>
      <c r="AA483" s="172"/>
      <c r="AB483" s="172"/>
    </row>
    <row r="484" spans="25:28" s="3" customFormat="1">
      <c r="Y484" s="172"/>
      <c r="Z484" s="172"/>
      <c r="AA484" s="172"/>
      <c r="AB484" s="172"/>
    </row>
    <row r="485" spans="25:28" s="3" customFormat="1">
      <c r="Y485" s="172"/>
      <c r="Z485" s="172"/>
      <c r="AA485" s="172"/>
      <c r="AB485" s="172"/>
    </row>
    <row r="486" spans="25:28" s="3" customFormat="1">
      <c r="Y486" s="172"/>
      <c r="Z486" s="172"/>
      <c r="AA486" s="172"/>
      <c r="AB486" s="172"/>
    </row>
    <row r="487" spans="25:28" s="3" customFormat="1">
      <c r="Y487" s="172"/>
      <c r="Z487" s="172"/>
      <c r="AA487" s="172"/>
      <c r="AB487" s="172"/>
    </row>
    <row r="488" spans="25:28" s="3" customFormat="1">
      <c r="Y488" s="172"/>
      <c r="Z488" s="172"/>
      <c r="AA488" s="172"/>
      <c r="AB488" s="172"/>
    </row>
    <row r="489" spans="25:28" s="3" customFormat="1">
      <c r="Y489" s="172"/>
      <c r="Z489" s="172"/>
      <c r="AA489" s="172"/>
      <c r="AB489" s="172"/>
    </row>
    <row r="490" spans="25:28" s="3" customFormat="1">
      <c r="Y490" s="172"/>
      <c r="Z490" s="172"/>
      <c r="AA490" s="172"/>
      <c r="AB490" s="172"/>
    </row>
    <row r="491" spans="25:28" s="3" customFormat="1">
      <c r="Y491" s="172"/>
      <c r="Z491" s="172"/>
      <c r="AA491" s="172"/>
      <c r="AB491" s="172"/>
    </row>
    <row r="492" spans="25:28" s="3" customFormat="1">
      <c r="Y492" s="172"/>
      <c r="Z492" s="172"/>
      <c r="AA492" s="172"/>
      <c r="AB492" s="172"/>
    </row>
    <row r="493" spans="25:28" s="3" customFormat="1">
      <c r="Y493" s="172"/>
      <c r="Z493" s="172"/>
      <c r="AA493" s="172"/>
      <c r="AB493" s="172"/>
    </row>
    <row r="494" spans="25:28" s="3" customFormat="1">
      <c r="Y494" s="172"/>
      <c r="Z494" s="172"/>
      <c r="AA494" s="172"/>
      <c r="AB494" s="172"/>
    </row>
    <row r="495" spans="25:28" s="3" customFormat="1">
      <c r="Y495" s="172"/>
      <c r="Z495" s="172"/>
      <c r="AA495" s="172"/>
      <c r="AB495" s="172"/>
    </row>
    <row r="496" spans="25:28" s="3" customFormat="1">
      <c r="Y496" s="172"/>
      <c r="Z496" s="172"/>
      <c r="AA496" s="172"/>
      <c r="AB496" s="172"/>
    </row>
    <row r="497" spans="25:28" s="3" customFormat="1">
      <c r="Y497" s="172"/>
      <c r="Z497" s="172"/>
      <c r="AA497" s="172"/>
      <c r="AB497" s="172"/>
    </row>
    <row r="498" spans="25:28" s="3" customFormat="1">
      <c r="Y498" s="172"/>
      <c r="Z498" s="172"/>
      <c r="AA498" s="172"/>
      <c r="AB498" s="172"/>
    </row>
    <row r="499" spans="25:28" s="3" customFormat="1">
      <c r="Y499" s="172"/>
      <c r="Z499" s="172"/>
      <c r="AA499" s="172"/>
      <c r="AB499" s="172"/>
    </row>
    <row r="500" spans="25:28" s="3" customFormat="1">
      <c r="Y500" s="172"/>
      <c r="Z500" s="172"/>
      <c r="AA500" s="172"/>
      <c r="AB500" s="172"/>
    </row>
    <row r="501" spans="25:28" s="3" customFormat="1">
      <c r="Y501" s="172"/>
      <c r="Z501" s="172"/>
      <c r="AA501" s="172"/>
      <c r="AB501" s="172"/>
    </row>
    <row r="502" spans="25:28" s="3" customFormat="1">
      <c r="Y502" s="172"/>
      <c r="Z502" s="172"/>
      <c r="AA502" s="172"/>
      <c r="AB502" s="172"/>
    </row>
    <row r="503" spans="25:28" s="3" customFormat="1">
      <c r="Y503" s="172"/>
      <c r="Z503" s="172"/>
      <c r="AA503" s="172"/>
      <c r="AB503" s="172"/>
    </row>
    <row r="504" spans="25:28" s="3" customFormat="1">
      <c r="Y504" s="172"/>
      <c r="Z504" s="172"/>
      <c r="AA504" s="172"/>
      <c r="AB504" s="172"/>
    </row>
    <row r="505" spans="25:28" s="3" customFormat="1">
      <c r="Y505" s="172"/>
      <c r="Z505" s="172"/>
      <c r="AA505" s="172"/>
      <c r="AB505" s="172"/>
    </row>
    <row r="506" spans="25:28" s="3" customFormat="1">
      <c r="Y506" s="172"/>
      <c r="Z506" s="172"/>
      <c r="AA506" s="172"/>
      <c r="AB506" s="172"/>
    </row>
    <row r="507" spans="25:28" s="3" customFormat="1">
      <c r="Y507" s="172"/>
      <c r="Z507" s="172"/>
      <c r="AA507" s="172"/>
      <c r="AB507" s="172"/>
    </row>
    <row r="508" spans="25:28" s="3" customFormat="1">
      <c r="Y508" s="172"/>
      <c r="Z508" s="172"/>
      <c r="AA508" s="172"/>
      <c r="AB508" s="172"/>
    </row>
    <row r="509" spans="25:28" s="3" customFormat="1">
      <c r="Y509" s="172"/>
      <c r="Z509" s="172"/>
      <c r="AA509" s="172"/>
      <c r="AB509" s="172"/>
    </row>
    <row r="510" spans="25:28" s="3" customFormat="1">
      <c r="Y510" s="172"/>
      <c r="Z510" s="172"/>
      <c r="AA510" s="172"/>
      <c r="AB510" s="172"/>
    </row>
    <row r="511" spans="25:28" s="3" customFormat="1">
      <c r="Y511" s="172"/>
      <c r="Z511" s="172"/>
      <c r="AA511" s="172"/>
      <c r="AB511" s="172"/>
    </row>
    <row r="512" spans="25:28" s="3" customFormat="1">
      <c r="Y512" s="172"/>
      <c r="Z512" s="172"/>
      <c r="AA512" s="172"/>
      <c r="AB512" s="172"/>
    </row>
    <row r="513" spans="25:28" s="3" customFormat="1">
      <c r="Y513" s="172"/>
      <c r="Z513" s="172"/>
      <c r="AA513" s="172"/>
      <c r="AB513" s="172"/>
    </row>
    <row r="514" spans="25:28" s="3" customFormat="1">
      <c r="Y514" s="172"/>
      <c r="Z514" s="172"/>
      <c r="AA514" s="172"/>
      <c r="AB514" s="172"/>
    </row>
    <row r="515" spans="25:28" s="3" customFormat="1">
      <c r="Y515" s="172"/>
      <c r="Z515" s="172"/>
      <c r="AA515" s="172"/>
      <c r="AB515" s="172"/>
    </row>
    <row r="516" spans="25:28" s="3" customFormat="1">
      <c r="Y516" s="172"/>
      <c r="Z516" s="172"/>
      <c r="AA516" s="172"/>
      <c r="AB516" s="172"/>
    </row>
    <row r="517" spans="25:28" s="3" customFormat="1">
      <c r="Y517" s="172"/>
      <c r="Z517" s="172"/>
      <c r="AA517" s="172"/>
      <c r="AB517" s="172"/>
    </row>
    <row r="518" spans="25:28" s="3" customFormat="1">
      <c r="Y518" s="172"/>
      <c r="Z518" s="172"/>
      <c r="AA518" s="172"/>
      <c r="AB518" s="172"/>
    </row>
    <row r="519" spans="25:28" s="3" customFormat="1">
      <c r="Y519" s="172"/>
      <c r="Z519" s="172"/>
      <c r="AA519" s="172"/>
      <c r="AB519" s="172"/>
    </row>
    <row r="520" spans="25:28" s="3" customFormat="1">
      <c r="Y520" s="172"/>
      <c r="Z520" s="172"/>
      <c r="AA520" s="172"/>
      <c r="AB520" s="172"/>
    </row>
    <row r="521" spans="25:28" s="3" customFormat="1">
      <c r="Y521" s="172"/>
      <c r="Z521" s="172"/>
      <c r="AA521" s="172"/>
      <c r="AB521" s="172"/>
    </row>
    <row r="522" spans="25:28" s="3" customFormat="1">
      <c r="Y522" s="172"/>
      <c r="Z522" s="172"/>
      <c r="AA522" s="172"/>
      <c r="AB522" s="172"/>
    </row>
    <row r="523" spans="25:28" s="3" customFormat="1">
      <c r="Y523" s="172"/>
      <c r="Z523" s="172"/>
      <c r="AA523" s="172"/>
      <c r="AB523" s="172"/>
    </row>
    <row r="524" spans="25:28" s="3" customFormat="1">
      <c r="Y524" s="172"/>
      <c r="Z524" s="172"/>
      <c r="AA524" s="172"/>
      <c r="AB524" s="172"/>
    </row>
    <row r="525" spans="25:28" s="3" customFormat="1">
      <c r="Y525" s="172"/>
      <c r="Z525" s="172"/>
      <c r="AA525" s="172"/>
      <c r="AB525" s="172"/>
    </row>
    <row r="526" spans="25:28" s="3" customFormat="1">
      <c r="Y526" s="172"/>
      <c r="Z526" s="172"/>
      <c r="AA526" s="172"/>
      <c r="AB526" s="172"/>
    </row>
    <row r="527" spans="25:28" s="3" customFormat="1">
      <c r="Y527" s="172"/>
      <c r="Z527" s="172"/>
      <c r="AA527" s="172"/>
      <c r="AB527" s="172"/>
    </row>
    <row r="528" spans="25:28" s="3" customFormat="1">
      <c r="Y528" s="172"/>
      <c r="Z528" s="172"/>
      <c r="AA528" s="172"/>
      <c r="AB528" s="172"/>
    </row>
    <row r="529" spans="25:28" s="3" customFormat="1">
      <c r="Y529" s="172"/>
      <c r="Z529" s="172"/>
      <c r="AA529" s="172"/>
      <c r="AB529" s="172"/>
    </row>
    <row r="530" spans="25:28" s="3" customFormat="1">
      <c r="Y530" s="172"/>
      <c r="Z530" s="172"/>
      <c r="AA530" s="172"/>
      <c r="AB530" s="172"/>
    </row>
    <row r="531" spans="25:28" s="3" customFormat="1">
      <c r="Y531" s="172"/>
      <c r="Z531" s="172"/>
      <c r="AA531" s="172"/>
      <c r="AB531" s="172"/>
    </row>
    <row r="532" spans="25:28" s="3" customFormat="1">
      <c r="Y532" s="172"/>
      <c r="Z532" s="172"/>
      <c r="AA532" s="172"/>
      <c r="AB532" s="172"/>
    </row>
    <row r="533" spans="25:28" s="3" customFormat="1">
      <c r="Y533" s="172"/>
      <c r="Z533" s="172"/>
      <c r="AA533" s="172"/>
      <c r="AB533" s="172"/>
    </row>
    <row r="534" spans="25:28" s="3" customFormat="1">
      <c r="Y534" s="172"/>
      <c r="Z534" s="172"/>
      <c r="AA534" s="172"/>
      <c r="AB534" s="172"/>
    </row>
    <row r="535" spans="25:28" s="3" customFormat="1">
      <c r="Y535" s="172"/>
      <c r="Z535" s="172"/>
      <c r="AA535" s="172"/>
      <c r="AB535" s="172"/>
    </row>
    <row r="536" spans="25:28" s="3" customFormat="1">
      <c r="Y536" s="172"/>
      <c r="Z536" s="172"/>
      <c r="AA536" s="172"/>
      <c r="AB536" s="172"/>
    </row>
    <row r="537" spans="25:28" s="3" customFormat="1">
      <c r="Y537" s="172"/>
      <c r="Z537" s="172"/>
      <c r="AA537" s="172"/>
      <c r="AB537" s="172"/>
    </row>
    <row r="538" spans="25:28" s="3" customFormat="1">
      <c r="Y538" s="172"/>
      <c r="Z538" s="172"/>
      <c r="AA538" s="172"/>
      <c r="AB538" s="172"/>
    </row>
    <row r="539" spans="25:28" s="3" customFormat="1">
      <c r="Y539" s="172"/>
      <c r="Z539" s="172"/>
      <c r="AA539" s="172"/>
      <c r="AB539" s="172"/>
    </row>
    <row r="540" spans="25:28" s="3" customFormat="1">
      <c r="Y540" s="172"/>
      <c r="Z540" s="172"/>
      <c r="AA540" s="172"/>
      <c r="AB540" s="172"/>
    </row>
    <row r="541" spans="25:28" s="3" customFormat="1">
      <c r="Y541" s="172"/>
      <c r="Z541" s="172"/>
      <c r="AA541" s="172"/>
      <c r="AB541" s="172"/>
    </row>
    <row r="542" spans="25:28" s="3" customFormat="1">
      <c r="Y542" s="172"/>
      <c r="Z542" s="172"/>
      <c r="AA542" s="172"/>
      <c r="AB542" s="172"/>
    </row>
    <row r="543" spans="25:28" s="3" customFormat="1">
      <c r="Y543" s="172"/>
      <c r="Z543" s="172"/>
      <c r="AA543" s="172"/>
      <c r="AB543" s="172"/>
    </row>
    <row r="544" spans="25:28" s="3" customFormat="1">
      <c r="Y544" s="172"/>
      <c r="Z544" s="172"/>
      <c r="AA544" s="172"/>
      <c r="AB544" s="172"/>
    </row>
    <row r="545" spans="25:28" s="3" customFormat="1">
      <c r="Y545" s="172"/>
      <c r="Z545" s="172"/>
      <c r="AA545" s="172"/>
      <c r="AB545" s="172"/>
    </row>
    <row r="546" spans="25:28" s="3" customFormat="1">
      <c r="Y546" s="172"/>
      <c r="Z546" s="172"/>
      <c r="AA546" s="172"/>
      <c r="AB546" s="172"/>
    </row>
    <row r="547" spans="25:28" s="3" customFormat="1">
      <c r="Y547" s="172"/>
      <c r="Z547" s="172"/>
      <c r="AA547" s="172"/>
      <c r="AB547" s="172"/>
    </row>
    <row r="548" spans="25:28" s="3" customFormat="1">
      <c r="Y548" s="172"/>
      <c r="Z548" s="172"/>
      <c r="AA548" s="172"/>
      <c r="AB548" s="172"/>
    </row>
    <row r="549" spans="25:28" s="3" customFormat="1">
      <c r="Y549" s="172"/>
      <c r="Z549" s="172"/>
      <c r="AA549" s="172"/>
      <c r="AB549" s="172"/>
    </row>
    <row r="550" spans="25:28" s="3" customFormat="1">
      <c r="Y550" s="172"/>
      <c r="Z550" s="172"/>
      <c r="AA550" s="172"/>
      <c r="AB550" s="172"/>
    </row>
    <row r="551" spans="25:28" s="3" customFormat="1">
      <c r="Y551" s="172"/>
      <c r="Z551" s="172"/>
      <c r="AA551" s="172"/>
      <c r="AB551" s="172"/>
    </row>
    <row r="552" spans="25:28" s="3" customFormat="1">
      <c r="Y552" s="172"/>
      <c r="Z552" s="172"/>
      <c r="AA552" s="172"/>
      <c r="AB552" s="172"/>
    </row>
    <row r="553" spans="25:28" s="3" customFormat="1">
      <c r="Y553" s="172"/>
      <c r="Z553" s="172"/>
      <c r="AA553" s="172"/>
      <c r="AB553" s="172"/>
    </row>
    <row r="554" spans="25:28" s="3" customFormat="1">
      <c r="Y554" s="172"/>
      <c r="Z554" s="172"/>
      <c r="AA554" s="172"/>
      <c r="AB554" s="172"/>
    </row>
    <row r="555" spans="25:28" s="3" customFormat="1">
      <c r="Y555" s="172"/>
      <c r="Z555" s="172"/>
      <c r="AA555" s="172"/>
      <c r="AB555" s="172"/>
    </row>
    <row r="556" spans="25:28" s="3" customFormat="1">
      <c r="Y556" s="172"/>
      <c r="Z556" s="172"/>
      <c r="AA556" s="172"/>
      <c r="AB556" s="172"/>
    </row>
    <row r="557" spans="25:28" s="3" customFormat="1">
      <c r="Y557" s="172"/>
      <c r="Z557" s="172"/>
      <c r="AA557" s="172"/>
      <c r="AB557" s="172"/>
    </row>
    <row r="558" spans="25:28" s="3" customFormat="1">
      <c r="Y558" s="172"/>
      <c r="Z558" s="172"/>
      <c r="AA558" s="172"/>
      <c r="AB558" s="172"/>
    </row>
    <row r="559" spans="25:28" s="3" customFormat="1">
      <c r="Y559" s="172"/>
      <c r="Z559" s="172"/>
      <c r="AA559" s="172"/>
      <c r="AB559" s="172"/>
    </row>
    <row r="560" spans="25:28" s="3" customFormat="1">
      <c r="Y560" s="172"/>
      <c r="Z560" s="172"/>
      <c r="AA560" s="172"/>
      <c r="AB560" s="172"/>
    </row>
    <row r="561" spans="25:28" s="3" customFormat="1">
      <c r="Y561" s="172"/>
      <c r="Z561" s="172"/>
      <c r="AA561" s="172"/>
      <c r="AB561" s="172"/>
    </row>
    <row r="562" spans="25:28" s="3" customFormat="1">
      <c r="Y562" s="172"/>
      <c r="Z562" s="172"/>
      <c r="AA562" s="172"/>
      <c r="AB562" s="172"/>
    </row>
    <row r="563" spans="25:28" s="3" customFormat="1">
      <c r="Y563" s="172"/>
      <c r="Z563" s="172"/>
      <c r="AA563" s="172"/>
      <c r="AB563" s="172"/>
    </row>
    <row r="564" spans="25:28" s="3" customFormat="1">
      <c r="Y564" s="172"/>
      <c r="Z564" s="172"/>
      <c r="AA564" s="172"/>
      <c r="AB564" s="172"/>
    </row>
    <row r="565" spans="25:28" s="3" customFormat="1">
      <c r="Y565" s="172"/>
      <c r="Z565" s="172"/>
      <c r="AA565" s="172"/>
      <c r="AB565" s="172"/>
    </row>
    <row r="566" spans="25:28" s="3" customFormat="1">
      <c r="Y566" s="172"/>
      <c r="Z566" s="172"/>
      <c r="AA566" s="172"/>
      <c r="AB566" s="172"/>
    </row>
    <row r="567" spans="25:28" s="3" customFormat="1">
      <c r="Y567" s="172"/>
      <c r="Z567" s="172"/>
      <c r="AA567" s="172"/>
      <c r="AB567" s="172"/>
    </row>
    <row r="568" spans="25:28" s="3" customFormat="1">
      <c r="Y568" s="172"/>
      <c r="Z568" s="172"/>
      <c r="AA568" s="172"/>
      <c r="AB568" s="172"/>
    </row>
    <row r="569" spans="25:28" s="3" customFormat="1">
      <c r="Y569" s="172"/>
      <c r="Z569" s="172"/>
      <c r="AA569" s="172"/>
      <c r="AB569" s="172"/>
    </row>
    <row r="570" spans="25:28" s="3" customFormat="1">
      <c r="Y570" s="172"/>
      <c r="Z570" s="172"/>
      <c r="AA570" s="172"/>
      <c r="AB570" s="172"/>
    </row>
    <row r="571" spans="25:28" s="3" customFormat="1">
      <c r="Y571" s="172"/>
      <c r="Z571" s="172"/>
      <c r="AA571" s="172"/>
      <c r="AB571" s="172"/>
    </row>
    <row r="572" spans="25:28" s="3" customFormat="1">
      <c r="Y572" s="172"/>
      <c r="Z572" s="172"/>
      <c r="AA572" s="172"/>
      <c r="AB572" s="172"/>
    </row>
    <row r="573" spans="25:28" s="3" customFormat="1">
      <c r="Y573" s="172"/>
      <c r="Z573" s="172"/>
      <c r="AA573" s="172"/>
      <c r="AB573" s="172"/>
    </row>
    <row r="574" spans="25:28" s="3" customFormat="1">
      <c r="Y574" s="172"/>
      <c r="Z574" s="172"/>
      <c r="AA574" s="172"/>
      <c r="AB574" s="172"/>
    </row>
    <row r="575" spans="25:28" s="3" customFormat="1">
      <c r="Y575" s="172"/>
      <c r="Z575" s="172"/>
      <c r="AA575" s="172"/>
      <c r="AB575" s="172"/>
    </row>
    <row r="576" spans="25:28" s="3" customFormat="1">
      <c r="Y576" s="172"/>
      <c r="Z576" s="172"/>
      <c r="AA576" s="172"/>
      <c r="AB576" s="172"/>
    </row>
    <row r="577" spans="25:28" s="3" customFormat="1">
      <c r="Y577" s="172"/>
      <c r="Z577" s="172"/>
      <c r="AA577" s="172"/>
      <c r="AB577" s="172"/>
    </row>
    <row r="578" spans="25:28" s="3" customFormat="1">
      <c r="Y578" s="172"/>
      <c r="Z578" s="172"/>
      <c r="AA578" s="172"/>
      <c r="AB578" s="172"/>
    </row>
    <row r="579" spans="25:28" s="3" customFormat="1">
      <c r="Y579" s="172"/>
      <c r="Z579" s="172"/>
      <c r="AA579" s="172"/>
      <c r="AB579" s="172"/>
    </row>
    <row r="580" spans="25:28" s="3" customFormat="1">
      <c r="Y580" s="172"/>
      <c r="Z580" s="172"/>
      <c r="AA580" s="172"/>
      <c r="AB580" s="172"/>
    </row>
    <row r="581" spans="25:28" s="3" customFormat="1">
      <c r="Y581" s="172"/>
      <c r="Z581" s="172"/>
      <c r="AA581" s="172"/>
      <c r="AB581" s="172"/>
    </row>
    <row r="582" spans="25:28" s="3" customFormat="1">
      <c r="Y582" s="172"/>
      <c r="Z582" s="172"/>
      <c r="AA582" s="172"/>
      <c r="AB582" s="172"/>
    </row>
    <row r="583" spans="25:28" s="3" customFormat="1">
      <c r="Y583" s="172"/>
      <c r="Z583" s="172"/>
      <c r="AA583" s="172"/>
      <c r="AB583" s="172"/>
    </row>
    <row r="584" spans="25:28" s="3" customFormat="1">
      <c r="Y584" s="172"/>
      <c r="Z584" s="172"/>
      <c r="AA584" s="172"/>
      <c r="AB584" s="172"/>
    </row>
    <row r="585" spans="25:28" s="3" customFormat="1">
      <c r="Y585" s="172"/>
      <c r="Z585" s="172"/>
      <c r="AA585" s="172"/>
      <c r="AB585" s="172"/>
    </row>
    <row r="586" spans="25:28" s="3" customFormat="1">
      <c r="Y586" s="172"/>
      <c r="Z586" s="172"/>
      <c r="AA586" s="172"/>
      <c r="AB586" s="172"/>
    </row>
    <row r="587" spans="25:28" s="3" customFormat="1">
      <c r="Y587" s="172"/>
      <c r="Z587" s="172"/>
      <c r="AA587" s="172"/>
      <c r="AB587" s="172"/>
    </row>
    <row r="588" spans="25:28" s="3" customFormat="1">
      <c r="Y588" s="172"/>
      <c r="Z588" s="172"/>
      <c r="AA588" s="172"/>
      <c r="AB588" s="172"/>
    </row>
    <row r="589" spans="25:28" s="3" customFormat="1">
      <c r="Y589" s="172"/>
      <c r="Z589" s="172"/>
      <c r="AA589" s="172"/>
      <c r="AB589" s="172"/>
    </row>
    <row r="590" spans="25:28" s="3" customFormat="1">
      <c r="Y590" s="172"/>
      <c r="Z590" s="172"/>
      <c r="AA590" s="172"/>
      <c r="AB590" s="172"/>
    </row>
    <row r="591" spans="25:28" s="3" customFormat="1">
      <c r="Y591" s="172"/>
      <c r="Z591" s="172"/>
      <c r="AA591" s="172"/>
      <c r="AB591" s="172"/>
    </row>
    <row r="592" spans="25:28" s="3" customFormat="1">
      <c r="Y592" s="172"/>
      <c r="Z592" s="172"/>
      <c r="AA592" s="172"/>
      <c r="AB592" s="172"/>
    </row>
    <row r="593" spans="25:28" s="3" customFormat="1">
      <c r="Y593" s="172"/>
      <c r="Z593" s="172"/>
      <c r="AA593" s="172"/>
      <c r="AB593" s="172"/>
    </row>
    <row r="594" spans="25:28" s="3" customFormat="1">
      <c r="Y594" s="172"/>
      <c r="Z594" s="172"/>
      <c r="AA594" s="172"/>
      <c r="AB594" s="172"/>
    </row>
    <row r="595" spans="25:28" s="3" customFormat="1">
      <c r="Y595" s="172"/>
      <c r="Z595" s="172"/>
      <c r="AA595" s="172"/>
      <c r="AB595" s="172"/>
    </row>
    <row r="596" spans="25:28" s="3" customFormat="1">
      <c r="Y596" s="172"/>
      <c r="Z596" s="172"/>
      <c r="AA596" s="172"/>
      <c r="AB596" s="172"/>
    </row>
    <row r="597" spans="25:28" s="3" customFormat="1">
      <c r="Y597" s="172"/>
      <c r="Z597" s="172"/>
      <c r="AA597" s="172"/>
      <c r="AB597" s="172"/>
    </row>
    <row r="598" spans="25:28" s="3" customFormat="1">
      <c r="Y598" s="172"/>
      <c r="Z598" s="172"/>
      <c r="AA598" s="172"/>
      <c r="AB598" s="172"/>
    </row>
    <row r="599" spans="25:28" s="3" customFormat="1">
      <c r="Y599" s="172"/>
      <c r="Z599" s="172"/>
      <c r="AA599" s="172"/>
      <c r="AB599" s="172"/>
    </row>
    <row r="600" spans="25:28" s="3" customFormat="1">
      <c r="Y600" s="172"/>
      <c r="Z600" s="172"/>
      <c r="AA600" s="172"/>
      <c r="AB600" s="172"/>
    </row>
    <row r="601" spans="25:28" s="3" customFormat="1">
      <c r="Y601" s="172"/>
      <c r="Z601" s="172"/>
      <c r="AA601" s="172"/>
      <c r="AB601" s="172"/>
    </row>
    <row r="602" spans="25:28" s="3" customFormat="1">
      <c r="Y602" s="172"/>
      <c r="Z602" s="172"/>
      <c r="AA602" s="172"/>
      <c r="AB602" s="172"/>
    </row>
    <row r="603" spans="25:28" s="3" customFormat="1">
      <c r="Y603" s="172"/>
      <c r="Z603" s="172"/>
      <c r="AA603" s="172"/>
      <c r="AB603" s="172"/>
    </row>
    <row r="604" spans="25:28" s="3" customFormat="1">
      <c r="Y604" s="172"/>
      <c r="Z604" s="172"/>
      <c r="AA604" s="172"/>
      <c r="AB604" s="172"/>
    </row>
    <row r="605" spans="25:28" s="3" customFormat="1">
      <c r="Y605" s="172"/>
      <c r="Z605" s="172"/>
      <c r="AA605" s="172"/>
      <c r="AB605" s="172"/>
    </row>
    <row r="606" spans="25:28" s="3" customFormat="1">
      <c r="Y606" s="172"/>
      <c r="Z606" s="172"/>
      <c r="AA606" s="172"/>
      <c r="AB606" s="172"/>
    </row>
    <row r="607" spans="25:28" s="3" customFormat="1">
      <c r="Y607" s="172"/>
      <c r="Z607" s="172"/>
      <c r="AA607" s="172"/>
      <c r="AB607" s="172"/>
    </row>
    <row r="608" spans="25:28" s="3" customFormat="1">
      <c r="Y608" s="172"/>
      <c r="Z608" s="172"/>
      <c r="AA608" s="172"/>
      <c r="AB608" s="172"/>
    </row>
    <row r="609" spans="25:28" s="3" customFormat="1">
      <c r="Y609" s="172"/>
      <c r="Z609" s="172"/>
      <c r="AA609" s="172"/>
      <c r="AB609" s="172"/>
    </row>
    <row r="610" spans="25:28" s="3" customFormat="1">
      <c r="Y610" s="172"/>
      <c r="Z610" s="172"/>
      <c r="AA610" s="172"/>
      <c r="AB610" s="172"/>
    </row>
    <row r="611" spans="25:28" s="3" customFormat="1">
      <c r="Y611" s="172"/>
      <c r="Z611" s="172"/>
      <c r="AA611" s="172"/>
      <c r="AB611" s="172"/>
    </row>
    <row r="612" spans="25:28" s="3" customFormat="1">
      <c r="Y612" s="172"/>
      <c r="Z612" s="172"/>
      <c r="AA612" s="172"/>
      <c r="AB612" s="172"/>
    </row>
    <row r="613" spans="25:28" s="3" customFormat="1">
      <c r="Y613" s="172"/>
      <c r="Z613" s="172"/>
      <c r="AA613" s="172"/>
      <c r="AB613" s="172"/>
    </row>
    <row r="614" spans="25:28" s="3" customFormat="1">
      <c r="Y614" s="172"/>
      <c r="Z614" s="172"/>
      <c r="AA614" s="172"/>
      <c r="AB614" s="172"/>
    </row>
    <row r="615" spans="25:28" s="3" customFormat="1">
      <c r="Y615" s="172"/>
      <c r="Z615" s="172"/>
      <c r="AA615" s="172"/>
      <c r="AB615" s="172"/>
    </row>
    <row r="616" spans="25:28" s="3" customFormat="1">
      <c r="Y616" s="172"/>
      <c r="Z616" s="172"/>
      <c r="AA616" s="172"/>
      <c r="AB616" s="172"/>
    </row>
    <row r="617" spans="25:28" s="3" customFormat="1">
      <c r="Y617" s="172"/>
      <c r="Z617" s="172"/>
      <c r="AA617" s="172"/>
      <c r="AB617" s="172"/>
    </row>
    <row r="618" spans="25:28" s="3" customFormat="1">
      <c r="Y618" s="172"/>
      <c r="Z618" s="172"/>
      <c r="AA618" s="172"/>
      <c r="AB618" s="172"/>
    </row>
    <row r="619" spans="25:28" s="3" customFormat="1">
      <c r="Y619" s="172"/>
      <c r="Z619" s="172"/>
      <c r="AA619" s="172"/>
      <c r="AB619" s="172"/>
    </row>
    <row r="620" spans="25:28" s="3" customFormat="1">
      <c r="Y620" s="172"/>
      <c r="Z620" s="172"/>
      <c r="AA620" s="172"/>
      <c r="AB620" s="172"/>
    </row>
    <row r="621" spans="25:28" s="3" customFormat="1">
      <c r="Y621" s="172"/>
      <c r="Z621" s="172"/>
      <c r="AA621" s="172"/>
      <c r="AB621" s="172"/>
    </row>
    <row r="622" spans="25:28" s="3" customFormat="1">
      <c r="Y622" s="172"/>
      <c r="Z622" s="172"/>
      <c r="AA622" s="172"/>
      <c r="AB622" s="172"/>
    </row>
    <row r="623" spans="25:28" s="3" customFormat="1">
      <c r="Y623" s="172"/>
      <c r="Z623" s="172"/>
      <c r="AA623" s="172"/>
      <c r="AB623" s="172"/>
    </row>
    <row r="624" spans="25:28" s="3" customFormat="1">
      <c r="Y624" s="172"/>
      <c r="Z624" s="172"/>
      <c r="AA624" s="172"/>
      <c r="AB624" s="172"/>
    </row>
    <row r="625" spans="25:28" s="3" customFormat="1">
      <c r="Y625" s="172"/>
      <c r="Z625" s="172"/>
      <c r="AA625" s="172"/>
      <c r="AB625" s="172"/>
    </row>
    <row r="626" spans="25:28" s="3" customFormat="1">
      <c r="Y626" s="172"/>
      <c r="Z626" s="172"/>
      <c r="AA626" s="172"/>
      <c r="AB626" s="172"/>
    </row>
    <row r="627" spans="25:28" s="3" customFormat="1">
      <c r="Y627" s="172"/>
      <c r="Z627" s="172"/>
      <c r="AA627" s="172"/>
      <c r="AB627" s="172"/>
    </row>
    <row r="628" spans="25:28" s="3" customFormat="1">
      <c r="Y628" s="172"/>
      <c r="Z628" s="172"/>
      <c r="AA628" s="172"/>
      <c r="AB628" s="172"/>
    </row>
    <row r="629" spans="25:28" s="3" customFormat="1">
      <c r="Y629" s="172"/>
      <c r="Z629" s="172"/>
      <c r="AA629" s="172"/>
      <c r="AB629" s="172"/>
    </row>
    <row r="630" spans="25:28" s="3" customFormat="1">
      <c r="Y630" s="172"/>
      <c r="Z630" s="172"/>
      <c r="AA630" s="172"/>
      <c r="AB630" s="172"/>
    </row>
    <row r="631" spans="25:28" s="3" customFormat="1">
      <c r="Y631" s="172"/>
      <c r="Z631" s="172"/>
      <c r="AA631" s="172"/>
      <c r="AB631" s="172"/>
    </row>
    <row r="632" spans="25:28" s="3" customFormat="1">
      <c r="Y632" s="172"/>
      <c r="Z632" s="172"/>
      <c r="AA632" s="172"/>
      <c r="AB632" s="172"/>
    </row>
    <row r="633" spans="25:28" s="3" customFormat="1">
      <c r="Y633" s="172"/>
      <c r="Z633" s="172"/>
      <c r="AA633" s="172"/>
      <c r="AB633" s="172"/>
    </row>
    <row r="634" spans="25:28" s="3" customFormat="1">
      <c r="Y634" s="172"/>
      <c r="Z634" s="172"/>
      <c r="AA634" s="172"/>
      <c r="AB634" s="172"/>
    </row>
    <row r="635" spans="25:28" s="3" customFormat="1">
      <c r="Y635" s="172"/>
      <c r="Z635" s="172"/>
      <c r="AA635" s="172"/>
      <c r="AB635" s="172"/>
    </row>
    <row r="636" spans="25:28" s="3" customFormat="1">
      <c r="Y636" s="172"/>
      <c r="Z636" s="172"/>
      <c r="AA636" s="172"/>
      <c r="AB636" s="172"/>
    </row>
    <row r="637" spans="25:28" s="3" customFormat="1">
      <c r="Y637" s="172"/>
      <c r="Z637" s="172"/>
      <c r="AA637" s="172"/>
      <c r="AB637" s="172"/>
    </row>
    <row r="638" spans="25:28" s="3" customFormat="1">
      <c r="Y638" s="172"/>
      <c r="Z638" s="172"/>
      <c r="AA638" s="172"/>
      <c r="AB638" s="172"/>
    </row>
    <row r="639" spans="25:28" s="3" customFormat="1">
      <c r="Y639" s="172"/>
      <c r="Z639" s="172"/>
      <c r="AA639" s="172"/>
      <c r="AB639" s="172"/>
    </row>
    <row r="640" spans="25:28" s="3" customFormat="1">
      <c r="Y640" s="172"/>
      <c r="Z640" s="172"/>
      <c r="AA640" s="172"/>
      <c r="AB640" s="172"/>
    </row>
    <row r="641" spans="25:28" s="3" customFormat="1">
      <c r="Y641" s="172"/>
      <c r="Z641" s="172"/>
      <c r="AA641" s="172"/>
      <c r="AB641" s="172"/>
    </row>
    <row r="642" spans="25:28" s="3" customFormat="1">
      <c r="Y642" s="172"/>
      <c r="Z642" s="172"/>
      <c r="AA642" s="172"/>
      <c r="AB642" s="172"/>
    </row>
    <row r="643" spans="25:28" s="3" customFormat="1">
      <c r="Y643" s="172"/>
      <c r="Z643" s="172"/>
      <c r="AA643" s="172"/>
      <c r="AB643" s="172"/>
    </row>
    <row r="644" spans="25:28" s="3" customFormat="1">
      <c r="Y644" s="172"/>
      <c r="Z644" s="172"/>
      <c r="AA644" s="172"/>
      <c r="AB644" s="172"/>
    </row>
    <row r="645" spans="25:28" s="3" customFormat="1">
      <c r="Y645" s="172"/>
      <c r="Z645" s="172"/>
      <c r="AA645" s="172"/>
      <c r="AB645" s="172"/>
    </row>
    <row r="646" spans="25:28" s="3" customFormat="1">
      <c r="Y646" s="172"/>
      <c r="Z646" s="172"/>
      <c r="AA646" s="172"/>
      <c r="AB646" s="172"/>
    </row>
    <row r="647" spans="25:28" s="3" customFormat="1">
      <c r="Y647" s="172"/>
      <c r="Z647" s="172"/>
      <c r="AA647" s="172"/>
      <c r="AB647" s="172"/>
    </row>
    <row r="648" spans="25:28" s="3" customFormat="1">
      <c r="Y648" s="172"/>
      <c r="Z648" s="172"/>
      <c r="AA648" s="172"/>
      <c r="AB648" s="172"/>
    </row>
    <row r="649" spans="25:28" s="3" customFormat="1">
      <c r="Y649" s="172"/>
      <c r="Z649" s="172"/>
      <c r="AA649" s="172"/>
      <c r="AB649" s="172"/>
    </row>
    <row r="650" spans="25:28" s="3" customFormat="1">
      <c r="Y650" s="172"/>
      <c r="Z650" s="172"/>
      <c r="AA650" s="172"/>
      <c r="AB650" s="172"/>
    </row>
    <row r="651" spans="25:28" s="3" customFormat="1">
      <c r="Y651" s="172"/>
      <c r="Z651" s="172"/>
      <c r="AA651" s="172"/>
      <c r="AB651" s="172"/>
    </row>
    <row r="652" spans="25:28" s="3" customFormat="1">
      <c r="Y652" s="172"/>
      <c r="Z652" s="172"/>
      <c r="AA652" s="172"/>
      <c r="AB652" s="172"/>
    </row>
    <row r="653" spans="25:28" s="3" customFormat="1">
      <c r="Y653" s="172"/>
      <c r="Z653" s="172"/>
      <c r="AA653" s="172"/>
      <c r="AB653" s="172"/>
    </row>
    <row r="654" spans="25:28" s="3" customFormat="1">
      <c r="Y654" s="172"/>
      <c r="Z654" s="172"/>
      <c r="AA654" s="172"/>
      <c r="AB654" s="172"/>
    </row>
    <row r="655" spans="25:28" s="3" customFormat="1">
      <c r="Y655" s="172"/>
      <c r="Z655" s="172"/>
      <c r="AA655" s="172"/>
      <c r="AB655" s="172"/>
    </row>
    <row r="656" spans="25:28" s="3" customFormat="1">
      <c r="Y656" s="172"/>
      <c r="Z656" s="172"/>
      <c r="AA656" s="172"/>
      <c r="AB656" s="172"/>
    </row>
    <row r="657" spans="25:28" s="3" customFormat="1">
      <c r="Y657" s="172"/>
      <c r="Z657" s="172"/>
      <c r="AA657" s="172"/>
      <c r="AB657" s="172"/>
    </row>
    <row r="658" spans="25:28" s="3" customFormat="1">
      <c r="Y658" s="172"/>
      <c r="Z658" s="172"/>
      <c r="AA658" s="172"/>
      <c r="AB658" s="172"/>
    </row>
    <row r="659" spans="25:28" s="3" customFormat="1">
      <c r="Y659" s="172"/>
      <c r="Z659" s="172"/>
      <c r="AA659" s="172"/>
      <c r="AB659" s="172"/>
    </row>
    <row r="660" spans="25:28" s="3" customFormat="1">
      <c r="Y660" s="172"/>
      <c r="Z660" s="172"/>
      <c r="AA660" s="172"/>
      <c r="AB660" s="172"/>
    </row>
    <row r="661" spans="25:28" s="3" customFormat="1">
      <c r="Y661" s="172"/>
      <c r="Z661" s="172"/>
      <c r="AA661" s="172"/>
      <c r="AB661" s="172"/>
    </row>
    <row r="662" spans="25:28" s="3" customFormat="1">
      <c r="Y662" s="172"/>
      <c r="Z662" s="172"/>
      <c r="AA662" s="172"/>
      <c r="AB662" s="172"/>
    </row>
    <row r="663" spans="25:28" s="3" customFormat="1">
      <c r="Y663" s="172"/>
      <c r="Z663" s="172"/>
      <c r="AA663" s="172"/>
      <c r="AB663" s="172"/>
    </row>
    <row r="664" spans="25:28" s="3" customFormat="1">
      <c r="Y664" s="172"/>
      <c r="Z664" s="172"/>
      <c r="AA664" s="172"/>
      <c r="AB664" s="172"/>
    </row>
    <row r="665" spans="25:28" s="3" customFormat="1">
      <c r="Y665" s="172"/>
      <c r="Z665" s="172"/>
      <c r="AA665" s="172"/>
      <c r="AB665" s="172"/>
    </row>
    <row r="666" spans="25:28" s="3" customFormat="1">
      <c r="Y666" s="172"/>
      <c r="Z666" s="172"/>
      <c r="AA666" s="172"/>
      <c r="AB666" s="172"/>
    </row>
    <row r="667" spans="25:28" s="3" customFormat="1">
      <c r="Y667" s="172"/>
      <c r="Z667" s="172"/>
      <c r="AA667" s="172"/>
      <c r="AB667" s="172"/>
    </row>
    <row r="668" spans="25:28" s="3" customFormat="1">
      <c r="Y668" s="172"/>
      <c r="Z668" s="172"/>
      <c r="AA668" s="172"/>
      <c r="AB668" s="172"/>
    </row>
    <row r="669" spans="25:28" s="3" customFormat="1">
      <c r="Y669" s="172"/>
      <c r="Z669" s="172"/>
      <c r="AA669" s="172"/>
      <c r="AB669" s="172"/>
    </row>
    <row r="670" spans="25:28" s="3" customFormat="1">
      <c r="Y670" s="172"/>
      <c r="Z670" s="172"/>
      <c r="AA670" s="172"/>
      <c r="AB670" s="172"/>
    </row>
    <row r="671" spans="25:28" s="3" customFormat="1">
      <c r="Y671" s="172"/>
      <c r="Z671" s="172"/>
      <c r="AA671" s="172"/>
      <c r="AB671" s="172"/>
    </row>
    <row r="672" spans="25:28" s="3" customFormat="1">
      <c r="Y672" s="172"/>
      <c r="Z672" s="172"/>
      <c r="AA672" s="172"/>
      <c r="AB672" s="172"/>
    </row>
    <row r="673" spans="25:28" s="3" customFormat="1">
      <c r="Y673" s="172"/>
      <c r="Z673" s="172"/>
      <c r="AA673" s="172"/>
      <c r="AB673" s="172"/>
    </row>
    <row r="674" spans="25:28" s="3" customFormat="1">
      <c r="Y674" s="172"/>
      <c r="Z674" s="172"/>
      <c r="AA674" s="172"/>
      <c r="AB674" s="172"/>
    </row>
    <row r="675" spans="25:28" s="3" customFormat="1">
      <c r="Y675" s="172"/>
      <c r="Z675" s="172"/>
      <c r="AA675" s="172"/>
      <c r="AB675" s="172"/>
    </row>
    <row r="676" spans="25:28" s="3" customFormat="1">
      <c r="Y676" s="172"/>
      <c r="Z676" s="172"/>
      <c r="AA676" s="172"/>
      <c r="AB676" s="172"/>
    </row>
    <row r="677" spans="25:28" s="3" customFormat="1">
      <c r="Y677" s="172"/>
      <c r="Z677" s="172"/>
      <c r="AA677" s="172"/>
      <c r="AB677" s="172"/>
    </row>
    <row r="678" spans="25:28" s="3" customFormat="1">
      <c r="Y678" s="172"/>
      <c r="Z678" s="172"/>
      <c r="AA678" s="172"/>
      <c r="AB678" s="172"/>
    </row>
    <row r="679" spans="25:28" s="3" customFormat="1">
      <c r="Y679" s="172"/>
      <c r="Z679" s="172"/>
      <c r="AA679" s="172"/>
      <c r="AB679" s="172"/>
    </row>
    <row r="680" spans="25:28" s="3" customFormat="1">
      <c r="Y680" s="172"/>
      <c r="Z680" s="172"/>
      <c r="AA680" s="172"/>
      <c r="AB680" s="172"/>
    </row>
    <row r="681" spans="25:28" s="3" customFormat="1">
      <c r="Y681" s="172"/>
      <c r="Z681" s="172"/>
      <c r="AA681" s="172"/>
      <c r="AB681" s="172"/>
    </row>
    <row r="682" spans="25:28" s="3" customFormat="1">
      <c r="Y682" s="172"/>
      <c r="Z682" s="172"/>
      <c r="AA682" s="172"/>
      <c r="AB682" s="172"/>
    </row>
    <row r="683" spans="25:28" s="3" customFormat="1">
      <c r="Y683" s="172"/>
      <c r="Z683" s="172"/>
      <c r="AA683" s="172"/>
      <c r="AB683" s="172"/>
    </row>
    <row r="684" spans="25:28" s="3" customFormat="1">
      <c r="Y684" s="172"/>
      <c r="Z684" s="172"/>
      <c r="AA684" s="172"/>
      <c r="AB684" s="172"/>
    </row>
    <row r="685" spans="25:28" s="3" customFormat="1">
      <c r="Y685" s="172"/>
      <c r="Z685" s="172"/>
      <c r="AA685" s="172"/>
      <c r="AB685" s="172"/>
    </row>
    <row r="686" spans="25:28" s="3" customFormat="1">
      <c r="Y686" s="172"/>
      <c r="Z686" s="172"/>
      <c r="AA686" s="172"/>
      <c r="AB686" s="172"/>
    </row>
    <row r="687" spans="25:28" s="3" customFormat="1">
      <c r="Y687" s="172"/>
      <c r="Z687" s="172"/>
      <c r="AA687" s="172"/>
      <c r="AB687" s="172"/>
    </row>
    <row r="688" spans="25:28" s="3" customFormat="1">
      <c r="Y688" s="172"/>
      <c r="Z688" s="172"/>
      <c r="AA688" s="172"/>
      <c r="AB688" s="172"/>
    </row>
    <row r="689" spans="25:28" s="3" customFormat="1">
      <c r="Y689" s="172"/>
      <c r="Z689" s="172"/>
      <c r="AA689" s="172"/>
      <c r="AB689" s="172"/>
    </row>
    <row r="690" spans="25:28" s="3" customFormat="1">
      <c r="Y690" s="172"/>
      <c r="Z690" s="172"/>
      <c r="AA690" s="172"/>
      <c r="AB690" s="172"/>
    </row>
    <row r="691" spans="25:28" s="3" customFormat="1">
      <c r="Y691" s="172"/>
      <c r="Z691" s="172"/>
      <c r="AA691" s="172"/>
      <c r="AB691" s="172"/>
    </row>
    <row r="692" spans="25:28" s="3" customFormat="1">
      <c r="Y692" s="172"/>
      <c r="Z692" s="172"/>
      <c r="AA692" s="172"/>
      <c r="AB692" s="172"/>
    </row>
    <row r="693" spans="25:28" s="3" customFormat="1">
      <c r="Y693" s="172"/>
      <c r="Z693" s="172"/>
      <c r="AA693" s="172"/>
      <c r="AB693" s="172"/>
    </row>
    <row r="694" spans="25:28" s="3" customFormat="1">
      <c r="Y694" s="172"/>
      <c r="Z694" s="172"/>
      <c r="AA694" s="172"/>
      <c r="AB694" s="172"/>
    </row>
    <row r="695" spans="25:28" s="3" customFormat="1">
      <c r="Y695" s="172"/>
      <c r="Z695" s="172"/>
      <c r="AA695" s="172"/>
      <c r="AB695" s="172"/>
    </row>
    <row r="696" spans="25:28" s="3" customFormat="1">
      <c r="Y696" s="172"/>
      <c r="Z696" s="172"/>
      <c r="AA696" s="172"/>
      <c r="AB696" s="172"/>
    </row>
    <row r="697" spans="25:28" s="3" customFormat="1">
      <c r="Y697" s="172"/>
      <c r="Z697" s="172"/>
      <c r="AA697" s="172"/>
      <c r="AB697" s="172"/>
    </row>
    <row r="698" spans="25:28" s="3" customFormat="1">
      <c r="Y698" s="172"/>
      <c r="Z698" s="172"/>
      <c r="AA698" s="172"/>
      <c r="AB698" s="172"/>
    </row>
    <row r="699" spans="25:28" s="3" customFormat="1">
      <c r="Y699" s="172"/>
      <c r="Z699" s="172"/>
      <c r="AA699" s="172"/>
      <c r="AB699" s="172"/>
    </row>
    <row r="700" spans="25:28" s="3" customFormat="1">
      <c r="Y700" s="172"/>
      <c r="Z700" s="172"/>
      <c r="AA700" s="172"/>
      <c r="AB700" s="172"/>
    </row>
    <row r="701" spans="25:28" s="3" customFormat="1">
      <c r="Y701" s="172"/>
      <c r="Z701" s="172"/>
      <c r="AA701" s="172"/>
      <c r="AB701" s="172"/>
    </row>
    <row r="702" spans="25:28" s="3" customFormat="1">
      <c r="Y702" s="172"/>
      <c r="Z702" s="172"/>
      <c r="AA702" s="172"/>
      <c r="AB702" s="172"/>
    </row>
    <row r="703" spans="25:28" s="3" customFormat="1">
      <c r="Y703" s="172"/>
      <c r="Z703" s="172"/>
      <c r="AA703" s="172"/>
      <c r="AB703" s="172"/>
    </row>
    <row r="704" spans="25:28" s="3" customFormat="1">
      <c r="Y704" s="172"/>
      <c r="Z704" s="172"/>
      <c r="AA704" s="172"/>
      <c r="AB704" s="172"/>
    </row>
    <row r="705" spans="25:28" s="3" customFormat="1">
      <c r="Y705" s="172"/>
      <c r="Z705" s="172"/>
      <c r="AA705" s="172"/>
      <c r="AB705" s="172"/>
    </row>
    <row r="706" spans="25:28" s="3" customFormat="1">
      <c r="Y706" s="172"/>
      <c r="Z706" s="172"/>
      <c r="AA706" s="172"/>
      <c r="AB706" s="172"/>
    </row>
    <row r="707" spans="25:28" s="3" customFormat="1">
      <c r="Y707" s="172"/>
      <c r="Z707" s="172"/>
      <c r="AA707" s="172"/>
      <c r="AB707" s="172"/>
    </row>
    <row r="708" spans="25:28" s="3" customFormat="1">
      <c r="Y708" s="172"/>
      <c r="Z708" s="172"/>
      <c r="AA708" s="172"/>
      <c r="AB708" s="172"/>
    </row>
    <row r="709" spans="25:28" s="3" customFormat="1">
      <c r="Y709" s="172"/>
      <c r="Z709" s="172"/>
      <c r="AA709" s="172"/>
      <c r="AB709" s="172"/>
    </row>
    <row r="710" spans="25:28" s="3" customFormat="1">
      <c r="Y710" s="172"/>
      <c r="Z710" s="172"/>
      <c r="AA710" s="172"/>
      <c r="AB710" s="172"/>
    </row>
    <row r="711" spans="25:28" s="3" customFormat="1">
      <c r="Y711" s="172"/>
      <c r="Z711" s="172"/>
      <c r="AA711" s="172"/>
      <c r="AB711" s="172"/>
    </row>
    <row r="712" spans="25:28" s="3" customFormat="1">
      <c r="Y712" s="172"/>
      <c r="Z712" s="172"/>
      <c r="AA712" s="172"/>
      <c r="AB712" s="172"/>
    </row>
    <row r="713" spans="25:28" s="3" customFormat="1">
      <c r="Y713" s="172"/>
      <c r="Z713" s="172"/>
      <c r="AA713" s="172"/>
      <c r="AB713" s="172"/>
    </row>
    <row r="714" spans="25:28" s="3" customFormat="1">
      <c r="Y714" s="172"/>
      <c r="Z714" s="172"/>
      <c r="AA714" s="172"/>
      <c r="AB714" s="172"/>
    </row>
    <row r="715" spans="25:28" s="3" customFormat="1">
      <c r="Y715" s="172"/>
      <c r="Z715" s="172"/>
      <c r="AA715" s="172"/>
      <c r="AB715" s="172"/>
    </row>
    <row r="716" spans="25:28" s="3" customFormat="1">
      <c r="Y716" s="172"/>
      <c r="Z716" s="172"/>
      <c r="AA716" s="172"/>
      <c r="AB716" s="172"/>
    </row>
    <row r="717" spans="25:28" s="3" customFormat="1">
      <c r="Y717" s="172"/>
      <c r="Z717" s="172"/>
      <c r="AA717" s="172"/>
      <c r="AB717" s="172"/>
    </row>
    <row r="718" spans="25:28" s="3" customFormat="1">
      <c r="Y718" s="172"/>
      <c r="Z718" s="172"/>
      <c r="AA718" s="172"/>
      <c r="AB718" s="172"/>
    </row>
    <row r="719" spans="25:28" s="3" customFormat="1">
      <c r="Y719" s="172"/>
      <c r="Z719" s="172"/>
      <c r="AA719" s="172"/>
      <c r="AB719" s="172"/>
    </row>
    <row r="720" spans="25:28" s="3" customFormat="1">
      <c r="Y720" s="172"/>
      <c r="Z720" s="172"/>
      <c r="AA720" s="172"/>
      <c r="AB720" s="172"/>
    </row>
    <row r="721" spans="25:28" s="3" customFormat="1">
      <c r="Y721" s="172"/>
      <c r="Z721" s="172"/>
      <c r="AA721" s="172"/>
      <c r="AB721" s="172"/>
    </row>
    <row r="722" spans="25:28" s="3" customFormat="1">
      <c r="Y722" s="172"/>
      <c r="Z722" s="172"/>
      <c r="AA722" s="172"/>
      <c r="AB722" s="172"/>
    </row>
    <row r="723" spans="25:28" s="3" customFormat="1">
      <c r="Y723" s="172"/>
      <c r="Z723" s="172"/>
      <c r="AA723" s="172"/>
      <c r="AB723" s="172"/>
    </row>
    <row r="724" spans="25:28" s="3" customFormat="1">
      <c r="Y724" s="172"/>
      <c r="Z724" s="172"/>
      <c r="AA724" s="172"/>
      <c r="AB724" s="172"/>
    </row>
    <row r="725" spans="25:28" s="3" customFormat="1">
      <c r="Y725" s="172"/>
      <c r="Z725" s="172"/>
      <c r="AA725" s="172"/>
      <c r="AB725" s="172"/>
    </row>
    <row r="726" spans="25:28" s="3" customFormat="1">
      <c r="Y726" s="172"/>
      <c r="Z726" s="172"/>
      <c r="AA726" s="172"/>
      <c r="AB726" s="172"/>
    </row>
    <row r="727" spans="25:28" s="3" customFormat="1">
      <c r="Y727" s="172"/>
      <c r="Z727" s="172"/>
      <c r="AA727" s="172"/>
      <c r="AB727" s="172"/>
    </row>
    <row r="728" spans="25:28" s="3" customFormat="1">
      <c r="Y728" s="172"/>
      <c r="Z728" s="172"/>
      <c r="AA728" s="172"/>
      <c r="AB728" s="172"/>
    </row>
    <row r="729" spans="25:28" s="3" customFormat="1">
      <c r="Y729" s="172"/>
      <c r="Z729" s="172"/>
      <c r="AA729" s="172"/>
      <c r="AB729" s="172"/>
    </row>
    <row r="730" spans="25:28" s="3" customFormat="1">
      <c r="Y730" s="172"/>
      <c r="Z730" s="172"/>
      <c r="AA730" s="172"/>
      <c r="AB730" s="172"/>
    </row>
    <row r="731" spans="25:28" s="3" customFormat="1">
      <c r="Y731" s="172"/>
      <c r="Z731" s="172"/>
      <c r="AA731" s="172"/>
      <c r="AB731" s="172"/>
    </row>
    <row r="732" spans="25:28" s="3" customFormat="1">
      <c r="Y732" s="172"/>
      <c r="Z732" s="172"/>
      <c r="AA732" s="172"/>
      <c r="AB732" s="172"/>
    </row>
    <row r="733" spans="25:28" s="3" customFormat="1">
      <c r="Y733" s="172"/>
      <c r="Z733" s="172"/>
      <c r="AA733" s="172"/>
      <c r="AB733" s="172"/>
    </row>
    <row r="734" spans="25:28" s="3" customFormat="1">
      <c r="Y734" s="172"/>
      <c r="Z734" s="172"/>
      <c r="AA734" s="172"/>
      <c r="AB734" s="172"/>
    </row>
    <row r="735" spans="25:28" s="3" customFormat="1">
      <c r="Y735" s="172"/>
      <c r="Z735" s="172"/>
      <c r="AA735" s="172"/>
      <c r="AB735" s="172"/>
    </row>
    <row r="736" spans="25:28" s="3" customFormat="1">
      <c r="Y736" s="172"/>
      <c r="Z736" s="172"/>
      <c r="AA736" s="172"/>
      <c r="AB736" s="172"/>
    </row>
    <row r="737" spans="25:28" s="3" customFormat="1">
      <c r="Y737" s="172"/>
      <c r="Z737" s="172"/>
      <c r="AA737" s="172"/>
      <c r="AB737" s="172"/>
    </row>
    <row r="738" spans="25:28" s="3" customFormat="1">
      <c r="Y738" s="172"/>
      <c r="Z738" s="172"/>
      <c r="AA738" s="172"/>
      <c r="AB738" s="172"/>
    </row>
    <row r="739" spans="25:28" s="3" customFormat="1">
      <c r="Y739" s="172"/>
      <c r="Z739" s="172"/>
      <c r="AA739" s="172"/>
      <c r="AB739" s="172"/>
    </row>
    <row r="740" spans="25:28" s="3" customFormat="1">
      <c r="Y740" s="172"/>
      <c r="Z740" s="172"/>
      <c r="AA740" s="172"/>
      <c r="AB740" s="172"/>
    </row>
    <row r="741" spans="25:28" s="3" customFormat="1">
      <c r="Y741" s="172"/>
      <c r="Z741" s="172"/>
      <c r="AA741" s="172"/>
      <c r="AB741" s="172"/>
    </row>
    <row r="742" spans="25:28" s="3" customFormat="1">
      <c r="Y742" s="172"/>
      <c r="Z742" s="172"/>
      <c r="AA742" s="172"/>
      <c r="AB742" s="172"/>
    </row>
    <row r="743" spans="25:28" s="3" customFormat="1">
      <c r="Y743" s="172"/>
      <c r="Z743" s="172"/>
      <c r="AA743" s="172"/>
      <c r="AB743" s="172"/>
    </row>
    <row r="744" spans="25:28" s="3" customFormat="1">
      <c r="Y744" s="172"/>
      <c r="Z744" s="172"/>
      <c r="AA744" s="172"/>
      <c r="AB744" s="172"/>
    </row>
    <row r="745" spans="25:28" s="3" customFormat="1">
      <c r="Y745" s="172"/>
      <c r="Z745" s="172"/>
      <c r="AA745" s="172"/>
      <c r="AB745" s="172"/>
    </row>
    <row r="746" spans="25:28" s="3" customFormat="1">
      <c r="Y746" s="172"/>
      <c r="Z746" s="172"/>
      <c r="AA746" s="172"/>
      <c r="AB746" s="172"/>
    </row>
    <row r="747" spans="25:28" s="3" customFormat="1">
      <c r="Y747" s="172"/>
      <c r="Z747" s="172"/>
      <c r="AA747" s="172"/>
      <c r="AB747" s="172"/>
    </row>
    <row r="748" spans="25:28" s="3" customFormat="1">
      <c r="Y748" s="172"/>
      <c r="Z748" s="172"/>
      <c r="AA748" s="172"/>
      <c r="AB748" s="172"/>
    </row>
    <row r="749" spans="25:28" s="3" customFormat="1">
      <c r="Y749" s="172"/>
      <c r="Z749" s="172"/>
      <c r="AA749" s="172"/>
      <c r="AB749" s="172"/>
    </row>
    <row r="750" spans="25:28" s="3" customFormat="1">
      <c r="Y750" s="172"/>
      <c r="Z750" s="172"/>
      <c r="AA750" s="172"/>
      <c r="AB750" s="172"/>
    </row>
    <row r="751" spans="25:28" s="3" customFormat="1">
      <c r="Y751" s="172"/>
      <c r="Z751" s="172"/>
      <c r="AA751" s="172"/>
      <c r="AB751" s="172"/>
    </row>
    <row r="752" spans="25:28" s="3" customFormat="1">
      <c r="Y752" s="172"/>
      <c r="Z752" s="172"/>
      <c r="AA752" s="172"/>
      <c r="AB752" s="172"/>
    </row>
    <row r="753" spans="25:28" s="3" customFormat="1">
      <c r="Y753" s="172"/>
      <c r="Z753" s="172"/>
      <c r="AA753" s="172"/>
      <c r="AB753" s="172"/>
    </row>
    <row r="754" spans="25:28" s="3" customFormat="1">
      <c r="Y754" s="172"/>
      <c r="Z754" s="172"/>
      <c r="AA754" s="172"/>
      <c r="AB754" s="172"/>
    </row>
    <row r="755" spans="25:28" s="3" customFormat="1">
      <c r="Y755" s="172"/>
      <c r="Z755" s="172"/>
      <c r="AA755" s="172"/>
      <c r="AB755" s="172"/>
    </row>
    <row r="756" spans="25:28" s="3" customFormat="1">
      <c r="Y756" s="172"/>
      <c r="Z756" s="172"/>
      <c r="AA756" s="172"/>
      <c r="AB756" s="172"/>
    </row>
    <row r="757" spans="25:28" s="3" customFormat="1">
      <c r="Y757" s="172"/>
      <c r="Z757" s="172"/>
      <c r="AA757" s="172"/>
      <c r="AB757" s="172"/>
    </row>
    <row r="758" spans="25:28" s="3" customFormat="1">
      <c r="Y758" s="172"/>
      <c r="Z758" s="172"/>
      <c r="AA758" s="172"/>
      <c r="AB758" s="172"/>
    </row>
    <row r="759" spans="25:28" s="3" customFormat="1">
      <c r="Y759" s="172"/>
      <c r="Z759" s="172"/>
      <c r="AA759" s="172"/>
      <c r="AB759" s="172"/>
    </row>
    <row r="760" spans="25:28" s="3" customFormat="1">
      <c r="Y760" s="172"/>
      <c r="Z760" s="172"/>
      <c r="AA760" s="172"/>
      <c r="AB760" s="172"/>
    </row>
    <row r="761" spans="25:28" s="3" customFormat="1">
      <c r="Y761" s="172"/>
      <c r="Z761" s="172"/>
      <c r="AA761" s="172"/>
      <c r="AB761" s="172"/>
    </row>
    <row r="762" spans="25:28" s="3" customFormat="1">
      <c r="Y762" s="172"/>
      <c r="Z762" s="172"/>
      <c r="AA762" s="172"/>
      <c r="AB762" s="172"/>
    </row>
    <row r="763" spans="25:28" s="3" customFormat="1">
      <c r="Y763" s="172"/>
      <c r="Z763" s="172"/>
      <c r="AA763" s="172"/>
      <c r="AB763" s="172"/>
    </row>
    <row r="764" spans="25:28" s="3" customFormat="1">
      <c r="Y764" s="172"/>
      <c r="Z764" s="172"/>
      <c r="AA764" s="172"/>
      <c r="AB764" s="172"/>
    </row>
    <row r="765" spans="25:28" s="3" customFormat="1">
      <c r="Y765" s="172"/>
      <c r="Z765" s="172"/>
      <c r="AA765" s="172"/>
      <c r="AB765" s="172"/>
    </row>
    <row r="766" spans="25:28" s="3" customFormat="1">
      <c r="Y766" s="172"/>
      <c r="Z766" s="172"/>
      <c r="AA766" s="172"/>
      <c r="AB766" s="172"/>
    </row>
    <row r="767" spans="25:28" s="3" customFormat="1">
      <c r="Y767" s="172"/>
      <c r="Z767" s="172"/>
      <c r="AA767" s="172"/>
      <c r="AB767" s="172"/>
    </row>
    <row r="768" spans="25:28" s="3" customFormat="1">
      <c r="Y768" s="172"/>
      <c r="Z768" s="172"/>
      <c r="AA768" s="172"/>
      <c r="AB768" s="172"/>
    </row>
    <row r="769" spans="25:28" s="3" customFormat="1">
      <c r="Y769" s="172"/>
      <c r="Z769" s="172"/>
      <c r="AA769" s="172"/>
      <c r="AB769" s="172"/>
    </row>
    <row r="770" spans="25:28" s="3" customFormat="1">
      <c r="Y770" s="172"/>
      <c r="Z770" s="172"/>
      <c r="AA770" s="172"/>
      <c r="AB770" s="172"/>
    </row>
    <row r="771" spans="25:28" s="3" customFormat="1">
      <c r="Y771" s="172"/>
      <c r="Z771" s="172"/>
      <c r="AA771" s="172"/>
      <c r="AB771" s="172"/>
    </row>
    <row r="772" spans="25:28" s="3" customFormat="1">
      <c r="Y772" s="172"/>
      <c r="Z772" s="172"/>
      <c r="AA772" s="172"/>
      <c r="AB772" s="172"/>
    </row>
    <row r="773" spans="25:28" s="3" customFormat="1">
      <c r="Y773" s="172"/>
      <c r="Z773" s="172"/>
      <c r="AA773" s="172"/>
      <c r="AB773" s="172"/>
    </row>
    <row r="774" spans="25:28" s="3" customFormat="1">
      <c r="Y774" s="172"/>
      <c r="Z774" s="172"/>
      <c r="AA774" s="172"/>
      <c r="AB774" s="172"/>
    </row>
    <row r="775" spans="25:28" s="3" customFormat="1">
      <c r="Y775" s="172"/>
      <c r="Z775" s="172"/>
      <c r="AA775" s="172"/>
      <c r="AB775" s="172"/>
    </row>
    <row r="776" spans="25:28" s="3" customFormat="1">
      <c r="Y776" s="172"/>
      <c r="Z776" s="172"/>
      <c r="AA776" s="172"/>
      <c r="AB776" s="172"/>
    </row>
    <row r="777" spans="25:28" s="3" customFormat="1">
      <c r="Y777" s="172"/>
      <c r="Z777" s="172"/>
      <c r="AA777" s="172"/>
      <c r="AB777" s="172"/>
    </row>
    <row r="778" spans="25:28" s="3" customFormat="1">
      <c r="Y778" s="172"/>
      <c r="Z778" s="172"/>
      <c r="AA778" s="172"/>
      <c r="AB778" s="172"/>
    </row>
    <row r="779" spans="25:28" s="3" customFormat="1">
      <c r="Y779" s="172"/>
      <c r="Z779" s="172"/>
      <c r="AA779" s="172"/>
      <c r="AB779" s="172"/>
    </row>
    <row r="780" spans="25:28" s="3" customFormat="1">
      <c r="Y780" s="172"/>
      <c r="Z780" s="172"/>
      <c r="AA780" s="172"/>
      <c r="AB780" s="172"/>
    </row>
    <row r="781" spans="25:28" s="3" customFormat="1">
      <c r="Y781" s="172"/>
      <c r="Z781" s="172"/>
      <c r="AA781" s="172"/>
      <c r="AB781" s="172"/>
    </row>
    <row r="782" spans="25:28" s="3" customFormat="1">
      <c r="Y782" s="172"/>
      <c r="Z782" s="172"/>
      <c r="AA782" s="172"/>
      <c r="AB782" s="172"/>
    </row>
    <row r="783" spans="25:28" s="3" customFormat="1">
      <c r="Y783" s="172"/>
      <c r="Z783" s="172"/>
      <c r="AA783" s="172"/>
      <c r="AB783" s="172"/>
    </row>
    <row r="784" spans="25:28" s="3" customFormat="1">
      <c r="Y784" s="172"/>
      <c r="Z784" s="172"/>
      <c r="AA784" s="172"/>
      <c r="AB784" s="172"/>
    </row>
    <row r="785" spans="25:28" s="3" customFormat="1">
      <c r="Y785" s="172"/>
      <c r="Z785" s="172"/>
      <c r="AA785" s="172"/>
      <c r="AB785" s="172"/>
    </row>
    <row r="786" spans="25:28" s="3" customFormat="1">
      <c r="Y786" s="172"/>
      <c r="Z786" s="172"/>
      <c r="AA786" s="172"/>
      <c r="AB786" s="172"/>
    </row>
    <row r="787" spans="25:28" s="3" customFormat="1">
      <c r="Y787" s="172"/>
      <c r="Z787" s="172"/>
      <c r="AA787" s="172"/>
      <c r="AB787" s="172"/>
    </row>
    <row r="788" spans="25:28" s="3" customFormat="1">
      <c r="Y788" s="172"/>
      <c r="Z788" s="172"/>
      <c r="AA788" s="172"/>
      <c r="AB788" s="172"/>
    </row>
    <row r="789" spans="25:28" s="3" customFormat="1">
      <c r="Y789" s="172"/>
      <c r="Z789" s="172"/>
      <c r="AA789" s="172"/>
      <c r="AB789" s="172"/>
    </row>
    <row r="790" spans="25:28" s="3" customFormat="1">
      <c r="Y790" s="172"/>
      <c r="Z790" s="172"/>
      <c r="AA790" s="172"/>
      <c r="AB790" s="172"/>
    </row>
    <row r="791" spans="25:28" s="3" customFormat="1">
      <c r="Y791" s="172"/>
      <c r="Z791" s="172"/>
      <c r="AA791" s="172"/>
      <c r="AB791" s="172"/>
    </row>
    <row r="792" spans="25:28" s="3" customFormat="1">
      <c r="Y792" s="172"/>
      <c r="Z792" s="172"/>
      <c r="AA792" s="172"/>
      <c r="AB792" s="172"/>
    </row>
    <row r="793" spans="25:28" s="3" customFormat="1">
      <c r="Y793" s="172"/>
      <c r="Z793" s="172"/>
      <c r="AA793" s="172"/>
      <c r="AB793" s="172"/>
    </row>
    <row r="794" spans="25:28" s="3" customFormat="1">
      <c r="Y794" s="172"/>
      <c r="Z794" s="172"/>
      <c r="AA794" s="172"/>
      <c r="AB794" s="172"/>
    </row>
    <row r="795" spans="25:28" s="3" customFormat="1">
      <c r="Y795" s="172"/>
      <c r="Z795" s="172"/>
      <c r="AA795" s="172"/>
      <c r="AB795" s="172"/>
    </row>
    <row r="796" spans="25:28" s="3" customFormat="1">
      <c r="Y796" s="172"/>
      <c r="Z796" s="172"/>
      <c r="AA796" s="172"/>
      <c r="AB796" s="172"/>
    </row>
    <row r="797" spans="25:28" s="3" customFormat="1">
      <c r="Y797" s="172"/>
      <c r="Z797" s="172"/>
      <c r="AA797" s="172"/>
      <c r="AB797" s="172"/>
    </row>
    <row r="798" spans="25:28" s="3" customFormat="1">
      <c r="Y798" s="172"/>
      <c r="Z798" s="172"/>
      <c r="AA798" s="172"/>
      <c r="AB798" s="172"/>
    </row>
    <row r="799" spans="25:28" s="3" customFormat="1">
      <c r="Y799" s="172"/>
      <c r="Z799" s="172"/>
      <c r="AA799" s="172"/>
      <c r="AB799" s="172"/>
    </row>
    <row r="800" spans="25:28" s="3" customFormat="1">
      <c r="Y800" s="172"/>
      <c r="Z800" s="172"/>
      <c r="AA800" s="172"/>
      <c r="AB800" s="172"/>
    </row>
    <row r="801" spans="25:28" s="3" customFormat="1">
      <c r="Y801" s="172"/>
      <c r="Z801" s="172"/>
      <c r="AA801" s="172"/>
      <c r="AB801" s="172"/>
    </row>
    <row r="802" spans="25:28" s="3" customFormat="1">
      <c r="Y802" s="172"/>
      <c r="Z802" s="172"/>
      <c r="AA802" s="172"/>
      <c r="AB802" s="172"/>
    </row>
    <row r="803" spans="25:28" s="3" customFormat="1">
      <c r="Y803" s="172"/>
      <c r="Z803" s="172"/>
      <c r="AA803" s="172"/>
      <c r="AB803" s="172"/>
    </row>
    <row r="804" spans="25:28" s="3" customFormat="1">
      <c r="Y804" s="172"/>
      <c r="Z804" s="172"/>
      <c r="AA804" s="172"/>
      <c r="AB804" s="172"/>
    </row>
    <row r="805" spans="25:28" s="3" customFormat="1">
      <c r="Y805" s="172"/>
      <c r="Z805" s="172"/>
      <c r="AA805" s="172"/>
      <c r="AB805" s="172"/>
    </row>
    <row r="806" spans="25:28" s="3" customFormat="1">
      <c r="Y806" s="172"/>
      <c r="Z806" s="172"/>
      <c r="AA806" s="172"/>
      <c r="AB806" s="172"/>
    </row>
    <row r="807" spans="25:28" s="3" customFormat="1">
      <c r="Y807" s="172"/>
      <c r="Z807" s="172"/>
      <c r="AA807" s="172"/>
      <c r="AB807" s="172"/>
    </row>
    <row r="808" spans="25:28" s="3" customFormat="1">
      <c r="Y808" s="172"/>
      <c r="Z808" s="172"/>
      <c r="AA808" s="172"/>
      <c r="AB808" s="172"/>
    </row>
    <row r="809" spans="25:28" s="3" customFormat="1">
      <c r="Y809" s="172"/>
      <c r="Z809" s="172"/>
      <c r="AA809" s="172"/>
      <c r="AB809" s="172"/>
    </row>
    <row r="810" spans="25:28" s="3" customFormat="1">
      <c r="Y810" s="172"/>
      <c r="Z810" s="172"/>
      <c r="AA810" s="172"/>
      <c r="AB810" s="172"/>
    </row>
    <row r="811" spans="25:28" s="3" customFormat="1">
      <c r="Y811" s="172"/>
      <c r="Z811" s="172"/>
      <c r="AA811" s="172"/>
      <c r="AB811" s="172"/>
    </row>
    <row r="812" spans="25:28" s="3" customFormat="1">
      <c r="Y812" s="172"/>
      <c r="Z812" s="172"/>
      <c r="AA812" s="172"/>
      <c r="AB812" s="172"/>
    </row>
    <row r="813" spans="25:28" s="3" customFormat="1">
      <c r="Y813" s="172"/>
      <c r="Z813" s="172"/>
      <c r="AA813" s="172"/>
      <c r="AB813" s="172"/>
    </row>
    <row r="814" spans="25:28" s="3" customFormat="1">
      <c r="Y814" s="172"/>
      <c r="Z814" s="172"/>
      <c r="AA814" s="172"/>
      <c r="AB814" s="172"/>
    </row>
    <row r="815" spans="25:28" s="3" customFormat="1">
      <c r="Y815" s="172"/>
      <c r="Z815" s="172"/>
      <c r="AA815" s="172"/>
      <c r="AB815" s="172"/>
    </row>
    <row r="816" spans="25:28" s="3" customFormat="1">
      <c r="Y816" s="172"/>
      <c r="Z816" s="172"/>
      <c r="AA816" s="172"/>
      <c r="AB816" s="172"/>
    </row>
    <row r="817" spans="25:28" s="3" customFormat="1">
      <c r="Y817" s="172"/>
      <c r="Z817" s="172"/>
      <c r="AA817" s="172"/>
      <c r="AB817" s="172"/>
    </row>
    <row r="818" spans="25:28" s="3" customFormat="1">
      <c r="Y818" s="172"/>
      <c r="Z818" s="172"/>
      <c r="AA818" s="172"/>
      <c r="AB818" s="172"/>
    </row>
    <row r="819" spans="25:28" s="3" customFormat="1">
      <c r="Y819" s="172"/>
      <c r="Z819" s="172"/>
      <c r="AA819" s="172"/>
      <c r="AB819" s="172"/>
    </row>
    <row r="820" spans="25:28" s="3" customFormat="1">
      <c r="Y820" s="172"/>
      <c r="Z820" s="172"/>
      <c r="AA820" s="172"/>
      <c r="AB820" s="172"/>
    </row>
    <row r="821" spans="25:28" s="3" customFormat="1">
      <c r="Y821" s="172"/>
      <c r="Z821" s="172"/>
      <c r="AA821" s="172"/>
      <c r="AB821" s="172"/>
    </row>
    <row r="822" spans="25:28" s="3" customFormat="1">
      <c r="Y822" s="172"/>
      <c r="Z822" s="172"/>
      <c r="AA822" s="172"/>
      <c r="AB822" s="172"/>
    </row>
    <row r="823" spans="25:28" s="3" customFormat="1">
      <c r="Y823" s="172"/>
      <c r="Z823" s="172"/>
      <c r="AA823" s="172"/>
      <c r="AB823" s="172"/>
    </row>
    <row r="824" spans="25:28" s="3" customFormat="1">
      <c r="Y824" s="172"/>
      <c r="Z824" s="172"/>
      <c r="AA824" s="172"/>
      <c r="AB824" s="172"/>
    </row>
    <row r="825" spans="25:28" s="3" customFormat="1">
      <c r="Y825" s="172"/>
      <c r="Z825" s="172"/>
      <c r="AA825" s="172"/>
      <c r="AB825" s="172"/>
    </row>
    <row r="826" spans="25:28" s="3" customFormat="1">
      <c r="Y826" s="172"/>
      <c r="Z826" s="172"/>
      <c r="AA826" s="172"/>
      <c r="AB826" s="172"/>
    </row>
    <row r="827" spans="25:28" s="3" customFormat="1">
      <c r="Y827" s="172"/>
      <c r="Z827" s="172"/>
      <c r="AA827" s="172"/>
      <c r="AB827" s="172"/>
    </row>
    <row r="828" spans="25:28" s="3" customFormat="1">
      <c r="Y828" s="172"/>
      <c r="Z828" s="172"/>
      <c r="AA828" s="172"/>
      <c r="AB828" s="172"/>
    </row>
    <row r="829" spans="25:28" s="3" customFormat="1">
      <c r="Y829" s="172"/>
      <c r="Z829" s="172"/>
      <c r="AA829" s="172"/>
      <c r="AB829" s="172"/>
    </row>
    <row r="830" spans="25:28" s="3" customFormat="1">
      <c r="Y830" s="172"/>
      <c r="Z830" s="172"/>
      <c r="AA830" s="172"/>
      <c r="AB830" s="172"/>
    </row>
    <row r="831" spans="25:28" s="3" customFormat="1">
      <c r="Y831" s="172"/>
      <c r="Z831" s="172"/>
      <c r="AA831" s="172"/>
      <c r="AB831" s="172"/>
    </row>
    <row r="832" spans="25:28" s="3" customFormat="1">
      <c r="Y832" s="172"/>
      <c r="Z832" s="172"/>
      <c r="AA832" s="172"/>
      <c r="AB832" s="172"/>
    </row>
    <row r="833" spans="25:28" s="3" customFormat="1">
      <c r="Y833" s="172"/>
      <c r="Z833" s="172"/>
      <c r="AA833" s="172"/>
      <c r="AB833" s="172"/>
    </row>
    <row r="834" spans="25:28" s="3" customFormat="1">
      <c r="Y834" s="172"/>
      <c r="Z834" s="172"/>
      <c r="AA834" s="172"/>
      <c r="AB834" s="172"/>
    </row>
    <row r="835" spans="25:28" s="3" customFormat="1">
      <c r="Y835" s="172"/>
      <c r="Z835" s="172"/>
      <c r="AA835" s="172"/>
      <c r="AB835" s="172"/>
    </row>
    <row r="836" spans="25:28" s="3" customFormat="1">
      <c r="Y836" s="172"/>
      <c r="Z836" s="172"/>
      <c r="AA836" s="172"/>
      <c r="AB836" s="172"/>
    </row>
    <row r="837" spans="25:28" s="3" customFormat="1">
      <c r="Y837" s="172"/>
      <c r="Z837" s="172"/>
      <c r="AA837" s="172"/>
      <c r="AB837" s="172"/>
    </row>
    <row r="838" spans="25:28" s="3" customFormat="1">
      <c r="Y838" s="172"/>
      <c r="Z838" s="172"/>
      <c r="AA838" s="172"/>
      <c r="AB838" s="172"/>
    </row>
    <row r="839" spans="25:28" s="3" customFormat="1">
      <c r="Y839" s="172"/>
      <c r="Z839" s="172"/>
      <c r="AA839" s="172"/>
      <c r="AB839" s="172"/>
    </row>
    <row r="840" spans="25:28" s="3" customFormat="1">
      <c r="Y840" s="172"/>
      <c r="Z840" s="172"/>
      <c r="AA840" s="172"/>
      <c r="AB840" s="172"/>
    </row>
    <row r="841" spans="25:28" s="3" customFormat="1">
      <c r="Y841" s="172"/>
      <c r="Z841" s="172"/>
      <c r="AA841" s="172"/>
      <c r="AB841" s="172"/>
    </row>
    <row r="842" spans="25:28" s="3" customFormat="1">
      <c r="Y842" s="172"/>
      <c r="Z842" s="172"/>
      <c r="AA842" s="172"/>
      <c r="AB842" s="172"/>
    </row>
    <row r="843" spans="25:28" s="3" customFormat="1">
      <c r="Y843" s="172"/>
      <c r="Z843" s="172"/>
      <c r="AA843" s="172"/>
      <c r="AB843" s="172"/>
    </row>
    <row r="844" spans="25:28" s="3" customFormat="1">
      <c r="Y844" s="172"/>
      <c r="Z844" s="172"/>
      <c r="AA844" s="172"/>
      <c r="AB844" s="172"/>
    </row>
    <row r="845" spans="25:28" s="3" customFormat="1">
      <c r="Y845" s="172"/>
      <c r="Z845" s="172"/>
      <c r="AA845" s="172"/>
      <c r="AB845" s="172"/>
    </row>
    <row r="846" spans="25:28" s="3" customFormat="1">
      <c r="Y846" s="172"/>
      <c r="Z846" s="172"/>
      <c r="AA846" s="172"/>
      <c r="AB846" s="172"/>
    </row>
    <row r="847" spans="25:28" s="3" customFormat="1">
      <c r="Y847" s="172"/>
      <c r="Z847" s="172"/>
      <c r="AA847" s="172"/>
      <c r="AB847" s="172"/>
    </row>
    <row r="848" spans="25:28" s="3" customFormat="1">
      <c r="Y848" s="172"/>
      <c r="Z848" s="172"/>
      <c r="AA848" s="172"/>
      <c r="AB848" s="172"/>
    </row>
    <row r="849" spans="25:28" s="3" customFormat="1">
      <c r="Y849" s="172"/>
      <c r="Z849" s="172"/>
      <c r="AA849" s="172"/>
      <c r="AB849" s="172"/>
    </row>
    <row r="850" spans="25:28" s="3" customFormat="1">
      <c r="Y850" s="172"/>
      <c r="Z850" s="172"/>
      <c r="AA850" s="172"/>
      <c r="AB850" s="172"/>
    </row>
    <row r="851" spans="25:28" s="3" customFormat="1">
      <c r="Y851" s="172"/>
      <c r="Z851" s="172"/>
      <c r="AA851" s="172"/>
      <c r="AB851" s="172"/>
    </row>
    <row r="852" spans="25:28" s="3" customFormat="1">
      <c r="Y852" s="172"/>
      <c r="Z852" s="172"/>
      <c r="AA852" s="172"/>
      <c r="AB852" s="172"/>
    </row>
    <row r="853" spans="25:28" s="3" customFormat="1">
      <c r="Y853" s="172"/>
      <c r="Z853" s="172"/>
      <c r="AA853" s="172"/>
      <c r="AB853" s="172"/>
    </row>
    <row r="854" spans="25:28" s="3" customFormat="1">
      <c r="Y854" s="172"/>
      <c r="Z854" s="172"/>
      <c r="AA854" s="172"/>
      <c r="AB854" s="172"/>
    </row>
    <row r="855" spans="25:28" s="3" customFormat="1">
      <c r="Y855" s="172"/>
      <c r="Z855" s="172"/>
      <c r="AA855" s="172"/>
      <c r="AB855" s="172"/>
    </row>
    <row r="856" spans="25:28" s="3" customFormat="1">
      <c r="Y856" s="172"/>
      <c r="Z856" s="172"/>
      <c r="AA856" s="172"/>
      <c r="AB856" s="172"/>
    </row>
    <row r="857" spans="25:28" s="3" customFormat="1">
      <c r="Y857" s="172"/>
      <c r="Z857" s="172"/>
      <c r="AA857" s="172"/>
      <c r="AB857" s="172"/>
    </row>
    <row r="858" spans="25:28" s="3" customFormat="1">
      <c r="Y858" s="172"/>
      <c r="Z858" s="172"/>
      <c r="AA858" s="172"/>
      <c r="AB858" s="172"/>
    </row>
    <row r="859" spans="25:28" s="3" customFormat="1">
      <c r="Y859" s="172"/>
      <c r="Z859" s="172"/>
      <c r="AA859" s="172"/>
      <c r="AB859" s="172"/>
    </row>
    <row r="860" spans="25:28" s="3" customFormat="1">
      <c r="Y860" s="172"/>
      <c r="Z860" s="172"/>
      <c r="AA860" s="172"/>
      <c r="AB860" s="172"/>
    </row>
    <row r="861" spans="25:28" s="3" customFormat="1">
      <c r="Y861" s="172"/>
      <c r="Z861" s="172"/>
      <c r="AA861" s="172"/>
      <c r="AB861" s="172"/>
    </row>
    <row r="862" spans="25:28" s="3" customFormat="1">
      <c r="Y862" s="172"/>
      <c r="Z862" s="172"/>
      <c r="AA862" s="172"/>
      <c r="AB862" s="172"/>
    </row>
    <row r="863" spans="25:28" s="3" customFormat="1">
      <c r="Y863" s="172"/>
      <c r="Z863" s="172"/>
      <c r="AA863" s="172"/>
      <c r="AB863" s="172"/>
    </row>
    <row r="864" spans="25:28" s="3" customFormat="1">
      <c r="Y864" s="172"/>
      <c r="Z864" s="172"/>
      <c r="AA864" s="172"/>
      <c r="AB864" s="172"/>
    </row>
    <row r="865" spans="25:28" s="3" customFormat="1">
      <c r="Y865" s="172"/>
      <c r="Z865" s="172"/>
      <c r="AA865" s="172"/>
      <c r="AB865" s="172"/>
    </row>
    <row r="866" spans="25:28" s="3" customFormat="1">
      <c r="Y866" s="172"/>
      <c r="Z866" s="172"/>
      <c r="AA866" s="172"/>
      <c r="AB866" s="172"/>
    </row>
    <row r="867" spans="25:28" s="3" customFormat="1">
      <c r="Y867" s="172"/>
      <c r="Z867" s="172"/>
      <c r="AA867" s="172"/>
      <c r="AB867" s="172"/>
    </row>
    <row r="868" spans="25:28" s="3" customFormat="1">
      <c r="Y868" s="172"/>
      <c r="Z868" s="172"/>
      <c r="AA868" s="172"/>
      <c r="AB868" s="172"/>
    </row>
    <row r="869" spans="25:28" s="3" customFormat="1">
      <c r="Y869" s="172"/>
      <c r="Z869" s="172"/>
      <c r="AA869" s="172"/>
      <c r="AB869" s="172"/>
    </row>
    <row r="870" spans="25:28" s="3" customFormat="1">
      <c r="Y870" s="172"/>
      <c r="Z870" s="172"/>
      <c r="AA870" s="172"/>
      <c r="AB870" s="172"/>
    </row>
    <row r="871" spans="25:28" s="3" customFormat="1">
      <c r="Y871" s="172"/>
      <c r="Z871" s="172"/>
      <c r="AA871" s="172"/>
      <c r="AB871" s="172"/>
    </row>
    <row r="872" spans="25:28" s="3" customFormat="1">
      <c r="Y872" s="172"/>
      <c r="Z872" s="172"/>
      <c r="AA872" s="172"/>
      <c r="AB872" s="172"/>
    </row>
    <row r="873" spans="25:28" s="3" customFormat="1">
      <c r="Y873" s="172"/>
      <c r="Z873" s="172"/>
      <c r="AA873" s="172"/>
      <c r="AB873" s="172"/>
    </row>
    <row r="874" spans="25:28" s="3" customFormat="1">
      <c r="Y874" s="172"/>
      <c r="Z874" s="172"/>
      <c r="AA874" s="172"/>
      <c r="AB874" s="172"/>
    </row>
    <row r="875" spans="25:28" s="3" customFormat="1">
      <c r="Y875" s="172"/>
      <c r="Z875" s="172"/>
      <c r="AA875" s="172"/>
      <c r="AB875" s="172"/>
    </row>
    <row r="876" spans="25:28" s="3" customFormat="1">
      <c r="Y876" s="172"/>
      <c r="Z876" s="172"/>
      <c r="AA876" s="172"/>
      <c r="AB876" s="172"/>
    </row>
    <row r="877" spans="25:28" s="3" customFormat="1">
      <c r="Y877" s="172"/>
      <c r="Z877" s="172"/>
      <c r="AA877" s="172"/>
      <c r="AB877" s="172"/>
    </row>
    <row r="878" spans="25:28" s="3" customFormat="1">
      <c r="Y878" s="172"/>
      <c r="Z878" s="172"/>
      <c r="AA878" s="172"/>
      <c r="AB878" s="172"/>
    </row>
    <row r="879" spans="25:28" s="3" customFormat="1">
      <c r="Y879" s="172"/>
      <c r="Z879" s="172"/>
      <c r="AA879" s="172"/>
      <c r="AB879" s="172"/>
    </row>
    <row r="880" spans="25:28" s="3" customFormat="1">
      <c r="Y880" s="172"/>
      <c r="Z880" s="172"/>
      <c r="AA880" s="172"/>
      <c r="AB880" s="172"/>
    </row>
    <row r="881" spans="25:28" s="3" customFormat="1">
      <c r="Y881" s="172"/>
      <c r="Z881" s="172"/>
      <c r="AA881" s="172"/>
      <c r="AB881" s="172"/>
    </row>
    <row r="882" spans="25:28" s="3" customFormat="1">
      <c r="Y882" s="172"/>
      <c r="Z882" s="172"/>
      <c r="AA882" s="172"/>
      <c r="AB882" s="172"/>
    </row>
    <row r="883" spans="25:28" s="3" customFormat="1">
      <c r="Y883" s="172"/>
      <c r="Z883" s="172"/>
      <c r="AA883" s="172"/>
      <c r="AB883" s="172"/>
    </row>
    <row r="884" spans="25:28" s="3" customFormat="1">
      <c r="Y884" s="172"/>
      <c r="Z884" s="172"/>
      <c r="AA884" s="172"/>
      <c r="AB884" s="172"/>
    </row>
    <row r="885" spans="25:28" s="3" customFormat="1">
      <c r="Y885" s="172"/>
      <c r="Z885" s="172"/>
      <c r="AA885" s="172"/>
      <c r="AB885" s="172"/>
    </row>
    <row r="886" spans="25:28" s="3" customFormat="1">
      <c r="Y886" s="172"/>
      <c r="Z886" s="172"/>
      <c r="AA886" s="172"/>
      <c r="AB886" s="172"/>
    </row>
    <row r="887" spans="25:28" s="3" customFormat="1">
      <c r="Y887" s="172"/>
      <c r="Z887" s="172"/>
      <c r="AA887" s="172"/>
      <c r="AB887" s="172"/>
    </row>
    <row r="888" spans="25:28" s="3" customFormat="1">
      <c r="Y888" s="172"/>
      <c r="Z888" s="172"/>
      <c r="AA888" s="172"/>
      <c r="AB888" s="172"/>
    </row>
    <row r="889" spans="25:28" s="3" customFormat="1">
      <c r="Y889" s="172"/>
      <c r="Z889" s="172"/>
      <c r="AA889" s="172"/>
      <c r="AB889" s="172"/>
    </row>
    <row r="890" spans="25:28" s="3" customFormat="1">
      <c r="Y890" s="172"/>
      <c r="Z890" s="172"/>
      <c r="AA890" s="172"/>
      <c r="AB890" s="172"/>
    </row>
    <row r="891" spans="25:28" s="3" customFormat="1">
      <c r="Y891" s="172"/>
      <c r="Z891" s="172"/>
      <c r="AA891" s="172"/>
      <c r="AB891" s="172"/>
    </row>
    <row r="892" spans="25:28" s="3" customFormat="1">
      <c r="Y892" s="172"/>
      <c r="Z892" s="172"/>
      <c r="AA892" s="172"/>
      <c r="AB892" s="172"/>
    </row>
    <row r="893" spans="25:28" s="3" customFormat="1">
      <c r="Y893" s="172"/>
      <c r="Z893" s="172"/>
      <c r="AA893" s="172"/>
      <c r="AB893" s="172"/>
    </row>
    <row r="894" spans="25:28" s="3" customFormat="1">
      <c r="Y894" s="172"/>
      <c r="Z894" s="172"/>
      <c r="AA894" s="172"/>
      <c r="AB894" s="172"/>
    </row>
    <row r="895" spans="25:28" s="3" customFormat="1">
      <c r="Y895" s="172"/>
      <c r="Z895" s="172"/>
      <c r="AA895" s="172"/>
      <c r="AB895" s="172"/>
    </row>
    <row r="896" spans="25:28" s="3" customFormat="1">
      <c r="Y896" s="172"/>
      <c r="Z896" s="172"/>
      <c r="AA896" s="172"/>
      <c r="AB896" s="172"/>
    </row>
    <row r="897" spans="25:28" s="3" customFormat="1">
      <c r="Y897" s="172"/>
      <c r="Z897" s="172"/>
      <c r="AA897" s="172"/>
      <c r="AB897" s="172"/>
    </row>
    <row r="898" spans="25:28" s="3" customFormat="1">
      <c r="Y898" s="172"/>
      <c r="Z898" s="172"/>
      <c r="AA898" s="172"/>
      <c r="AB898" s="172"/>
    </row>
    <row r="899" spans="25:28" s="3" customFormat="1">
      <c r="Y899" s="172"/>
      <c r="Z899" s="172"/>
      <c r="AA899" s="172"/>
      <c r="AB899" s="172"/>
    </row>
    <row r="900" spans="25:28" s="3" customFormat="1">
      <c r="Y900" s="172"/>
      <c r="Z900" s="172"/>
      <c r="AA900" s="172"/>
      <c r="AB900" s="172"/>
    </row>
    <row r="901" spans="25:28" s="3" customFormat="1">
      <c r="Y901" s="172"/>
      <c r="Z901" s="172"/>
      <c r="AA901" s="172"/>
      <c r="AB901" s="172"/>
    </row>
    <row r="902" spans="25:28" s="3" customFormat="1">
      <c r="Y902" s="172"/>
      <c r="Z902" s="172"/>
      <c r="AA902" s="172"/>
      <c r="AB902" s="172"/>
    </row>
    <row r="903" spans="25:28" s="3" customFormat="1">
      <c r="Y903" s="172"/>
      <c r="Z903" s="172"/>
      <c r="AA903" s="172"/>
      <c r="AB903" s="172"/>
    </row>
    <row r="904" spans="25:28" s="3" customFormat="1">
      <c r="Y904" s="172"/>
      <c r="Z904" s="172"/>
      <c r="AA904" s="172"/>
      <c r="AB904" s="172"/>
    </row>
    <row r="905" spans="25:28" s="3" customFormat="1">
      <c r="Y905" s="172"/>
      <c r="Z905" s="172"/>
      <c r="AA905" s="172"/>
      <c r="AB905" s="172"/>
    </row>
    <row r="906" spans="25:28" s="3" customFormat="1">
      <c r="Y906" s="172"/>
      <c r="Z906" s="172"/>
      <c r="AA906" s="172"/>
      <c r="AB906" s="172"/>
    </row>
    <row r="907" spans="25:28" s="3" customFormat="1">
      <c r="Y907" s="172"/>
      <c r="Z907" s="172"/>
      <c r="AA907" s="172"/>
      <c r="AB907" s="172"/>
    </row>
    <row r="908" spans="25:28" s="3" customFormat="1">
      <c r="Y908" s="172"/>
      <c r="Z908" s="172"/>
      <c r="AA908" s="172"/>
      <c r="AB908" s="172"/>
    </row>
    <row r="909" spans="25:28" s="3" customFormat="1">
      <c r="Y909" s="172"/>
      <c r="Z909" s="172"/>
      <c r="AA909" s="172"/>
      <c r="AB909" s="172"/>
    </row>
    <row r="910" spans="25:28" s="3" customFormat="1">
      <c r="Y910" s="172"/>
      <c r="Z910" s="172"/>
      <c r="AA910" s="172"/>
      <c r="AB910" s="172"/>
    </row>
    <row r="911" spans="25:28" s="3" customFormat="1">
      <c r="Y911" s="172"/>
      <c r="Z911" s="172"/>
      <c r="AA911" s="172"/>
      <c r="AB911" s="172"/>
    </row>
    <row r="912" spans="25:28" s="3" customFormat="1">
      <c r="Y912" s="172"/>
      <c r="Z912" s="172"/>
      <c r="AA912" s="172"/>
      <c r="AB912" s="172"/>
    </row>
    <row r="913" spans="25:28" s="3" customFormat="1">
      <c r="Y913" s="172"/>
      <c r="Z913" s="172"/>
      <c r="AA913" s="172"/>
      <c r="AB913" s="172"/>
    </row>
    <row r="914" spans="25:28" s="3" customFormat="1">
      <c r="Y914" s="172"/>
      <c r="Z914" s="172"/>
      <c r="AA914" s="172"/>
      <c r="AB914" s="172"/>
    </row>
    <row r="915" spans="25:28" s="3" customFormat="1">
      <c r="Y915" s="172"/>
      <c r="Z915" s="172"/>
      <c r="AA915" s="172"/>
      <c r="AB915" s="172"/>
    </row>
    <row r="916" spans="25:28" s="3" customFormat="1">
      <c r="Y916" s="172"/>
      <c r="Z916" s="172"/>
      <c r="AA916" s="172"/>
      <c r="AB916" s="172"/>
    </row>
    <row r="917" spans="25:28" s="3" customFormat="1">
      <c r="Y917" s="172"/>
      <c r="Z917" s="172"/>
      <c r="AA917" s="172"/>
      <c r="AB917" s="172"/>
    </row>
    <row r="918" spans="25:28" s="3" customFormat="1">
      <c r="Y918" s="172"/>
      <c r="Z918" s="172"/>
      <c r="AA918" s="172"/>
      <c r="AB918" s="172"/>
    </row>
    <row r="919" spans="25:28" s="3" customFormat="1">
      <c r="Y919" s="172"/>
      <c r="Z919" s="172"/>
      <c r="AA919" s="172"/>
      <c r="AB919" s="172"/>
    </row>
    <row r="920" spans="25:28" s="3" customFormat="1">
      <c r="Y920" s="172"/>
      <c r="Z920" s="172"/>
      <c r="AA920" s="172"/>
      <c r="AB920" s="172"/>
    </row>
    <row r="921" spans="25:28" s="3" customFormat="1">
      <c r="Y921" s="172"/>
      <c r="Z921" s="172"/>
      <c r="AA921" s="172"/>
      <c r="AB921" s="172"/>
    </row>
    <row r="922" spans="25:28" s="3" customFormat="1">
      <c r="Y922" s="172"/>
      <c r="Z922" s="172"/>
      <c r="AA922" s="172"/>
      <c r="AB922" s="172"/>
    </row>
    <row r="923" spans="25:28" s="3" customFormat="1">
      <c r="Y923" s="172"/>
      <c r="Z923" s="172"/>
      <c r="AA923" s="172"/>
      <c r="AB923" s="172"/>
    </row>
    <row r="924" spans="25:28" s="3" customFormat="1">
      <c r="Y924" s="172"/>
      <c r="Z924" s="172"/>
      <c r="AA924" s="172"/>
      <c r="AB924" s="172"/>
    </row>
    <row r="925" spans="25:28" s="3" customFormat="1">
      <c r="Y925" s="172"/>
      <c r="Z925" s="172"/>
      <c r="AA925" s="172"/>
      <c r="AB925" s="172"/>
    </row>
    <row r="926" spans="25:28" s="3" customFormat="1">
      <c r="Y926" s="172"/>
      <c r="Z926" s="172"/>
      <c r="AA926" s="172"/>
      <c r="AB926" s="172"/>
    </row>
    <row r="927" spans="25:28" s="3" customFormat="1">
      <c r="Y927" s="172"/>
      <c r="Z927" s="172"/>
      <c r="AA927" s="172"/>
      <c r="AB927" s="172"/>
    </row>
    <row r="928" spans="25:28" s="3" customFormat="1">
      <c r="Y928" s="172"/>
      <c r="Z928" s="172"/>
      <c r="AA928" s="172"/>
      <c r="AB928" s="172"/>
    </row>
    <row r="929" spans="25:28" s="3" customFormat="1">
      <c r="Y929" s="172"/>
      <c r="Z929" s="172"/>
      <c r="AA929" s="172"/>
      <c r="AB929" s="172"/>
    </row>
    <row r="930" spans="25:28" s="3" customFormat="1">
      <c r="Y930" s="172"/>
      <c r="Z930" s="172"/>
      <c r="AA930" s="172"/>
      <c r="AB930" s="172"/>
    </row>
    <row r="931" spans="25:28" s="3" customFormat="1">
      <c r="Y931" s="172"/>
      <c r="Z931" s="172"/>
      <c r="AA931" s="172"/>
      <c r="AB931" s="172"/>
    </row>
    <row r="932" spans="25:28" s="3" customFormat="1">
      <c r="Y932" s="172"/>
      <c r="Z932" s="172"/>
      <c r="AA932" s="172"/>
      <c r="AB932" s="172"/>
    </row>
    <row r="933" spans="25:28" s="3" customFormat="1">
      <c r="Y933" s="172"/>
      <c r="Z933" s="172"/>
      <c r="AA933" s="172"/>
      <c r="AB933" s="172"/>
    </row>
    <row r="934" spans="25:28" s="3" customFormat="1">
      <c r="Y934" s="172"/>
      <c r="Z934" s="172"/>
      <c r="AA934" s="172"/>
      <c r="AB934" s="172"/>
    </row>
    <row r="935" spans="25:28" s="3" customFormat="1">
      <c r="Y935" s="172"/>
      <c r="Z935" s="172"/>
      <c r="AA935" s="172"/>
      <c r="AB935" s="172"/>
    </row>
    <row r="936" spans="25:28" s="3" customFormat="1">
      <c r="Y936" s="172"/>
      <c r="Z936" s="172"/>
      <c r="AA936" s="172"/>
      <c r="AB936" s="172"/>
    </row>
    <row r="937" spans="25:28" s="3" customFormat="1">
      <c r="Y937" s="172"/>
      <c r="Z937" s="172"/>
      <c r="AA937" s="172"/>
      <c r="AB937" s="172"/>
    </row>
    <row r="938" spans="25:28" s="3" customFormat="1">
      <c r="Y938" s="172"/>
      <c r="Z938" s="172"/>
      <c r="AA938" s="172"/>
      <c r="AB938" s="172"/>
    </row>
    <row r="939" spans="25:28" s="3" customFormat="1">
      <c r="Y939" s="172"/>
      <c r="Z939" s="172"/>
      <c r="AA939" s="172"/>
      <c r="AB939" s="172"/>
    </row>
    <row r="940" spans="25:28" s="3" customFormat="1">
      <c r="Y940" s="172"/>
      <c r="Z940" s="172"/>
      <c r="AA940" s="172"/>
      <c r="AB940" s="172"/>
    </row>
    <row r="941" spans="25:28" s="3" customFormat="1">
      <c r="Y941" s="172"/>
      <c r="Z941" s="172"/>
      <c r="AA941" s="172"/>
      <c r="AB941" s="172"/>
    </row>
    <row r="942" spans="25:28" s="3" customFormat="1">
      <c r="Y942" s="172"/>
      <c r="Z942" s="172"/>
      <c r="AA942" s="172"/>
      <c r="AB942" s="172"/>
    </row>
    <row r="943" spans="25:28" s="3" customFormat="1">
      <c r="Y943" s="172"/>
      <c r="Z943" s="172"/>
      <c r="AA943" s="172"/>
      <c r="AB943" s="172"/>
    </row>
    <row r="944" spans="25:28" s="3" customFormat="1">
      <c r="Y944" s="172"/>
      <c r="Z944" s="172"/>
      <c r="AA944" s="172"/>
      <c r="AB944" s="172"/>
    </row>
    <row r="945" spans="25:28" s="3" customFormat="1">
      <c r="Y945" s="172"/>
      <c r="Z945" s="172"/>
      <c r="AA945" s="172"/>
      <c r="AB945" s="172"/>
    </row>
    <row r="946" spans="25:28" s="3" customFormat="1">
      <c r="Y946" s="172"/>
      <c r="Z946" s="172"/>
      <c r="AA946" s="172"/>
      <c r="AB946" s="172"/>
    </row>
    <row r="947" spans="25:28" s="3" customFormat="1">
      <c r="Y947" s="172"/>
      <c r="Z947" s="172"/>
      <c r="AA947" s="172"/>
      <c r="AB947" s="172"/>
    </row>
    <row r="948" spans="25:28" s="3" customFormat="1">
      <c r="Y948" s="172"/>
      <c r="Z948" s="172"/>
      <c r="AA948" s="172"/>
      <c r="AB948" s="172"/>
    </row>
    <row r="949" spans="25:28" s="3" customFormat="1">
      <c r="Y949" s="172"/>
      <c r="Z949" s="172"/>
      <c r="AA949" s="172"/>
      <c r="AB949" s="172"/>
    </row>
    <row r="950" spans="25:28" s="3" customFormat="1">
      <c r="Y950" s="172"/>
      <c r="Z950" s="172"/>
      <c r="AA950" s="172"/>
      <c r="AB950" s="172"/>
    </row>
    <row r="951" spans="25:28" s="3" customFormat="1">
      <c r="Y951" s="172"/>
      <c r="Z951" s="172"/>
      <c r="AA951" s="172"/>
      <c r="AB951" s="172"/>
    </row>
    <row r="952" spans="25:28" s="3" customFormat="1">
      <c r="Y952" s="172"/>
      <c r="Z952" s="172"/>
      <c r="AA952" s="172"/>
      <c r="AB952" s="172"/>
    </row>
    <row r="953" spans="25:28" s="3" customFormat="1">
      <c r="Y953" s="172"/>
      <c r="Z953" s="172"/>
      <c r="AA953" s="172"/>
      <c r="AB953" s="172"/>
    </row>
    <row r="954" spans="25:28" s="3" customFormat="1">
      <c r="Y954" s="172"/>
      <c r="Z954" s="172"/>
      <c r="AA954" s="172"/>
      <c r="AB954" s="172"/>
    </row>
    <row r="955" spans="25:28" s="3" customFormat="1">
      <c r="Y955" s="172"/>
      <c r="Z955" s="172"/>
      <c r="AA955" s="172"/>
      <c r="AB955" s="172"/>
    </row>
    <row r="956" spans="25:28" s="3" customFormat="1">
      <c r="Y956" s="172"/>
      <c r="Z956" s="172"/>
      <c r="AA956" s="172"/>
      <c r="AB956" s="172"/>
    </row>
    <row r="957" spans="25:28" s="3" customFormat="1">
      <c r="Y957" s="172"/>
      <c r="Z957" s="172"/>
      <c r="AA957" s="172"/>
      <c r="AB957" s="172"/>
    </row>
    <row r="958" spans="25:28" s="3" customFormat="1">
      <c r="Y958" s="172"/>
      <c r="Z958" s="172"/>
      <c r="AA958" s="172"/>
      <c r="AB958" s="172"/>
    </row>
    <row r="959" spans="25:28" s="3" customFormat="1">
      <c r="Y959" s="172"/>
      <c r="Z959" s="172"/>
      <c r="AA959" s="172"/>
      <c r="AB959" s="172"/>
    </row>
    <row r="960" spans="25:28" s="3" customFormat="1">
      <c r="Y960" s="172"/>
      <c r="Z960" s="172"/>
      <c r="AA960" s="172"/>
      <c r="AB960" s="172"/>
    </row>
    <row r="961" spans="25:28" s="3" customFormat="1">
      <c r="Y961" s="172"/>
      <c r="Z961" s="172"/>
      <c r="AA961" s="172"/>
      <c r="AB961" s="172"/>
    </row>
    <row r="962" spans="25:28" s="3" customFormat="1">
      <c r="Y962" s="172"/>
      <c r="Z962" s="172"/>
      <c r="AA962" s="172"/>
      <c r="AB962" s="172"/>
    </row>
    <row r="963" spans="25:28" s="3" customFormat="1">
      <c r="Y963" s="172"/>
      <c r="Z963" s="172"/>
      <c r="AA963" s="172"/>
      <c r="AB963" s="172"/>
    </row>
    <row r="964" spans="25:28" s="3" customFormat="1">
      <c r="Y964" s="172"/>
      <c r="Z964" s="172"/>
      <c r="AA964" s="172"/>
      <c r="AB964" s="172"/>
    </row>
    <row r="965" spans="25:28" s="3" customFormat="1">
      <c r="Y965" s="172"/>
      <c r="Z965" s="172"/>
      <c r="AA965" s="172"/>
      <c r="AB965" s="172"/>
    </row>
    <row r="966" spans="25:28" s="3" customFormat="1">
      <c r="Y966" s="172"/>
      <c r="Z966" s="172"/>
      <c r="AA966" s="172"/>
      <c r="AB966" s="172"/>
    </row>
    <row r="967" spans="25:28" s="3" customFormat="1">
      <c r="Y967" s="172"/>
      <c r="Z967" s="172"/>
      <c r="AA967" s="172"/>
      <c r="AB967" s="172"/>
    </row>
    <row r="968" spans="25:28" s="3" customFormat="1">
      <c r="Y968" s="172"/>
      <c r="Z968" s="172"/>
      <c r="AA968" s="172"/>
      <c r="AB968" s="172"/>
    </row>
    <row r="969" spans="25:28" s="3" customFormat="1">
      <c r="Y969" s="172"/>
      <c r="Z969" s="172"/>
      <c r="AA969" s="172"/>
      <c r="AB969" s="172"/>
    </row>
    <row r="970" spans="25:28" s="3" customFormat="1">
      <c r="Y970" s="172"/>
      <c r="Z970" s="172"/>
      <c r="AA970" s="172"/>
      <c r="AB970" s="172"/>
    </row>
    <row r="971" spans="25:28" s="3" customFormat="1">
      <c r="Y971" s="172"/>
      <c r="Z971" s="172"/>
      <c r="AA971" s="172"/>
      <c r="AB971" s="172"/>
    </row>
    <row r="972" spans="25:28" s="3" customFormat="1">
      <c r="Y972" s="172"/>
      <c r="Z972" s="172"/>
      <c r="AA972" s="172"/>
      <c r="AB972" s="172"/>
    </row>
    <row r="973" spans="25:28" s="3" customFormat="1">
      <c r="Y973" s="172"/>
      <c r="Z973" s="172"/>
      <c r="AA973" s="172"/>
      <c r="AB973" s="172"/>
    </row>
    <row r="974" spans="25:28" s="3" customFormat="1">
      <c r="Y974" s="172"/>
      <c r="Z974" s="172"/>
      <c r="AA974" s="172"/>
      <c r="AB974" s="172"/>
    </row>
    <row r="975" spans="25:28" s="3" customFormat="1">
      <c r="Y975" s="172"/>
      <c r="Z975" s="172"/>
      <c r="AA975" s="172"/>
      <c r="AB975" s="172"/>
    </row>
    <row r="976" spans="25:28" s="3" customFormat="1">
      <c r="Y976" s="172"/>
      <c r="Z976" s="172"/>
      <c r="AA976" s="172"/>
      <c r="AB976" s="172"/>
    </row>
    <row r="977" spans="25:28" s="3" customFormat="1">
      <c r="Y977" s="172"/>
      <c r="Z977" s="172"/>
      <c r="AA977" s="172"/>
      <c r="AB977" s="172"/>
    </row>
    <row r="978" spans="25:28" s="3" customFormat="1">
      <c r="Y978" s="172"/>
      <c r="Z978" s="172"/>
      <c r="AA978" s="172"/>
      <c r="AB978" s="172"/>
    </row>
    <row r="979" spans="25:28" s="3" customFormat="1">
      <c r="Y979" s="172"/>
      <c r="Z979" s="172"/>
      <c r="AA979" s="172"/>
      <c r="AB979" s="172"/>
    </row>
    <row r="980" spans="25:28" s="3" customFormat="1">
      <c r="Y980" s="172"/>
      <c r="Z980" s="172"/>
      <c r="AA980" s="172"/>
      <c r="AB980" s="172"/>
    </row>
    <row r="981" spans="25:28" s="3" customFormat="1">
      <c r="Y981" s="172"/>
      <c r="Z981" s="172"/>
      <c r="AA981" s="172"/>
      <c r="AB981" s="172"/>
    </row>
    <row r="982" spans="25:28" s="3" customFormat="1">
      <c r="Y982" s="172"/>
      <c r="Z982" s="172"/>
      <c r="AA982" s="172"/>
      <c r="AB982" s="172"/>
    </row>
    <row r="983" spans="25:28" s="3" customFormat="1">
      <c r="Y983" s="172"/>
      <c r="Z983" s="172"/>
      <c r="AA983" s="172"/>
      <c r="AB983" s="172"/>
    </row>
    <row r="984" spans="25:28" s="3" customFormat="1">
      <c r="Y984" s="172"/>
      <c r="Z984" s="172"/>
      <c r="AA984" s="172"/>
      <c r="AB984" s="172"/>
    </row>
    <row r="985" spans="25:28" s="3" customFormat="1">
      <c r="Y985" s="172"/>
      <c r="Z985" s="172"/>
      <c r="AA985" s="172"/>
      <c r="AB985" s="172"/>
    </row>
    <row r="986" spans="25:28" s="3" customFormat="1">
      <c r="Y986" s="172"/>
      <c r="Z986" s="172"/>
      <c r="AA986" s="172"/>
      <c r="AB986" s="172"/>
    </row>
    <row r="987" spans="25:28" s="3" customFormat="1">
      <c r="Y987" s="172"/>
      <c r="Z987" s="172"/>
      <c r="AA987" s="172"/>
      <c r="AB987" s="172"/>
    </row>
    <row r="988" spans="25:28" s="3" customFormat="1">
      <c r="Y988" s="172"/>
      <c r="Z988" s="172"/>
      <c r="AA988" s="172"/>
      <c r="AB988" s="172"/>
    </row>
    <row r="989" spans="25:28" s="3" customFormat="1">
      <c r="Y989" s="172"/>
      <c r="Z989" s="172"/>
      <c r="AA989" s="172"/>
      <c r="AB989" s="172"/>
    </row>
    <row r="990" spans="25:28" s="3" customFormat="1">
      <c r="Y990" s="172"/>
      <c r="Z990" s="172"/>
      <c r="AA990" s="172"/>
      <c r="AB990" s="172"/>
    </row>
    <row r="991" spans="25:28" s="3" customFormat="1">
      <c r="Y991" s="172"/>
      <c r="Z991" s="172"/>
      <c r="AA991" s="172"/>
      <c r="AB991" s="172"/>
    </row>
    <row r="992" spans="25:28" s="3" customFormat="1">
      <c r="Y992" s="172"/>
      <c r="Z992" s="172"/>
      <c r="AA992" s="172"/>
      <c r="AB992" s="172"/>
    </row>
    <row r="993" spans="25:28" s="3" customFormat="1">
      <c r="Y993" s="172"/>
      <c r="Z993" s="172"/>
      <c r="AA993" s="172"/>
      <c r="AB993" s="172"/>
    </row>
    <row r="994" spans="25:28" s="3" customFormat="1">
      <c r="Y994" s="172"/>
      <c r="Z994" s="172"/>
      <c r="AA994" s="172"/>
      <c r="AB994" s="172"/>
    </row>
    <row r="995" spans="25:28" s="3" customFormat="1">
      <c r="Y995" s="172"/>
      <c r="Z995" s="172"/>
      <c r="AA995" s="172"/>
      <c r="AB995" s="172"/>
    </row>
    <row r="996" spans="25:28" s="3" customFormat="1">
      <c r="Y996" s="172"/>
      <c r="Z996" s="172"/>
      <c r="AA996" s="172"/>
      <c r="AB996" s="172"/>
    </row>
    <row r="997" spans="25:28" s="3" customFormat="1">
      <c r="Y997" s="172"/>
      <c r="Z997" s="172"/>
      <c r="AA997" s="172"/>
      <c r="AB997" s="172"/>
    </row>
    <row r="998" spans="25:28" s="3" customFormat="1">
      <c r="Y998" s="172"/>
      <c r="Z998" s="172"/>
      <c r="AA998" s="172"/>
      <c r="AB998" s="172"/>
    </row>
    <row r="999" spans="25:28" s="3" customFormat="1">
      <c r="Y999" s="172"/>
      <c r="Z999" s="172"/>
      <c r="AA999" s="172"/>
      <c r="AB999" s="172"/>
    </row>
    <row r="1000" spans="25:28" s="3" customFormat="1">
      <c r="Y1000" s="172"/>
      <c r="Z1000" s="172"/>
      <c r="AA1000" s="172"/>
      <c r="AB1000" s="172"/>
    </row>
    <row r="1001" spans="25:28" s="3" customFormat="1">
      <c r="Y1001" s="172"/>
      <c r="Z1001" s="172"/>
      <c r="AA1001" s="172"/>
      <c r="AB1001" s="172"/>
    </row>
    <row r="1002" spans="25:28" s="3" customFormat="1">
      <c r="Y1002" s="172"/>
      <c r="Z1002" s="172"/>
      <c r="AA1002" s="172"/>
      <c r="AB1002" s="172"/>
    </row>
    <row r="1003" spans="25:28" s="3" customFormat="1">
      <c r="Y1003" s="172"/>
      <c r="Z1003" s="172"/>
      <c r="AA1003" s="172"/>
      <c r="AB1003" s="172"/>
    </row>
    <row r="1004" spans="25:28" s="3" customFormat="1">
      <c r="Y1004" s="172"/>
      <c r="Z1004" s="172"/>
      <c r="AA1004" s="172"/>
      <c r="AB1004" s="172"/>
    </row>
    <row r="1005" spans="25:28" s="3" customFormat="1">
      <c r="Y1005" s="172"/>
      <c r="Z1005" s="172"/>
      <c r="AA1005" s="172"/>
      <c r="AB1005" s="172"/>
    </row>
    <row r="1006" spans="25:28" s="3" customFormat="1">
      <c r="Y1006" s="172"/>
      <c r="Z1006" s="172"/>
      <c r="AA1006" s="172"/>
      <c r="AB1006" s="172"/>
    </row>
    <row r="1007" spans="25:28" s="3" customFormat="1">
      <c r="Y1007" s="172"/>
      <c r="Z1007" s="172"/>
      <c r="AA1007" s="172"/>
      <c r="AB1007" s="172"/>
    </row>
    <row r="1008" spans="25:28" s="3" customFormat="1">
      <c r="Y1008" s="172"/>
      <c r="Z1008" s="172"/>
      <c r="AA1008" s="172"/>
      <c r="AB1008" s="172"/>
    </row>
    <row r="1009" spans="25:28" s="3" customFormat="1">
      <c r="Y1009" s="172"/>
      <c r="Z1009" s="172"/>
      <c r="AA1009" s="172"/>
      <c r="AB1009" s="172"/>
    </row>
    <row r="1010" spans="25:28" s="3" customFormat="1">
      <c r="Y1010" s="172"/>
      <c r="Z1010" s="172"/>
      <c r="AA1010" s="172"/>
      <c r="AB1010" s="172"/>
    </row>
    <row r="1011" spans="25:28" s="3" customFormat="1">
      <c r="Y1011" s="172"/>
      <c r="Z1011" s="172"/>
      <c r="AA1011" s="172"/>
      <c r="AB1011" s="172"/>
    </row>
    <row r="1012" spans="25:28" s="3" customFormat="1">
      <c r="Y1012" s="172"/>
      <c r="Z1012" s="172"/>
      <c r="AA1012" s="172"/>
      <c r="AB1012" s="172"/>
    </row>
    <row r="1013" spans="25:28" s="3" customFormat="1">
      <c r="Y1013" s="172"/>
      <c r="Z1013" s="172"/>
      <c r="AA1013" s="172"/>
      <c r="AB1013" s="172"/>
    </row>
    <row r="1014" spans="25:28" s="3" customFormat="1">
      <c r="Y1014" s="172"/>
      <c r="Z1014" s="172"/>
      <c r="AA1014" s="172"/>
      <c r="AB1014" s="172"/>
    </row>
    <row r="1015" spans="25:28" s="3" customFormat="1">
      <c r="Y1015" s="172"/>
      <c r="Z1015" s="172"/>
      <c r="AA1015" s="172"/>
      <c r="AB1015" s="172"/>
    </row>
    <row r="1016" spans="25:28" s="3" customFormat="1">
      <c r="Y1016" s="172"/>
      <c r="Z1016" s="172"/>
      <c r="AA1016" s="172"/>
      <c r="AB1016" s="172"/>
    </row>
    <row r="1017" spans="25:28" s="3" customFormat="1">
      <c r="Y1017" s="172"/>
      <c r="Z1017" s="172"/>
      <c r="AA1017" s="172"/>
      <c r="AB1017" s="172"/>
    </row>
    <row r="1018" spans="25:28" s="3" customFormat="1">
      <c r="Y1018" s="172"/>
      <c r="Z1018" s="172"/>
      <c r="AA1018" s="172"/>
      <c r="AB1018" s="172"/>
    </row>
    <row r="1019" spans="25:28" s="3" customFormat="1">
      <c r="Y1019" s="172"/>
      <c r="Z1019" s="172"/>
      <c r="AA1019" s="172"/>
      <c r="AB1019" s="172"/>
    </row>
    <row r="1020" spans="25:28" s="3" customFormat="1">
      <c r="Y1020" s="172"/>
      <c r="Z1020" s="172"/>
      <c r="AA1020" s="172"/>
      <c r="AB1020" s="172"/>
    </row>
    <row r="1021" spans="25:28" s="3" customFormat="1">
      <c r="Y1021" s="172"/>
      <c r="Z1021" s="172"/>
      <c r="AA1021" s="172"/>
      <c r="AB1021" s="172"/>
    </row>
    <row r="1022" spans="25:28" s="3" customFormat="1">
      <c r="Y1022" s="172"/>
      <c r="Z1022" s="172"/>
      <c r="AA1022" s="172"/>
      <c r="AB1022" s="172"/>
    </row>
    <row r="1023" spans="25:28" s="3" customFormat="1">
      <c r="Y1023" s="172"/>
      <c r="Z1023" s="172"/>
      <c r="AA1023" s="172"/>
      <c r="AB1023" s="172"/>
    </row>
    <row r="1024" spans="25:28" s="3" customFormat="1">
      <c r="Y1024" s="172"/>
      <c r="Z1024" s="172"/>
      <c r="AA1024" s="172"/>
      <c r="AB1024" s="172"/>
    </row>
    <row r="1025" spans="25:28" s="3" customFormat="1">
      <c r="Y1025" s="172"/>
      <c r="Z1025" s="172"/>
      <c r="AA1025" s="172"/>
      <c r="AB1025" s="172"/>
    </row>
    <row r="1026" spans="25:28" s="3" customFormat="1">
      <c r="Y1026" s="172"/>
      <c r="Z1026" s="172"/>
      <c r="AA1026" s="172"/>
      <c r="AB1026" s="172"/>
    </row>
    <row r="1027" spans="25:28" s="3" customFormat="1">
      <c r="Y1027" s="172"/>
      <c r="Z1027" s="172"/>
      <c r="AA1027" s="172"/>
      <c r="AB1027" s="172"/>
    </row>
    <row r="1028" spans="25:28" s="3" customFormat="1">
      <c r="Y1028" s="172"/>
      <c r="Z1028" s="172"/>
      <c r="AA1028" s="172"/>
      <c r="AB1028" s="172"/>
    </row>
    <row r="1029" spans="25:28" s="3" customFormat="1">
      <c r="Y1029" s="172"/>
      <c r="Z1029" s="172"/>
      <c r="AA1029" s="172"/>
      <c r="AB1029" s="172"/>
    </row>
    <row r="1030" spans="25:28" s="3" customFormat="1">
      <c r="Y1030" s="172"/>
      <c r="Z1030" s="172"/>
      <c r="AA1030" s="172"/>
      <c r="AB1030" s="172"/>
    </row>
    <row r="1031" spans="25:28" s="3" customFormat="1">
      <c r="Y1031" s="172"/>
      <c r="Z1031" s="172"/>
      <c r="AA1031" s="172"/>
      <c r="AB1031" s="172"/>
    </row>
    <row r="1032" spans="25:28" s="3" customFormat="1">
      <c r="Y1032" s="172"/>
      <c r="Z1032" s="172"/>
      <c r="AA1032" s="172"/>
      <c r="AB1032" s="172"/>
    </row>
    <row r="1033" spans="25:28" s="3" customFormat="1">
      <c r="Y1033" s="172"/>
      <c r="Z1033" s="172"/>
      <c r="AA1033" s="172"/>
      <c r="AB1033" s="172"/>
    </row>
    <row r="1034" spans="25:28" s="3" customFormat="1">
      <c r="Y1034" s="172"/>
      <c r="Z1034" s="172"/>
      <c r="AA1034" s="172"/>
      <c r="AB1034" s="172"/>
    </row>
    <row r="1035" spans="25:28" s="3" customFormat="1">
      <c r="Y1035" s="172"/>
      <c r="Z1035" s="172"/>
      <c r="AA1035" s="172"/>
      <c r="AB1035" s="172"/>
    </row>
    <row r="1036" spans="25:28" s="3" customFormat="1">
      <c r="Y1036" s="172"/>
      <c r="Z1036" s="172"/>
      <c r="AA1036" s="172"/>
      <c r="AB1036" s="172"/>
    </row>
    <row r="1037" spans="25:28" s="3" customFormat="1">
      <c r="Y1037" s="172"/>
      <c r="Z1037" s="172"/>
      <c r="AA1037" s="172"/>
      <c r="AB1037" s="172"/>
    </row>
    <row r="1038" spans="25:28" s="3" customFormat="1">
      <c r="Y1038" s="172"/>
      <c r="Z1038" s="172"/>
      <c r="AA1038" s="172"/>
      <c r="AB1038" s="172"/>
    </row>
    <row r="1039" spans="25:28" s="3" customFormat="1">
      <c r="Y1039" s="172"/>
      <c r="Z1039" s="172"/>
      <c r="AA1039" s="172"/>
      <c r="AB1039" s="172"/>
    </row>
    <row r="1040" spans="25:28" s="3" customFormat="1">
      <c r="Y1040" s="172"/>
      <c r="Z1040" s="172"/>
      <c r="AA1040" s="172"/>
      <c r="AB1040" s="172"/>
    </row>
    <row r="1041" spans="25:28" s="3" customFormat="1">
      <c r="Y1041" s="172"/>
      <c r="Z1041" s="172"/>
      <c r="AA1041" s="172"/>
      <c r="AB1041" s="172"/>
    </row>
    <row r="1042" spans="25:28" s="3" customFormat="1">
      <c r="Y1042" s="172"/>
      <c r="Z1042" s="172"/>
      <c r="AA1042" s="172"/>
      <c r="AB1042" s="172"/>
    </row>
    <row r="1043" spans="25:28" s="3" customFormat="1">
      <c r="Y1043" s="172"/>
      <c r="Z1043" s="172"/>
      <c r="AA1043" s="172"/>
      <c r="AB1043" s="172"/>
    </row>
    <row r="1044" spans="25:28" s="3" customFormat="1">
      <c r="Y1044" s="172"/>
      <c r="Z1044" s="172"/>
      <c r="AA1044" s="172"/>
      <c r="AB1044" s="172"/>
    </row>
    <row r="1045" spans="25:28" s="3" customFormat="1">
      <c r="Y1045" s="172"/>
      <c r="Z1045" s="172"/>
      <c r="AA1045" s="172"/>
      <c r="AB1045" s="172"/>
    </row>
    <row r="1046" spans="25:28" s="3" customFormat="1">
      <c r="Y1046" s="172"/>
      <c r="Z1046" s="172"/>
      <c r="AA1046" s="172"/>
      <c r="AB1046" s="172"/>
    </row>
    <row r="1047" spans="25:28" s="3" customFormat="1">
      <c r="Y1047" s="172"/>
      <c r="Z1047" s="172"/>
      <c r="AA1047" s="172"/>
      <c r="AB1047" s="172"/>
    </row>
    <row r="1048" spans="25:28" s="3" customFormat="1">
      <c r="Y1048" s="172"/>
      <c r="Z1048" s="172"/>
      <c r="AA1048" s="172"/>
      <c r="AB1048" s="172"/>
    </row>
    <row r="1049" spans="25:28" s="3" customFormat="1">
      <c r="Y1049" s="172"/>
      <c r="Z1049" s="172"/>
      <c r="AA1049" s="172"/>
      <c r="AB1049" s="172"/>
    </row>
    <row r="1050" spans="25:28" s="3" customFormat="1">
      <c r="Y1050" s="172"/>
      <c r="Z1050" s="172"/>
      <c r="AA1050" s="172"/>
      <c r="AB1050" s="172"/>
    </row>
    <row r="1051" spans="25:28" s="3" customFormat="1">
      <c r="Y1051" s="172"/>
      <c r="Z1051" s="172"/>
      <c r="AA1051" s="172"/>
      <c r="AB1051" s="172"/>
    </row>
    <row r="1052" spans="25:28" s="3" customFormat="1">
      <c r="Y1052" s="172"/>
      <c r="Z1052" s="172"/>
      <c r="AA1052" s="172"/>
      <c r="AB1052" s="172"/>
    </row>
    <row r="1053" spans="25:28" s="3" customFormat="1">
      <c r="Y1053" s="172"/>
      <c r="Z1053" s="172"/>
      <c r="AA1053" s="172"/>
      <c r="AB1053" s="172"/>
    </row>
    <row r="1054" spans="25:28" s="3" customFormat="1">
      <c r="Y1054" s="172"/>
      <c r="Z1054" s="172"/>
      <c r="AA1054" s="172"/>
      <c r="AB1054" s="172"/>
    </row>
    <row r="1055" spans="25:28" s="3" customFormat="1">
      <c r="Y1055" s="172"/>
      <c r="Z1055" s="172"/>
      <c r="AA1055" s="172"/>
      <c r="AB1055" s="172"/>
    </row>
    <row r="1056" spans="25:28" s="3" customFormat="1">
      <c r="Y1056" s="172"/>
      <c r="Z1056" s="172"/>
      <c r="AA1056" s="172"/>
      <c r="AB1056" s="172"/>
    </row>
    <row r="1057" spans="25:28" s="3" customFormat="1">
      <c r="Y1057" s="172"/>
      <c r="Z1057" s="172"/>
      <c r="AA1057" s="172"/>
      <c r="AB1057" s="172"/>
    </row>
    <row r="1058" spans="25:28" s="3" customFormat="1">
      <c r="Y1058" s="172"/>
      <c r="Z1058" s="172"/>
      <c r="AA1058" s="172"/>
      <c r="AB1058" s="172"/>
    </row>
    <row r="1059" spans="25:28" s="3" customFormat="1">
      <c r="Y1059" s="172"/>
      <c r="Z1059" s="172"/>
      <c r="AA1059" s="172"/>
      <c r="AB1059" s="172"/>
    </row>
    <row r="1060" spans="25:28" s="3" customFormat="1">
      <c r="Y1060" s="172"/>
      <c r="Z1060" s="172"/>
      <c r="AA1060" s="172"/>
      <c r="AB1060" s="172"/>
    </row>
    <row r="1061" spans="25:28" s="3" customFormat="1">
      <c r="Y1061" s="172"/>
      <c r="Z1061" s="172"/>
      <c r="AA1061" s="172"/>
      <c r="AB1061" s="172"/>
    </row>
    <row r="1062" spans="25:28" s="3" customFormat="1">
      <c r="Y1062" s="172"/>
      <c r="Z1062" s="172"/>
      <c r="AA1062" s="172"/>
      <c r="AB1062" s="172"/>
    </row>
    <row r="1063" spans="25:28" s="3" customFormat="1">
      <c r="Y1063" s="172"/>
      <c r="Z1063" s="172"/>
      <c r="AA1063" s="172"/>
      <c r="AB1063" s="172"/>
    </row>
    <row r="1064" spans="25:28" s="3" customFormat="1">
      <c r="Y1064" s="172"/>
      <c r="Z1064" s="172"/>
      <c r="AA1064" s="172"/>
      <c r="AB1064" s="172"/>
    </row>
    <row r="1065" spans="25:28" s="3" customFormat="1">
      <c r="Y1065" s="172"/>
      <c r="Z1065" s="172"/>
      <c r="AA1065" s="172"/>
      <c r="AB1065" s="172"/>
    </row>
    <row r="1066" spans="25:28" s="3" customFormat="1">
      <c r="Y1066" s="172"/>
      <c r="Z1066" s="172"/>
      <c r="AA1066" s="172"/>
      <c r="AB1066" s="172"/>
    </row>
    <row r="1067" spans="25:28" s="3" customFormat="1">
      <c r="Y1067" s="172"/>
      <c r="Z1067" s="172"/>
      <c r="AA1067" s="172"/>
      <c r="AB1067" s="172"/>
    </row>
    <row r="1068" spans="25:28" s="3" customFormat="1">
      <c r="Y1068" s="172"/>
      <c r="Z1068" s="172"/>
      <c r="AA1068" s="172"/>
      <c r="AB1068" s="172"/>
    </row>
    <row r="1069" spans="25:28" s="3" customFormat="1">
      <c r="Y1069" s="172"/>
      <c r="Z1069" s="172"/>
      <c r="AA1069" s="172"/>
      <c r="AB1069" s="172"/>
    </row>
    <row r="1070" spans="25:28" s="3" customFormat="1">
      <c r="Y1070" s="172"/>
      <c r="Z1070" s="172"/>
      <c r="AA1070" s="172"/>
      <c r="AB1070" s="172"/>
    </row>
    <row r="1071" spans="25:28" s="3" customFormat="1">
      <c r="Y1071" s="172"/>
      <c r="Z1071" s="172"/>
      <c r="AA1071" s="172"/>
      <c r="AB1071" s="172"/>
    </row>
    <row r="1072" spans="25:28" s="3" customFormat="1">
      <c r="Y1072" s="172"/>
      <c r="Z1072" s="172"/>
      <c r="AA1072" s="172"/>
      <c r="AB1072" s="172"/>
    </row>
    <row r="1073" spans="25:28" s="3" customFormat="1">
      <c r="Y1073" s="172"/>
      <c r="Z1073" s="172"/>
      <c r="AA1073" s="172"/>
      <c r="AB1073" s="172"/>
    </row>
    <row r="1074" spans="25:28" s="3" customFormat="1">
      <c r="Y1074" s="172"/>
      <c r="Z1074" s="172"/>
      <c r="AA1074" s="172"/>
      <c r="AB1074" s="172"/>
    </row>
    <row r="1075" spans="25:28" s="3" customFormat="1">
      <c r="Y1075" s="172"/>
      <c r="Z1075" s="172"/>
      <c r="AA1075" s="172"/>
      <c r="AB1075" s="172"/>
    </row>
    <row r="1076" spans="25:28" s="3" customFormat="1">
      <c r="Y1076" s="172"/>
      <c r="Z1076" s="172"/>
      <c r="AA1076" s="172"/>
      <c r="AB1076" s="172"/>
    </row>
    <row r="1077" spans="25:28" s="3" customFormat="1">
      <c r="Y1077" s="172"/>
      <c r="Z1077" s="172"/>
      <c r="AA1077" s="172"/>
      <c r="AB1077" s="172"/>
    </row>
    <row r="1078" spans="25:28" s="3" customFormat="1">
      <c r="Y1078" s="172"/>
      <c r="Z1078" s="172"/>
      <c r="AA1078" s="172"/>
      <c r="AB1078" s="172"/>
    </row>
    <row r="1079" spans="25:28" s="3" customFormat="1">
      <c r="Y1079" s="172"/>
      <c r="Z1079" s="172"/>
      <c r="AA1079" s="172"/>
      <c r="AB1079" s="172"/>
    </row>
    <row r="1080" spans="25:28" s="3" customFormat="1">
      <c r="Y1080" s="172"/>
      <c r="Z1080" s="172"/>
      <c r="AA1080" s="172"/>
      <c r="AB1080" s="172"/>
    </row>
    <row r="1081" spans="25:28" s="3" customFormat="1">
      <c r="Y1081" s="172"/>
      <c r="Z1081" s="172"/>
      <c r="AA1081" s="172"/>
      <c r="AB1081" s="172"/>
    </row>
    <row r="1082" spans="25:28" s="3" customFormat="1">
      <c r="Y1082" s="172"/>
      <c r="Z1082" s="172"/>
      <c r="AA1082" s="172"/>
      <c r="AB1082" s="172"/>
    </row>
    <row r="1083" spans="25:28" s="3" customFormat="1">
      <c r="Y1083" s="172"/>
      <c r="Z1083" s="172"/>
      <c r="AA1083" s="172"/>
      <c r="AB1083" s="172"/>
    </row>
    <row r="1084" spans="25:28" s="3" customFormat="1">
      <c r="Y1084" s="172"/>
      <c r="Z1084" s="172"/>
      <c r="AA1084" s="172"/>
      <c r="AB1084" s="172"/>
    </row>
    <row r="1085" spans="25:28" s="3" customFormat="1">
      <c r="Y1085" s="172"/>
      <c r="Z1085" s="172"/>
      <c r="AA1085" s="172"/>
      <c r="AB1085" s="172"/>
    </row>
    <row r="1086" spans="25:28" s="3" customFormat="1">
      <c r="Y1086" s="172"/>
      <c r="Z1086" s="172"/>
      <c r="AA1086" s="172"/>
      <c r="AB1086" s="172"/>
    </row>
    <row r="1087" spans="25:28" s="3" customFormat="1">
      <c r="Y1087" s="172"/>
      <c r="Z1087" s="172"/>
      <c r="AA1087" s="172"/>
      <c r="AB1087" s="172"/>
    </row>
    <row r="1088" spans="25:28" s="3" customFormat="1">
      <c r="Y1088" s="172"/>
      <c r="Z1088" s="172"/>
      <c r="AA1088" s="172"/>
      <c r="AB1088" s="172"/>
    </row>
    <row r="1089" spans="25:28" s="3" customFormat="1">
      <c r="Y1089" s="172"/>
      <c r="Z1089" s="172"/>
      <c r="AA1089" s="172"/>
      <c r="AB1089" s="172"/>
    </row>
    <row r="1090" spans="25:28" s="3" customFormat="1">
      <c r="Y1090" s="172"/>
      <c r="Z1090" s="172"/>
      <c r="AA1090" s="172"/>
      <c r="AB1090" s="172"/>
    </row>
    <row r="1091" spans="25:28" s="3" customFormat="1">
      <c r="Y1091" s="172"/>
      <c r="Z1091" s="172"/>
      <c r="AA1091" s="172"/>
      <c r="AB1091" s="172"/>
    </row>
    <row r="1092" spans="25:28" s="3" customFormat="1">
      <c r="Y1092" s="172"/>
      <c r="Z1092" s="172"/>
      <c r="AA1092" s="172"/>
      <c r="AB1092" s="172"/>
    </row>
    <row r="1093" spans="25:28" s="3" customFormat="1">
      <c r="Y1093" s="172"/>
      <c r="Z1093" s="172"/>
      <c r="AA1093" s="172"/>
      <c r="AB1093" s="172"/>
    </row>
    <row r="1094" spans="25:28" s="3" customFormat="1">
      <c r="Y1094" s="172"/>
      <c r="Z1094" s="172"/>
      <c r="AA1094" s="172"/>
      <c r="AB1094" s="172"/>
    </row>
    <row r="1095" spans="25:28" s="3" customFormat="1">
      <c r="Y1095" s="172"/>
      <c r="Z1095" s="172"/>
      <c r="AA1095" s="172"/>
      <c r="AB1095" s="172"/>
    </row>
    <row r="1096" spans="25:28" s="3" customFormat="1">
      <c r="Y1096" s="172"/>
      <c r="Z1096" s="172"/>
      <c r="AA1096" s="172"/>
      <c r="AB1096" s="172"/>
    </row>
    <row r="1097" spans="25:28" s="3" customFormat="1">
      <c r="Y1097" s="172"/>
      <c r="Z1097" s="172"/>
      <c r="AA1097" s="172"/>
      <c r="AB1097" s="172"/>
    </row>
    <row r="1098" spans="25:28" s="3" customFormat="1">
      <c r="Y1098" s="172"/>
      <c r="Z1098" s="172"/>
      <c r="AA1098" s="172"/>
      <c r="AB1098" s="172"/>
    </row>
    <row r="1099" spans="25:28" s="3" customFormat="1">
      <c r="Y1099" s="172"/>
      <c r="Z1099" s="172"/>
      <c r="AA1099" s="172"/>
      <c r="AB1099" s="172"/>
    </row>
    <row r="1100" spans="25:28" s="3" customFormat="1">
      <c r="Y1100" s="172"/>
      <c r="Z1100" s="172"/>
      <c r="AA1100" s="172"/>
      <c r="AB1100" s="172"/>
    </row>
    <row r="1101" spans="25:28" s="3" customFormat="1">
      <c r="Y1101" s="172"/>
      <c r="Z1101" s="172"/>
      <c r="AA1101" s="172"/>
      <c r="AB1101" s="172"/>
    </row>
    <row r="1102" spans="25:28" s="3" customFormat="1">
      <c r="Y1102" s="172"/>
      <c r="Z1102" s="172"/>
      <c r="AA1102" s="172"/>
      <c r="AB1102" s="172"/>
    </row>
    <row r="1103" spans="25:28" s="3" customFormat="1">
      <c r="Y1103" s="172"/>
      <c r="Z1103" s="172"/>
      <c r="AA1103" s="172"/>
      <c r="AB1103" s="172"/>
    </row>
    <row r="1104" spans="25:28" s="3" customFormat="1">
      <c r="Y1104" s="172"/>
      <c r="Z1104" s="172"/>
      <c r="AA1104" s="172"/>
      <c r="AB1104" s="172"/>
    </row>
    <row r="1105" spans="25:28" s="3" customFormat="1">
      <c r="Y1105" s="172"/>
      <c r="Z1105" s="172"/>
      <c r="AA1105" s="172"/>
      <c r="AB1105" s="172"/>
    </row>
    <row r="1106" spans="25:28" s="3" customFormat="1">
      <c r="Y1106" s="172"/>
      <c r="Z1106" s="172"/>
      <c r="AA1106" s="172"/>
      <c r="AB1106" s="172"/>
    </row>
    <row r="1107" spans="25:28" s="3" customFormat="1">
      <c r="Y1107" s="172"/>
      <c r="Z1107" s="172"/>
      <c r="AA1107" s="172"/>
      <c r="AB1107" s="172"/>
    </row>
    <row r="1108" spans="25:28" s="3" customFormat="1">
      <c r="Y1108" s="172"/>
      <c r="Z1108" s="172"/>
      <c r="AA1108" s="172"/>
      <c r="AB1108" s="172"/>
    </row>
    <row r="1109" spans="25:28" s="3" customFormat="1">
      <c r="Y1109" s="172"/>
      <c r="Z1109" s="172"/>
      <c r="AA1109" s="172"/>
      <c r="AB1109" s="172"/>
    </row>
    <row r="1110" spans="25:28" s="3" customFormat="1">
      <c r="Y1110" s="172"/>
      <c r="Z1110" s="172"/>
      <c r="AA1110" s="172"/>
      <c r="AB1110" s="172"/>
    </row>
    <row r="1111" spans="25:28" s="3" customFormat="1">
      <c r="Y1111" s="172"/>
      <c r="Z1111" s="172"/>
      <c r="AA1111" s="172"/>
      <c r="AB1111" s="172"/>
    </row>
    <row r="1112" spans="25:28" s="3" customFormat="1">
      <c r="Y1112" s="172"/>
      <c r="Z1112" s="172"/>
      <c r="AA1112" s="172"/>
      <c r="AB1112" s="172"/>
    </row>
    <row r="1113" spans="25:28" s="3" customFormat="1">
      <c r="Y1113" s="172"/>
      <c r="Z1113" s="172"/>
      <c r="AA1113" s="172"/>
      <c r="AB1113" s="172"/>
    </row>
    <row r="1114" spans="25:28" s="3" customFormat="1">
      <c r="Y1114" s="172"/>
      <c r="Z1114" s="172"/>
      <c r="AA1114" s="172"/>
      <c r="AB1114" s="172"/>
    </row>
    <row r="1115" spans="25:28" s="3" customFormat="1">
      <c r="Y1115" s="172"/>
      <c r="Z1115" s="172"/>
      <c r="AA1115" s="172"/>
      <c r="AB1115" s="172"/>
    </row>
    <row r="1116" spans="25:28" s="3" customFormat="1">
      <c r="Y1116" s="172"/>
      <c r="Z1116" s="172"/>
      <c r="AA1116" s="172"/>
      <c r="AB1116" s="172"/>
    </row>
    <row r="1117" spans="25:28" s="3" customFormat="1">
      <c r="Y1117" s="172"/>
      <c r="Z1117" s="172"/>
      <c r="AA1117" s="172"/>
      <c r="AB1117" s="172"/>
    </row>
    <row r="1118" spans="25:28" s="3" customFormat="1">
      <c r="Y1118" s="172"/>
      <c r="Z1118" s="172"/>
      <c r="AA1118" s="172"/>
      <c r="AB1118" s="172"/>
    </row>
    <row r="1119" spans="25:28" s="3" customFormat="1">
      <c r="Y1119" s="172"/>
      <c r="Z1119" s="172"/>
      <c r="AA1119" s="172"/>
      <c r="AB1119" s="172"/>
    </row>
    <row r="1120" spans="25:28" s="3" customFormat="1">
      <c r="Y1120" s="172"/>
      <c r="Z1120" s="172"/>
      <c r="AA1120" s="172"/>
      <c r="AB1120" s="172"/>
    </row>
    <row r="1121" spans="25:28" s="3" customFormat="1">
      <c r="Y1121" s="172"/>
      <c r="Z1121" s="172"/>
      <c r="AA1121" s="172"/>
      <c r="AB1121" s="172"/>
    </row>
    <row r="1122" spans="25:28" s="3" customFormat="1">
      <c r="Y1122" s="172"/>
      <c r="Z1122" s="172"/>
      <c r="AA1122" s="172"/>
      <c r="AB1122" s="172"/>
    </row>
    <row r="1123" spans="25:28" s="3" customFormat="1">
      <c r="Y1123" s="172"/>
      <c r="Z1123" s="172"/>
      <c r="AA1123" s="172"/>
      <c r="AB1123" s="172"/>
    </row>
    <row r="1124" spans="25:28" s="3" customFormat="1">
      <c r="Y1124" s="172"/>
      <c r="Z1124" s="172"/>
      <c r="AA1124" s="172"/>
      <c r="AB1124" s="172"/>
    </row>
    <row r="1125" spans="25:28" s="3" customFormat="1">
      <c r="Y1125" s="172"/>
      <c r="Z1125" s="172"/>
      <c r="AA1125" s="172"/>
      <c r="AB1125" s="172"/>
    </row>
    <row r="1126" spans="25:28" s="3" customFormat="1">
      <c r="Y1126" s="172"/>
      <c r="Z1126" s="172"/>
      <c r="AA1126" s="172"/>
      <c r="AB1126" s="172"/>
    </row>
    <row r="1127" spans="25:28" s="3" customFormat="1">
      <c r="Y1127" s="172"/>
      <c r="Z1127" s="172"/>
      <c r="AA1127" s="172"/>
      <c r="AB1127" s="172"/>
    </row>
    <row r="1128" spans="25:28" s="3" customFormat="1">
      <c r="Y1128" s="172"/>
      <c r="Z1128" s="172"/>
      <c r="AA1128" s="172"/>
      <c r="AB1128" s="172"/>
    </row>
    <row r="1129" spans="25:28" s="3" customFormat="1">
      <c r="Y1129" s="172"/>
      <c r="Z1129" s="172"/>
      <c r="AA1129" s="172"/>
      <c r="AB1129" s="172"/>
    </row>
    <row r="1130" spans="25:28" s="3" customFormat="1">
      <c r="Y1130" s="172"/>
      <c r="Z1130" s="172"/>
      <c r="AA1130" s="172"/>
      <c r="AB1130" s="172"/>
    </row>
    <row r="1131" spans="25:28" s="3" customFormat="1">
      <c r="Y1131" s="172"/>
      <c r="Z1131" s="172"/>
      <c r="AA1131" s="172"/>
      <c r="AB1131" s="172"/>
    </row>
    <row r="1132" spans="25:28" s="3" customFormat="1">
      <c r="Y1132" s="172"/>
      <c r="Z1132" s="172"/>
      <c r="AA1132" s="172"/>
      <c r="AB1132" s="172"/>
    </row>
    <row r="1133" spans="25:28" s="3" customFormat="1">
      <c r="Y1133" s="172"/>
      <c r="Z1133" s="172"/>
      <c r="AA1133" s="172"/>
      <c r="AB1133" s="172"/>
    </row>
    <row r="1134" spans="25:28" s="3" customFormat="1">
      <c r="Y1134" s="172"/>
      <c r="Z1134" s="172"/>
      <c r="AA1134" s="172"/>
      <c r="AB1134" s="172"/>
    </row>
    <row r="1135" spans="25:28" s="3" customFormat="1">
      <c r="Y1135" s="172"/>
      <c r="Z1135" s="172"/>
      <c r="AA1135" s="172"/>
      <c r="AB1135" s="172"/>
    </row>
    <row r="1136" spans="25:28" s="3" customFormat="1">
      <c r="Y1136" s="172"/>
      <c r="Z1136" s="172"/>
      <c r="AA1136" s="172"/>
      <c r="AB1136" s="172"/>
    </row>
    <row r="1137" spans="25:28" s="3" customFormat="1">
      <c r="Y1137" s="172"/>
      <c r="Z1137" s="172"/>
      <c r="AA1137" s="172"/>
      <c r="AB1137" s="172"/>
    </row>
    <row r="1138" spans="25:28" s="3" customFormat="1">
      <c r="Y1138" s="172"/>
      <c r="Z1138" s="172"/>
      <c r="AA1138" s="172"/>
      <c r="AB1138" s="172"/>
    </row>
    <row r="1139" spans="25:28" s="3" customFormat="1">
      <c r="Y1139" s="172"/>
      <c r="Z1139" s="172"/>
      <c r="AA1139" s="172"/>
      <c r="AB1139" s="172"/>
    </row>
    <row r="1140" spans="25:28" s="3" customFormat="1">
      <c r="Y1140" s="172"/>
      <c r="Z1140" s="172"/>
      <c r="AA1140" s="172"/>
      <c r="AB1140" s="172"/>
    </row>
    <row r="1141" spans="25:28" s="3" customFormat="1">
      <c r="Y1141" s="172"/>
      <c r="Z1141" s="172"/>
      <c r="AA1141" s="172"/>
      <c r="AB1141" s="172"/>
    </row>
    <row r="1142" spans="25:28" s="3" customFormat="1">
      <c r="Y1142" s="172"/>
      <c r="Z1142" s="172"/>
      <c r="AA1142" s="172"/>
      <c r="AB1142" s="172"/>
    </row>
    <row r="1143" spans="25:28" s="3" customFormat="1">
      <c r="Y1143" s="172"/>
      <c r="Z1143" s="172"/>
      <c r="AA1143" s="172"/>
      <c r="AB1143" s="172"/>
    </row>
    <row r="1144" spans="25:28" s="3" customFormat="1">
      <c r="Y1144" s="172"/>
      <c r="Z1144" s="172"/>
      <c r="AA1144" s="172"/>
      <c r="AB1144" s="172"/>
    </row>
    <row r="1145" spans="25:28" s="3" customFormat="1">
      <c r="Y1145" s="172"/>
      <c r="Z1145" s="172"/>
      <c r="AA1145" s="172"/>
      <c r="AB1145" s="172"/>
    </row>
    <row r="1146" spans="25:28" s="3" customFormat="1">
      <c r="Y1146" s="172"/>
      <c r="Z1146" s="172"/>
      <c r="AA1146" s="172"/>
      <c r="AB1146" s="172"/>
    </row>
    <row r="1147" spans="25:28" s="3" customFormat="1">
      <c r="Y1147" s="172"/>
      <c r="Z1147" s="172"/>
      <c r="AA1147" s="172"/>
      <c r="AB1147" s="172"/>
    </row>
    <row r="1148" spans="25:28" s="3" customFormat="1">
      <c r="Y1148" s="172"/>
      <c r="Z1148" s="172"/>
      <c r="AA1148" s="172"/>
      <c r="AB1148" s="172"/>
    </row>
    <row r="1149" spans="25:28" s="3" customFormat="1">
      <c r="Y1149" s="172"/>
      <c r="Z1149" s="172"/>
      <c r="AA1149" s="172"/>
      <c r="AB1149" s="172"/>
    </row>
    <row r="1150" spans="25:28" s="3" customFormat="1">
      <c r="Y1150" s="172"/>
      <c r="Z1150" s="172"/>
      <c r="AA1150" s="172"/>
      <c r="AB1150" s="172"/>
    </row>
    <row r="1151" spans="25:28" s="3" customFormat="1">
      <c r="Y1151" s="172"/>
      <c r="Z1151" s="172"/>
      <c r="AA1151" s="172"/>
      <c r="AB1151" s="172"/>
    </row>
    <row r="1152" spans="25:28" s="3" customFormat="1">
      <c r="Y1152" s="172"/>
      <c r="Z1152" s="172"/>
      <c r="AA1152" s="172"/>
      <c r="AB1152" s="172"/>
    </row>
    <row r="1153" spans="25:28" s="3" customFormat="1">
      <c r="Y1153" s="172"/>
      <c r="Z1153" s="172"/>
      <c r="AA1153" s="172"/>
      <c r="AB1153" s="172"/>
    </row>
    <row r="1154" spans="25:28" s="3" customFormat="1">
      <c r="Y1154" s="172"/>
      <c r="Z1154" s="172"/>
      <c r="AA1154" s="172"/>
      <c r="AB1154" s="172"/>
    </row>
    <row r="1155" spans="25:28" s="3" customFormat="1">
      <c r="Y1155" s="172"/>
      <c r="Z1155" s="172"/>
      <c r="AA1155" s="172"/>
      <c r="AB1155" s="172"/>
    </row>
    <row r="1156" spans="25:28" s="3" customFormat="1">
      <c r="Y1156" s="172"/>
      <c r="Z1156" s="172"/>
      <c r="AA1156" s="172"/>
      <c r="AB1156" s="172"/>
    </row>
    <row r="1157" spans="25:28" s="3" customFormat="1">
      <c r="Y1157" s="172"/>
      <c r="Z1157" s="172"/>
      <c r="AA1157" s="172"/>
      <c r="AB1157" s="172"/>
    </row>
    <row r="1158" spans="25:28" s="3" customFormat="1">
      <c r="Y1158" s="172"/>
      <c r="Z1158" s="172"/>
      <c r="AA1158" s="172"/>
      <c r="AB1158" s="172"/>
    </row>
    <row r="1159" spans="25:28" s="3" customFormat="1">
      <c r="Y1159" s="172"/>
      <c r="Z1159" s="172"/>
      <c r="AA1159" s="172"/>
      <c r="AB1159" s="172"/>
    </row>
    <row r="1160" spans="25:28" s="3" customFormat="1">
      <c r="Y1160" s="172"/>
      <c r="Z1160" s="172"/>
      <c r="AA1160" s="172"/>
      <c r="AB1160" s="172"/>
    </row>
    <row r="1161" spans="25:28" s="3" customFormat="1">
      <c r="Y1161" s="172"/>
      <c r="Z1161" s="172"/>
      <c r="AA1161" s="172"/>
      <c r="AB1161" s="172"/>
    </row>
    <row r="1162" spans="25:28" s="3" customFormat="1">
      <c r="Y1162" s="172"/>
      <c r="Z1162" s="172"/>
      <c r="AA1162" s="172"/>
      <c r="AB1162" s="172"/>
    </row>
    <row r="1163" spans="25:28" s="3" customFormat="1">
      <c r="Y1163" s="172"/>
      <c r="Z1163" s="172"/>
      <c r="AA1163" s="172"/>
      <c r="AB1163" s="172"/>
    </row>
    <row r="1164" spans="25:28" s="3" customFormat="1">
      <c r="Y1164" s="172"/>
      <c r="Z1164" s="172"/>
      <c r="AA1164" s="172"/>
      <c r="AB1164" s="172"/>
    </row>
    <row r="1165" spans="25:28" s="3" customFormat="1">
      <c r="Y1165" s="172"/>
      <c r="Z1165" s="172"/>
      <c r="AA1165" s="172"/>
      <c r="AB1165" s="172"/>
    </row>
    <row r="1166" spans="25:28" s="3" customFormat="1">
      <c r="Y1166" s="172"/>
      <c r="Z1166" s="172"/>
      <c r="AA1166" s="172"/>
      <c r="AB1166" s="172"/>
    </row>
    <row r="1167" spans="25:28" s="3" customFormat="1">
      <c r="Y1167" s="172"/>
      <c r="Z1167" s="172"/>
      <c r="AA1167" s="172"/>
      <c r="AB1167" s="172"/>
    </row>
    <row r="1168" spans="25:28" s="3" customFormat="1">
      <c r="Y1168" s="172"/>
      <c r="Z1168" s="172"/>
      <c r="AA1168" s="172"/>
      <c r="AB1168" s="172"/>
    </row>
    <row r="1169" spans="25:28" s="3" customFormat="1">
      <c r="Y1169" s="172"/>
      <c r="Z1169" s="172"/>
      <c r="AA1169" s="172"/>
      <c r="AB1169" s="172"/>
    </row>
    <row r="1170" spans="25:28" s="3" customFormat="1">
      <c r="Y1170" s="172"/>
      <c r="Z1170" s="172"/>
      <c r="AA1170" s="172"/>
      <c r="AB1170" s="172"/>
    </row>
    <row r="1171" spans="25:28" s="3" customFormat="1">
      <c r="Y1171" s="172"/>
      <c r="Z1171" s="172"/>
      <c r="AA1171" s="172"/>
      <c r="AB1171" s="172"/>
    </row>
    <row r="1172" spans="25:28" s="3" customFormat="1">
      <c r="Y1172" s="172"/>
      <c r="Z1172" s="172"/>
      <c r="AA1172" s="172"/>
      <c r="AB1172" s="172"/>
    </row>
    <row r="1173" spans="25:28" s="3" customFormat="1">
      <c r="Y1173" s="172"/>
      <c r="Z1173" s="172"/>
      <c r="AA1173" s="172"/>
      <c r="AB1173" s="172"/>
    </row>
    <row r="1174" spans="25:28" s="3" customFormat="1">
      <c r="Y1174" s="172"/>
      <c r="Z1174" s="172"/>
      <c r="AA1174" s="172"/>
      <c r="AB1174" s="172"/>
    </row>
    <row r="1175" spans="25:28" s="3" customFormat="1">
      <c r="Y1175" s="172"/>
      <c r="Z1175" s="172"/>
      <c r="AA1175" s="172"/>
      <c r="AB1175" s="172"/>
    </row>
    <row r="1176" spans="25:28" s="3" customFormat="1">
      <c r="Y1176" s="172"/>
      <c r="Z1176" s="172"/>
      <c r="AA1176" s="172"/>
      <c r="AB1176" s="172"/>
    </row>
    <row r="1177" spans="25:28" s="3" customFormat="1">
      <c r="Y1177" s="172"/>
      <c r="Z1177" s="172"/>
      <c r="AA1177" s="172"/>
      <c r="AB1177" s="172"/>
    </row>
    <row r="1178" spans="25:28" s="3" customFormat="1">
      <c r="Y1178" s="172"/>
      <c r="Z1178" s="172"/>
      <c r="AA1178" s="172"/>
      <c r="AB1178" s="172"/>
    </row>
    <row r="1179" spans="25:28" s="3" customFormat="1">
      <c r="Y1179" s="172"/>
      <c r="Z1179" s="172"/>
      <c r="AA1179" s="172"/>
      <c r="AB1179" s="172"/>
    </row>
    <row r="1180" spans="25:28" s="3" customFormat="1">
      <c r="Y1180" s="172"/>
      <c r="Z1180" s="172"/>
      <c r="AA1180" s="172"/>
      <c r="AB1180" s="172"/>
    </row>
    <row r="1181" spans="25:28" s="3" customFormat="1">
      <c r="Y1181" s="172"/>
      <c r="Z1181" s="172"/>
      <c r="AA1181" s="172"/>
      <c r="AB1181" s="172"/>
    </row>
    <row r="1182" spans="25:28" s="3" customFormat="1">
      <c r="Y1182" s="172"/>
      <c r="Z1182" s="172"/>
      <c r="AA1182" s="172"/>
      <c r="AB1182" s="172"/>
    </row>
    <row r="1183" spans="25:28" s="3" customFormat="1">
      <c r="Y1183" s="172"/>
      <c r="Z1183" s="172"/>
      <c r="AA1183" s="172"/>
      <c r="AB1183" s="172"/>
    </row>
    <row r="1184" spans="25:28" s="3" customFormat="1">
      <c r="Y1184" s="172"/>
      <c r="Z1184" s="172"/>
      <c r="AA1184" s="172"/>
      <c r="AB1184" s="172"/>
    </row>
    <row r="1185" spans="25:28" s="3" customFormat="1">
      <c r="Y1185" s="172"/>
      <c r="Z1185" s="172"/>
      <c r="AA1185" s="172"/>
      <c r="AB1185" s="172"/>
    </row>
    <row r="1186" spans="25:28" s="3" customFormat="1">
      <c r="Y1186" s="172"/>
      <c r="Z1186" s="172"/>
      <c r="AA1186" s="172"/>
      <c r="AB1186" s="172"/>
    </row>
    <row r="1187" spans="25:28" s="3" customFormat="1">
      <c r="Y1187" s="172"/>
      <c r="Z1187" s="172"/>
      <c r="AA1187" s="172"/>
      <c r="AB1187" s="172"/>
    </row>
    <row r="1188" spans="25:28" s="3" customFormat="1">
      <c r="Y1188" s="172"/>
      <c r="Z1188" s="172"/>
      <c r="AA1188" s="172"/>
      <c r="AB1188" s="172"/>
    </row>
    <row r="1189" spans="25:28" s="3" customFormat="1">
      <c r="Y1189" s="172"/>
      <c r="Z1189" s="172"/>
      <c r="AA1189" s="172"/>
      <c r="AB1189" s="172"/>
    </row>
    <row r="1190" spans="25:28" s="3" customFormat="1">
      <c r="Y1190" s="172"/>
      <c r="Z1190" s="172"/>
      <c r="AA1190" s="172"/>
      <c r="AB1190" s="172"/>
    </row>
    <row r="1191" spans="25:28" s="3" customFormat="1">
      <c r="Y1191" s="172"/>
      <c r="Z1191" s="172"/>
      <c r="AA1191" s="172"/>
      <c r="AB1191" s="172"/>
    </row>
    <row r="1192" spans="25:28" s="3" customFormat="1">
      <c r="Y1192" s="172"/>
      <c r="Z1192" s="172"/>
      <c r="AA1192" s="172"/>
      <c r="AB1192" s="172"/>
    </row>
    <row r="1193" spans="25:28" s="3" customFormat="1">
      <c r="Y1193" s="172"/>
      <c r="Z1193" s="172"/>
      <c r="AA1193" s="172"/>
      <c r="AB1193" s="172"/>
    </row>
    <row r="1194" spans="25:28" s="3" customFormat="1">
      <c r="Y1194" s="172"/>
      <c r="Z1194" s="172"/>
      <c r="AA1194" s="172"/>
      <c r="AB1194" s="172"/>
    </row>
    <row r="1195" spans="25:28" s="3" customFormat="1">
      <c r="Y1195" s="172"/>
      <c r="Z1195" s="172"/>
      <c r="AA1195" s="172"/>
      <c r="AB1195" s="172"/>
    </row>
    <row r="1196" spans="25:28" s="3" customFormat="1">
      <c r="Y1196" s="172"/>
      <c r="Z1196" s="172"/>
      <c r="AA1196" s="172"/>
      <c r="AB1196" s="172"/>
    </row>
    <row r="1197" spans="25:28" s="3" customFormat="1">
      <c r="Y1197" s="172"/>
      <c r="Z1197" s="172"/>
      <c r="AA1197" s="172"/>
      <c r="AB1197" s="172"/>
    </row>
    <row r="1198" spans="25:28" s="3" customFormat="1">
      <c r="Y1198" s="172"/>
      <c r="Z1198" s="172"/>
      <c r="AA1198" s="172"/>
      <c r="AB1198" s="172"/>
    </row>
    <row r="1199" spans="25:28" s="3" customFormat="1">
      <c r="Y1199" s="172"/>
      <c r="Z1199" s="172"/>
      <c r="AA1199" s="172"/>
      <c r="AB1199" s="172"/>
    </row>
    <row r="1200" spans="25:28" s="3" customFormat="1">
      <c r="Y1200" s="172"/>
      <c r="Z1200" s="172"/>
      <c r="AA1200" s="172"/>
      <c r="AB1200" s="172"/>
    </row>
    <row r="1201" spans="25:28" s="3" customFormat="1">
      <c r="Y1201" s="172"/>
      <c r="Z1201" s="172"/>
      <c r="AA1201" s="172"/>
      <c r="AB1201" s="172"/>
    </row>
    <row r="1202" spans="25:28" s="3" customFormat="1">
      <c r="Y1202" s="172"/>
      <c r="Z1202" s="172"/>
      <c r="AA1202" s="172"/>
      <c r="AB1202" s="172"/>
    </row>
    <row r="1203" spans="25:28" s="3" customFormat="1">
      <c r="Y1203" s="172"/>
      <c r="Z1203" s="172"/>
      <c r="AA1203" s="172"/>
      <c r="AB1203" s="172"/>
    </row>
    <row r="1204" spans="25:28" s="3" customFormat="1">
      <c r="Y1204" s="172"/>
      <c r="Z1204" s="172"/>
      <c r="AA1204" s="172"/>
      <c r="AB1204" s="172"/>
    </row>
    <row r="1205" spans="25:28" s="3" customFormat="1">
      <c r="Y1205" s="172"/>
      <c r="Z1205" s="172"/>
      <c r="AA1205" s="172"/>
      <c r="AB1205" s="172"/>
    </row>
    <row r="1206" spans="25:28" s="3" customFormat="1">
      <c r="Y1206" s="172"/>
      <c r="Z1206" s="172"/>
      <c r="AA1206" s="172"/>
      <c r="AB1206" s="172"/>
    </row>
    <row r="1207" spans="25:28" s="3" customFormat="1">
      <c r="Y1207" s="172"/>
      <c r="Z1207" s="172"/>
      <c r="AA1207" s="172"/>
      <c r="AB1207" s="172"/>
    </row>
    <row r="1208" spans="25:28" s="3" customFormat="1">
      <c r="Y1208" s="172"/>
      <c r="Z1208" s="172"/>
      <c r="AA1208" s="172"/>
      <c r="AB1208" s="172"/>
    </row>
    <row r="1209" spans="25:28" s="3" customFormat="1">
      <c r="Y1209" s="172"/>
      <c r="Z1209" s="172"/>
      <c r="AA1209" s="172"/>
      <c r="AB1209" s="172"/>
    </row>
    <row r="1210" spans="25:28" s="3" customFormat="1">
      <c r="Y1210" s="172"/>
      <c r="Z1210" s="172"/>
      <c r="AA1210" s="172"/>
      <c r="AB1210" s="172"/>
    </row>
    <row r="1211" spans="25:28" s="3" customFormat="1">
      <c r="Y1211" s="172"/>
      <c r="Z1211" s="172"/>
      <c r="AA1211" s="172"/>
      <c r="AB1211" s="172"/>
    </row>
    <row r="1212" spans="25:28" s="3" customFormat="1">
      <c r="Y1212" s="172"/>
      <c r="Z1212" s="172"/>
      <c r="AA1212" s="172"/>
      <c r="AB1212" s="172"/>
    </row>
    <row r="1213" spans="25:28" s="3" customFormat="1">
      <c r="Y1213" s="172"/>
      <c r="Z1213" s="172"/>
      <c r="AA1213" s="172"/>
      <c r="AB1213" s="172"/>
    </row>
    <row r="1214" spans="25:28" s="3" customFormat="1">
      <c r="Y1214" s="172"/>
      <c r="Z1214" s="172"/>
      <c r="AA1214" s="172"/>
      <c r="AB1214" s="172"/>
    </row>
    <row r="1215" spans="25:28" s="3" customFormat="1">
      <c r="Y1215" s="172"/>
      <c r="Z1215" s="172"/>
      <c r="AA1215" s="172"/>
      <c r="AB1215" s="172"/>
    </row>
    <row r="1216" spans="25:28" s="3" customFormat="1">
      <c r="Y1216" s="172"/>
      <c r="Z1216" s="172"/>
      <c r="AA1216" s="172"/>
      <c r="AB1216" s="172"/>
    </row>
    <row r="1217" spans="25:28" s="3" customFormat="1">
      <c r="Y1217" s="172"/>
      <c r="Z1217" s="172"/>
      <c r="AA1217" s="172"/>
      <c r="AB1217" s="172"/>
    </row>
    <row r="1218" spans="25:28" s="3" customFormat="1">
      <c r="Y1218" s="172"/>
      <c r="Z1218" s="172"/>
      <c r="AA1218" s="172"/>
      <c r="AB1218" s="172"/>
    </row>
    <row r="1219" spans="25:28" s="3" customFormat="1">
      <c r="Y1219" s="172"/>
      <c r="Z1219" s="172"/>
      <c r="AA1219" s="172"/>
      <c r="AB1219" s="172"/>
    </row>
    <row r="1220" spans="25:28" s="3" customFormat="1">
      <c r="Y1220" s="172"/>
      <c r="Z1220" s="172"/>
      <c r="AA1220" s="172"/>
      <c r="AB1220" s="172"/>
    </row>
    <row r="1221" spans="25:28" s="3" customFormat="1">
      <c r="Y1221" s="172"/>
      <c r="Z1221" s="172"/>
      <c r="AA1221" s="172"/>
      <c r="AB1221" s="172"/>
    </row>
    <row r="1222" spans="25:28" s="3" customFormat="1">
      <c r="Y1222" s="172"/>
      <c r="Z1222" s="172"/>
      <c r="AA1222" s="172"/>
      <c r="AB1222" s="172"/>
    </row>
    <row r="1223" spans="25:28" s="3" customFormat="1">
      <c r="Y1223" s="172"/>
      <c r="Z1223" s="172"/>
      <c r="AA1223" s="172"/>
      <c r="AB1223" s="172"/>
    </row>
    <row r="1224" spans="25:28" s="3" customFormat="1">
      <c r="Y1224" s="172"/>
      <c r="Z1224" s="172"/>
      <c r="AA1224" s="172"/>
      <c r="AB1224" s="172"/>
    </row>
    <row r="1225" spans="25:28" s="3" customFormat="1">
      <c r="Y1225" s="172"/>
      <c r="Z1225" s="172"/>
      <c r="AA1225" s="172"/>
      <c r="AB1225" s="172"/>
    </row>
    <row r="1226" spans="25:28" s="3" customFormat="1">
      <c r="Y1226" s="172"/>
      <c r="Z1226" s="172"/>
      <c r="AA1226" s="172"/>
      <c r="AB1226" s="172"/>
    </row>
    <row r="1227" spans="25:28" s="3" customFormat="1">
      <c r="Y1227" s="172"/>
      <c r="Z1227" s="172"/>
      <c r="AA1227" s="172"/>
      <c r="AB1227" s="172"/>
    </row>
    <row r="1228" spans="25:28" s="3" customFormat="1">
      <c r="Y1228" s="172"/>
      <c r="Z1228" s="172"/>
      <c r="AA1228" s="172"/>
      <c r="AB1228" s="172"/>
    </row>
    <row r="1229" spans="25:28" s="3" customFormat="1">
      <c r="Y1229" s="172"/>
      <c r="Z1229" s="172"/>
      <c r="AA1229" s="172"/>
      <c r="AB1229" s="172"/>
    </row>
    <row r="1230" spans="25:28" s="3" customFormat="1">
      <c r="Y1230" s="172"/>
      <c r="Z1230" s="172"/>
      <c r="AA1230" s="172"/>
      <c r="AB1230" s="172"/>
    </row>
    <row r="1231" spans="25:28" s="3" customFormat="1">
      <c r="Y1231" s="172"/>
      <c r="Z1231" s="172"/>
      <c r="AA1231" s="172"/>
      <c r="AB1231" s="172"/>
    </row>
    <row r="1232" spans="25:28" s="3" customFormat="1">
      <c r="Y1232" s="172"/>
      <c r="Z1232" s="172"/>
      <c r="AA1232" s="172"/>
      <c r="AB1232" s="172"/>
    </row>
    <row r="1233" spans="25:28" s="3" customFormat="1">
      <c r="Y1233" s="172"/>
      <c r="Z1233" s="172"/>
      <c r="AA1233" s="172"/>
      <c r="AB1233" s="172"/>
    </row>
    <row r="1234" spans="25:28" s="3" customFormat="1">
      <c r="Y1234" s="172"/>
      <c r="Z1234" s="172"/>
      <c r="AA1234" s="172"/>
      <c r="AB1234" s="172"/>
    </row>
    <row r="1235" spans="25:28" s="3" customFormat="1">
      <c r="Y1235" s="172"/>
      <c r="Z1235" s="172"/>
      <c r="AA1235" s="172"/>
      <c r="AB1235" s="172"/>
    </row>
    <row r="1236" spans="25:28" s="3" customFormat="1">
      <c r="Y1236" s="172"/>
      <c r="Z1236" s="172"/>
      <c r="AA1236" s="172"/>
      <c r="AB1236" s="172"/>
    </row>
    <row r="1237" spans="25:28" s="3" customFormat="1">
      <c r="Y1237" s="172"/>
      <c r="Z1237" s="172"/>
      <c r="AA1237" s="172"/>
      <c r="AB1237" s="172"/>
    </row>
    <row r="1238" spans="25:28" s="3" customFormat="1">
      <c r="Y1238" s="172"/>
      <c r="Z1238" s="172"/>
      <c r="AA1238" s="172"/>
      <c r="AB1238" s="172"/>
    </row>
    <row r="1239" spans="25:28" s="3" customFormat="1">
      <c r="Y1239" s="172"/>
      <c r="Z1239" s="172"/>
      <c r="AA1239" s="172"/>
      <c r="AB1239" s="172"/>
    </row>
    <row r="1240" spans="25:28" s="3" customFormat="1">
      <c r="Y1240" s="172"/>
      <c r="Z1240" s="172"/>
      <c r="AA1240" s="172"/>
      <c r="AB1240" s="172"/>
    </row>
    <row r="1241" spans="25:28" s="3" customFormat="1">
      <c r="Y1241" s="172"/>
      <c r="Z1241" s="172"/>
      <c r="AA1241" s="172"/>
      <c r="AB1241" s="172"/>
    </row>
    <row r="1242" spans="25:28" s="3" customFormat="1">
      <c r="Y1242" s="172"/>
      <c r="Z1242" s="172"/>
      <c r="AA1242" s="172"/>
      <c r="AB1242" s="172"/>
    </row>
    <row r="1243" spans="25:28" s="3" customFormat="1">
      <c r="Y1243" s="172"/>
      <c r="Z1243" s="172"/>
      <c r="AA1243" s="172"/>
      <c r="AB1243" s="172"/>
    </row>
    <row r="1244" spans="25:28" s="3" customFormat="1">
      <c r="Y1244" s="172"/>
      <c r="Z1244" s="172"/>
      <c r="AA1244" s="172"/>
      <c r="AB1244" s="172"/>
    </row>
    <row r="1245" spans="25:28" s="3" customFormat="1">
      <c r="Y1245" s="172"/>
      <c r="Z1245" s="172"/>
      <c r="AA1245" s="172"/>
      <c r="AB1245" s="172"/>
    </row>
    <row r="1246" spans="25:28" s="3" customFormat="1">
      <c r="Y1246" s="172"/>
      <c r="Z1246" s="172"/>
      <c r="AA1246" s="172"/>
      <c r="AB1246" s="172"/>
    </row>
    <row r="1247" spans="25:28" s="3" customFormat="1">
      <c r="Y1247" s="172"/>
      <c r="Z1247" s="172"/>
      <c r="AA1247" s="172"/>
      <c r="AB1247" s="172"/>
    </row>
    <row r="1248" spans="25:28" s="3" customFormat="1">
      <c r="Y1248" s="172"/>
      <c r="Z1248" s="172"/>
      <c r="AA1248" s="172"/>
      <c r="AB1248" s="172"/>
    </row>
    <row r="1249" spans="25:28" s="3" customFormat="1">
      <c r="Y1249" s="172"/>
      <c r="Z1249" s="172"/>
      <c r="AA1249" s="172"/>
      <c r="AB1249" s="172"/>
    </row>
    <row r="1250" spans="25:28" s="3" customFormat="1">
      <c r="Y1250" s="172"/>
      <c r="Z1250" s="172"/>
      <c r="AA1250" s="172"/>
      <c r="AB1250" s="172"/>
    </row>
    <row r="1251" spans="25:28" s="3" customFormat="1">
      <c r="Y1251" s="172"/>
      <c r="Z1251" s="172"/>
      <c r="AA1251" s="172"/>
      <c r="AB1251" s="172"/>
    </row>
    <row r="1252" spans="25:28" s="3" customFormat="1">
      <c r="Y1252" s="172"/>
      <c r="Z1252" s="172"/>
      <c r="AA1252" s="172"/>
      <c r="AB1252" s="172"/>
    </row>
    <row r="1253" spans="25:28" s="3" customFormat="1">
      <c r="Y1253" s="172"/>
      <c r="Z1253" s="172"/>
      <c r="AA1253" s="172"/>
      <c r="AB1253" s="172"/>
    </row>
    <row r="1254" spans="25:28" s="3" customFormat="1">
      <c r="Y1254" s="172"/>
      <c r="Z1254" s="172"/>
      <c r="AA1254" s="172"/>
      <c r="AB1254" s="172"/>
    </row>
    <row r="1255" spans="25:28" s="3" customFormat="1">
      <c r="Y1255" s="172"/>
      <c r="Z1255" s="172"/>
      <c r="AA1255" s="172"/>
      <c r="AB1255" s="172"/>
    </row>
    <row r="1256" spans="25:28" s="3" customFormat="1">
      <c r="Y1256" s="172"/>
      <c r="Z1256" s="172"/>
      <c r="AA1256" s="172"/>
      <c r="AB1256" s="172"/>
    </row>
    <row r="1257" spans="25:28" s="3" customFormat="1">
      <c r="Y1257" s="172"/>
      <c r="Z1257" s="172"/>
      <c r="AA1257" s="172"/>
      <c r="AB1257" s="172"/>
    </row>
    <row r="1258" spans="25:28" s="3" customFormat="1">
      <c r="Y1258" s="172"/>
      <c r="Z1258" s="172"/>
      <c r="AA1258" s="172"/>
      <c r="AB1258" s="172"/>
    </row>
    <row r="1259" spans="25:28" s="3" customFormat="1">
      <c r="Y1259" s="172"/>
      <c r="Z1259" s="172"/>
      <c r="AA1259" s="172"/>
      <c r="AB1259" s="172"/>
    </row>
    <row r="1260" spans="25:28" s="3" customFormat="1">
      <c r="Y1260" s="172"/>
      <c r="Z1260" s="172"/>
      <c r="AA1260" s="172"/>
      <c r="AB1260" s="172"/>
    </row>
    <row r="1261" spans="25:28" s="3" customFormat="1">
      <c r="Y1261" s="172"/>
      <c r="Z1261" s="172"/>
      <c r="AA1261" s="172"/>
      <c r="AB1261" s="172"/>
    </row>
    <row r="1262" spans="25:28" s="3" customFormat="1">
      <c r="Y1262" s="172"/>
      <c r="Z1262" s="172"/>
      <c r="AA1262" s="172"/>
      <c r="AB1262" s="172"/>
    </row>
    <row r="1263" spans="25:28" s="3" customFormat="1">
      <c r="Y1263" s="172"/>
      <c r="Z1263" s="172"/>
      <c r="AA1263" s="172"/>
      <c r="AB1263" s="172"/>
    </row>
    <row r="1264" spans="25:28" s="3" customFormat="1">
      <c r="Y1264" s="172"/>
      <c r="Z1264" s="172"/>
      <c r="AA1264" s="172"/>
      <c r="AB1264" s="172"/>
    </row>
    <row r="1265" spans="25:28" s="3" customFormat="1">
      <c r="Y1265" s="172"/>
      <c r="Z1265" s="172"/>
      <c r="AA1265" s="172"/>
      <c r="AB1265" s="172"/>
    </row>
    <row r="1266" spans="25:28" s="3" customFormat="1">
      <c r="Y1266" s="172"/>
      <c r="Z1266" s="172"/>
      <c r="AA1266" s="172"/>
      <c r="AB1266" s="172"/>
    </row>
    <row r="1267" spans="25:28" s="3" customFormat="1">
      <c r="Y1267" s="172"/>
      <c r="Z1267" s="172"/>
      <c r="AA1267" s="172"/>
      <c r="AB1267" s="172"/>
    </row>
    <row r="1268" spans="25:28" s="3" customFormat="1">
      <c r="Y1268" s="172"/>
      <c r="Z1268" s="172"/>
      <c r="AA1268" s="172"/>
      <c r="AB1268" s="172"/>
    </row>
    <row r="1269" spans="25:28" s="3" customFormat="1">
      <c r="Y1269" s="172"/>
      <c r="Z1269" s="172"/>
      <c r="AA1269" s="172"/>
      <c r="AB1269" s="172"/>
    </row>
    <row r="1270" spans="25:28" s="3" customFormat="1">
      <c r="Y1270" s="172"/>
      <c r="Z1270" s="172"/>
      <c r="AA1270" s="172"/>
      <c r="AB1270" s="172"/>
    </row>
    <row r="1271" spans="25:28" s="3" customFormat="1">
      <c r="Y1271" s="172"/>
      <c r="Z1271" s="172"/>
      <c r="AA1271" s="172"/>
      <c r="AB1271" s="172"/>
    </row>
    <row r="1272" spans="25:28" s="3" customFormat="1">
      <c r="Y1272" s="172"/>
      <c r="Z1272" s="172"/>
      <c r="AA1272" s="172"/>
      <c r="AB1272" s="172"/>
    </row>
    <row r="1273" spans="25:28" s="3" customFormat="1">
      <c r="Y1273" s="172"/>
      <c r="Z1273" s="172"/>
      <c r="AA1273" s="172"/>
      <c r="AB1273" s="172"/>
    </row>
    <row r="1274" spans="25:28" s="3" customFormat="1">
      <c r="Y1274" s="172"/>
      <c r="Z1274" s="172"/>
      <c r="AA1274" s="172"/>
      <c r="AB1274" s="172"/>
    </row>
    <row r="1275" spans="25:28" s="3" customFormat="1">
      <c r="Y1275" s="172"/>
      <c r="Z1275" s="172"/>
      <c r="AA1275" s="172"/>
      <c r="AB1275" s="172"/>
    </row>
    <row r="1276" spans="25:28" s="3" customFormat="1">
      <c r="Y1276" s="172"/>
      <c r="Z1276" s="172"/>
      <c r="AA1276" s="172"/>
      <c r="AB1276" s="172"/>
    </row>
    <row r="1277" spans="25:28" s="3" customFormat="1">
      <c r="Y1277" s="172"/>
      <c r="Z1277" s="172"/>
      <c r="AA1277" s="172"/>
      <c r="AB1277" s="172"/>
    </row>
    <row r="1278" spans="25:28" s="3" customFormat="1">
      <c r="Y1278" s="172"/>
      <c r="Z1278" s="172"/>
      <c r="AA1278" s="172"/>
      <c r="AB1278" s="172"/>
    </row>
    <row r="1279" spans="25:28" s="3" customFormat="1">
      <c r="Y1279" s="172"/>
      <c r="Z1279" s="172"/>
      <c r="AA1279" s="172"/>
      <c r="AB1279" s="172"/>
    </row>
    <row r="1280" spans="25:28" s="3" customFormat="1">
      <c r="Y1280" s="172"/>
      <c r="Z1280" s="172"/>
      <c r="AA1280" s="172"/>
      <c r="AB1280" s="172"/>
    </row>
    <row r="1281" spans="25:28" s="3" customFormat="1">
      <c r="Y1281" s="172"/>
      <c r="Z1281" s="172"/>
      <c r="AA1281" s="172"/>
      <c r="AB1281" s="172"/>
    </row>
    <row r="1282" spans="25:28" s="3" customFormat="1">
      <c r="Y1282" s="172"/>
      <c r="Z1282" s="172"/>
      <c r="AA1282" s="172"/>
      <c r="AB1282" s="172"/>
    </row>
    <row r="1283" spans="25:28" s="3" customFormat="1">
      <c r="Y1283" s="172"/>
      <c r="Z1283" s="172"/>
      <c r="AA1283" s="172"/>
      <c r="AB1283" s="172"/>
    </row>
    <row r="1284" spans="25:28" s="3" customFormat="1">
      <c r="Y1284" s="172"/>
      <c r="Z1284" s="172"/>
      <c r="AA1284" s="172"/>
      <c r="AB1284" s="172"/>
    </row>
    <row r="1285" spans="25:28" s="3" customFormat="1">
      <c r="Y1285" s="172"/>
      <c r="Z1285" s="172"/>
      <c r="AA1285" s="172"/>
      <c r="AB1285" s="172"/>
    </row>
    <row r="1286" spans="25:28" s="3" customFormat="1">
      <c r="Y1286" s="172"/>
      <c r="Z1286" s="172"/>
      <c r="AA1286" s="172"/>
      <c r="AB1286" s="172"/>
    </row>
    <row r="1287" spans="25:28" s="3" customFormat="1">
      <c r="Y1287" s="172"/>
      <c r="Z1287" s="172"/>
      <c r="AA1287" s="172"/>
      <c r="AB1287" s="172"/>
    </row>
    <row r="1288" spans="25:28" s="3" customFormat="1">
      <c r="Y1288" s="172"/>
      <c r="Z1288" s="172"/>
      <c r="AA1288" s="172"/>
      <c r="AB1288" s="172"/>
    </row>
  </sheetData>
  <sheetProtection password="840D" sheet="1" objects="1" scenarios="1" selectLockedCells="1"/>
  <mergeCells count="7">
    <mergeCell ref="F47:F51"/>
    <mergeCell ref="F53:F57"/>
    <mergeCell ref="R31:U32"/>
    <mergeCell ref="R18:U19"/>
    <mergeCell ref="R6:U7"/>
    <mergeCell ref="F35:F39"/>
    <mergeCell ref="F41:F45"/>
  </mergeCells>
  <conditionalFormatting sqref="D9:D12 D21:D24 D34 D40 D46 D52">
    <cfRule type="expression" dxfId="27" priority="15">
      <formula>AND($D9="Insert Location",$E9&lt;&gt;0,OR($I9&lt;&gt;0,$J9&lt;&gt;0,$K9&lt;&gt;0,$L9&lt;&gt;0))</formula>
    </cfRule>
  </conditionalFormatting>
  <conditionalFormatting sqref="E9:E12 E21:E24 E34:E40 E46 E52">
    <cfRule type="expression" dxfId="26" priority="16">
      <formula>AND($D9&lt;&gt;"Insert Location",$E9=0,OR($I9&lt;&gt;0,$J9&lt;&gt;0,$K9&lt;&gt;0,$L9&lt;&gt;0))</formula>
    </cfRule>
  </conditionalFormatting>
  <conditionalFormatting sqref="E41:E45">
    <cfRule type="expression" dxfId="25" priority="10">
      <formula>AND($D41&lt;&gt;"Insert Location",$E41=0,OR($I41&lt;&gt;0,$J41&lt;&gt;0,$K41&lt;&gt;0,$L41&lt;&gt;0))</formula>
    </cfRule>
  </conditionalFormatting>
  <conditionalFormatting sqref="E47:E51">
    <cfRule type="expression" dxfId="24" priority="8">
      <formula>AND($D47&lt;&gt;"Insert Location",$E47=0,OR($I47&lt;&gt;0,$J47&lt;&gt;0,$K47&lt;&gt;0,$L47&lt;&gt;0))</formula>
    </cfRule>
  </conditionalFormatting>
  <conditionalFormatting sqref="E53:E57">
    <cfRule type="expression" dxfId="23" priority="6">
      <formula>AND($D53&lt;&gt;"Insert Location",$E53=0,OR($I53&lt;&gt;0,$J53&lt;&gt;0,$K53&lt;&gt;0,$L53&lt;&gt;0))</formula>
    </cfRule>
  </conditionalFormatting>
  <conditionalFormatting sqref="I9:L12 I21:L24 I34:L34 I40:L40 I46:L46 I52:L52">
    <cfRule type="expression" dxfId="22" priority="5">
      <formula>AND($D9&lt;&gt;"Insert Location",$E9&lt;&gt;0,AND($I9=0,$J9=0,$K9=0,$L9=0))</formula>
    </cfRule>
  </conditionalFormatting>
  <conditionalFormatting sqref="I34:L34">
    <cfRule type="expression" dxfId="21" priority="4">
      <formula>IF(BlendYourOwnCement1="Yes",1,0)</formula>
    </cfRule>
  </conditionalFormatting>
  <conditionalFormatting sqref="I40:L40">
    <cfRule type="expression" dxfId="20" priority="3">
      <formula>IF(BlendYourOwnCement2="Yes",1,0)</formula>
    </cfRule>
  </conditionalFormatting>
  <conditionalFormatting sqref="I46:L46">
    <cfRule type="expression" dxfId="19" priority="2">
      <formula>IF(BlendYourOwnCement3="Yes",1,0)</formula>
    </cfRule>
  </conditionalFormatting>
  <conditionalFormatting sqref="I52:L52">
    <cfRule type="expression" dxfId="18" priority="1">
      <formula>IF(BlendYourOwnCement4="Yes",1,0)</formula>
    </cfRule>
  </conditionalFormatting>
  <dataValidations count="7">
    <dataValidation type="list" allowBlank="1" showInputMessage="1" showErrorMessage="1" error="Please choose the unit from the drop down list by clicking Cancel, then clicking on the down arrow to the right of the cell." sqref="F9:F12 F21:F24 F34 F40 F46 F52" xr:uid="{00000000-0002-0000-0100-000000000000}">
      <formula1>Mass_Units</formula1>
    </dataValidation>
    <dataValidation type="decimal" operator="greaterThan" allowBlank="1" showInputMessage="1" showErrorMessage="1" error="This entry must be a number greater than zero, or blank." sqref="I35:L39 I41:L45 I47:L51 I53:L57" xr:uid="{00000000-0002-0000-0100-000001000000}">
      <formula1>0</formula1>
    </dataValidation>
    <dataValidation type="list" allowBlank="1" showInputMessage="1" showErrorMessage="1" error="Please choose the unit from the drop down list by clicking Cancel, then clicking on the down arrow to the right of the cell." sqref="N9:N12 N21:N24 N34:N57" xr:uid="{00000000-0002-0000-0100-000002000000}">
      <formula1>Distance_Units</formula1>
    </dataValidation>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D9:D12 D21:D24 D34 D40 D46 D52" xr:uid="{00000000-0002-0000-0100-000003000000}">
      <formula1>IF(UnitSystem="SI-Metric (Canada)",Cement_Sources_CAN,IF(UnitSystem="US-Imperial (United States)",Cement_Sources_USA,NA()))</formula1>
    </dataValidation>
    <dataValidation allowBlank="1" showInputMessage="1" showErrorMessage="1" error="Please choose the unit from the drop down list by clicking Cancel, then clicking on the down arrow to the right of the cell." sqref="F35 F41 F47 F53" xr:uid="{00000000-0002-0000-0100-000004000000}"/>
    <dataValidation type="list" allowBlank="1" showInputMessage="1" showErrorMessage="1" sqref="P34 P40 P46 P52" xr:uid="{00000000-0002-0000-0100-000005000000}">
      <formula1>"Yes,No"</formula1>
    </dataValidation>
    <dataValidation type="decimal" operator="greaterThanOrEqual" allowBlank="1" showInputMessage="1" showErrorMessage="1" error="This entry must be a number greater than zero, zero, or blank." sqref="E9:E12 I9:L12 E21:E24 I21:L24 E34:E57 I34:L34 I40:L40 I46:L46 I52:L52" xr:uid="{00000000-0002-0000-0100-000006000000}">
      <formula1>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EI121"/>
  <sheetViews>
    <sheetView showGridLines="0" tabSelected="1" zoomScale="90" zoomScaleNormal="90" workbookViewId="0">
      <selection activeCell="E16" sqref="E16"/>
    </sheetView>
  </sheetViews>
  <sheetFormatPr baseColWidth="10" defaultColWidth="9.1640625" defaultRowHeight="15"/>
  <cols>
    <col min="1" max="1" width="1.5" style="12" customWidth="1"/>
    <col min="2" max="2" width="2.83203125" style="53" customWidth="1"/>
    <col min="3" max="3" width="9.1640625" style="12"/>
    <col min="4" max="4" width="57.83203125" style="12" bestFit="1" customWidth="1"/>
    <col min="5" max="6" width="21.6640625" style="12" customWidth="1"/>
    <col min="7" max="12" width="14.6640625" style="12" customWidth="1"/>
    <col min="13" max="13" width="14.6640625" style="13" customWidth="1"/>
    <col min="14" max="14" width="12.6640625" style="13" customWidth="1"/>
    <col min="15" max="15" width="15" style="13" customWidth="1"/>
    <col min="16" max="16" width="16.5" customWidth="1"/>
    <col min="17" max="17" width="5" customWidth="1"/>
    <col min="18" max="19" width="3.33203125" hidden="1" customWidth="1"/>
    <col min="20" max="23" width="4.5" hidden="1" customWidth="1"/>
    <col min="24" max="24" width="6.5" style="65" hidden="1" customWidth="1"/>
    <col min="25" max="25" width="21.6640625" style="13" hidden="1" customWidth="1"/>
    <col min="26" max="26" width="8.3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3.83203125" hidden="1" customWidth="1"/>
    <col min="73" max="73" width="16.1640625" hidden="1" customWidth="1"/>
    <col min="74" max="74" width="16.1640625" style="12" hidden="1" customWidth="1"/>
    <col min="75" max="75" width="15.5" style="12" hidden="1" customWidth="1"/>
    <col min="76" max="76" width="21.6640625" style="12" hidden="1" customWidth="1"/>
    <col min="77" max="77" width="27.83203125" style="12" hidden="1" customWidth="1"/>
    <col min="78" max="78" width="8.83203125" style="12" hidden="1" customWidth="1"/>
    <col min="79" max="83" width="21.6640625" style="12" hidden="1" customWidth="1"/>
    <col min="84" max="84" width="16.5" style="12" hidden="1" customWidth="1"/>
    <col min="85" max="85" width="11.6640625" style="12" hidden="1" customWidth="1"/>
    <col min="86" max="86" width="15.1640625" style="12" hidden="1" customWidth="1"/>
    <col min="87" max="87" width="11.1640625" style="12" hidden="1" customWidth="1"/>
    <col min="88" max="139" width="9.1640625" style="12" hidden="1" customWidth="1"/>
    <col min="140" max="156" width="0" style="12" hidden="1" customWidth="1"/>
    <col min="157" max="16384" width="9.1640625" style="12"/>
  </cols>
  <sheetData>
    <row r="1" spans="2:95" ht="16" thickBot="1">
      <c r="BV1"/>
      <c r="BW1"/>
      <c r="BX1"/>
      <c r="BY1"/>
    </row>
    <row r="2" spans="2:95" ht="29.25" customHeight="1" thickBot="1">
      <c r="C2" s="83" t="str">
        <f>ToolName</f>
        <v>North American Precast Concrete Sustainable Plant Tool</v>
      </c>
      <c r="D2" s="84"/>
      <c r="E2" s="84"/>
      <c r="F2" s="84"/>
      <c r="G2" s="84"/>
      <c r="H2" s="84"/>
      <c r="I2" s="84"/>
      <c r="J2" s="84"/>
      <c r="K2" s="84"/>
      <c r="L2" s="84"/>
      <c r="M2" s="84"/>
      <c r="N2" s="84"/>
      <c r="O2" s="84"/>
      <c r="P2" s="85"/>
      <c r="AA2" s="220" t="s">
        <v>469</v>
      </c>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s="492" t="s">
        <v>681</v>
      </c>
      <c r="CB2" s="492"/>
      <c r="CC2" s="492"/>
      <c r="CD2" s="492"/>
      <c r="CE2" s="492"/>
      <c r="CF2"/>
      <c r="CG2"/>
      <c r="CH2"/>
      <c r="CI2"/>
      <c r="CJ2"/>
      <c r="CK2"/>
      <c r="CL2"/>
      <c r="CM2"/>
      <c r="CN2"/>
      <c r="CO2"/>
      <c r="CP2"/>
      <c r="CQ2"/>
    </row>
    <row r="3" spans="2:95" ht="8.25" customHeight="1">
      <c r="C3" s="14"/>
      <c r="D3" s="14"/>
      <c r="E3"/>
      <c r="F3"/>
      <c r="G3"/>
      <c r="H3"/>
      <c r="I3"/>
      <c r="J3"/>
      <c r="L3"/>
      <c r="M3"/>
      <c r="N3"/>
      <c r="O3"/>
      <c r="AA3" s="326" t="str">
        <f>IF(UnitSystem="US-Imperial (United States)",Conversions!$B$31,IF(UnitSystem="SI-Metric (Canada)",Conversions!$B$41,NA()))</f>
        <v>gallon</v>
      </c>
      <c r="AB3" s="13" t="s">
        <v>467</v>
      </c>
      <c r="AF3" s="216" t="str">
        <f ca="1">"Q"&amp;IF(INT(MONTH(NOW())/3.01)=0,4,INT(MONTH(NOW())/3.01))</f>
        <v>Q4</v>
      </c>
      <c r="AG3" s="13" t="s">
        <v>690</v>
      </c>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565" t="str">
        <f>INDEX(EPD_Measures,1)</f>
        <v>Global warming potential (GWP)</v>
      </c>
      <c r="BM3" s="565" t="str">
        <f>INDEX(EPD_Measures,2)</f>
        <v>Acidification potential</v>
      </c>
      <c r="BN3" s="565" t="str">
        <f>INDEX(EPD_Measures,3)</f>
        <v>Eutrophication potential</v>
      </c>
      <c r="BO3" s="565" t="str">
        <f>INDEX(EPD_Measures,4)</f>
        <v>Smog creation potential</v>
      </c>
      <c r="BP3" s="565" t="str">
        <f>INDEX(EPD_Measures,5)</f>
        <v>Ozone depletion potential</v>
      </c>
      <c r="BQ3" s="565" t="str">
        <f>INDEX(EPD_Measures,6)</f>
        <v>Total primary energy consumption</v>
      </c>
      <c r="BR3" s="565" t="str">
        <f>INDEX(EPD_Measures,7)</f>
        <v>Nonrenewable energy resources</v>
      </c>
      <c r="BS3" s="565" t="str">
        <f>INDEX(EPD_Measures,8)</f>
        <v>Renewable energy resources</v>
      </c>
      <c r="BT3" s="565" t="str">
        <f>INDEX(EPD_Measures,9)</f>
        <v>Material resources consumption</v>
      </c>
      <c r="BU3" s="565" t="str">
        <f>INDEX(EPD_Measures,10)</f>
        <v>Nonrenewable material resources</v>
      </c>
      <c r="BV3" s="565" t="str">
        <f>INDEX(EPD_Measures,11)</f>
        <v>Renewable material resources</v>
      </c>
      <c r="BW3" s="565" t="str">
        <f>INDEX(EPD_Measures,12)</f>
        <v>Net Fresh Water</v>
      </c>
      <c r="BX3" s="565" t="str">
        <f>INDEX(EPD_Measures,13)</f>
        <v>Non-hazardous waste generated</v>
      </c>
      <c r="BY3" s="565" t="str">
        <f>INDEX(EPD_Measures,14)</f>
        <v>Hazardous waste generated</v>
      </c>
      <c r="BZ3"/>
      <c r="CA3" s="492"/>
      <c r="CB3" s="492" t="s">
        <v>121</v>
      </c>
      <c r="CC3" s="492" t="s">
        <v>573</v>
      </c>
      <c r="CD3" s="492" t="s">
        <v>677</v>
      </c>
      <c r="CE3" s="492" t="s">
        <v>488</v>
      </c>
      <c r="CF3"/>
      <c r="CG3"/>
      <c r="CH3"/>
      <c r="CI3"/>
      <c r="CJ3"/>
      <c r="CK3"/>
      <c r="CL3"/>
      <c r="CM3"/>
      <c r="CN3"/>
      <c r="CO3"/>
      <c r="CP3"/>
      <c r="CQ3"/>
    </row>
    <row r="4" spans="2:95" ht="8.25" customHeight="1">
      <c r="C4" s="14"/>
      <c r="D4" s="14"/>
      <c r="E4"/>
      <c r="F4"/>
      <c r="G4"/>
      <c r="H4"/>
      <c r="I4"/>
      <c r="J4"/>
      <c r="L4"/>
      <c r="M4"/>
      <c r="N4"/>
      <c r="O4"/>
      <c r="Y4" s="1"/>
      <c r="Z4" s="1"/>
      <c r="AA4" s="327" t="str">
        <f>Conversions!$B$41</f>
        <v>litre</v>
      </c>
      <c r="AB4" s="13" t="s">
        <v>468</v>
      </c>
      <c r="AF4" s="216">
        <f ca="1">IF(INT(MONTH(NOW())/3.01)=0,YEAR(NOW())-1,YEAR(NOW()))</f>
        <v>2022</v>
      </c>
      <c r="AG4" s="13" t="s">
        <v>691</v>
      </c>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s="492" t="str">
        <f>"GWP-"&amp;TRACICalcUnit&amp;"/"&amp;MassCalcUnit</f>
        <v>GWP-kg/tonne</v>
      </c>
      <c r="CB4" s="493">
        <f>IF($AR$22=0,0,$AX$68/$AR$22)</f>
        <v>0</v>
      </c>
      <c r="CC4" s="493">
        <f>IF($AR$22=0,0,$BM$71/$AR$22)</f>
        <v>0</v>
      </c>
      <c r="CD4" s="493">
        <f>IF($AR$22=0,0,$AU$87/$AR$22)</f>
        <v>0</v>
      </c>
      <c r="CE4" s="493">
        <f>IF($AR$22=0,0,$AX$103*$AY$92/$AR$22)</f>
        <v>0</v>
      </c>
      <c r="CF4"/>
      <c r="CG4"/>
      <c r="CH4"/>
      <c r="CI4"/>
      <c r="CJ4"/>
      <c r="CK4"/>
      <c r="CL4"/>
      <c r="CM4"/>
      <c r="CN4"/>
      <c r="CO4"/>
      <c r="CP4"/>
      <c r="CQ4"/>
    </row>
    <row r="5" spans="2:95" ht="8.25" customHeight="1">
      <c r="C5" s="14"/>
      <c r="D5" s="14"/>
      <c r="E5"/>
      <c r="F5"/>
      <c r="G5"/>
      <c r="H5"/>
      <c r="I5"/>
      <c r="J5"/>
      <c r="L5"/>
      <c r="M5"/>
      <c r="N5"/>
      <c r="O5"/>
      <c r="W5" s="12"/>
      <c r="X5" s="65">
        <f>IF(ISBLANK(E16),0,1)</f>
        <v>1</v>
      </c>
      <c r="Y5" s="1"/>
      <c r="Z5" s="1"/>
      <c r="AA5" s="329" t="str">
        <f>IF(UnitSystem="US-Imperial (United States)",Conversions!$B$30,IF(UnitSystem="SI-Metric (Canada)",Conversions!$B$29,NA()))</f>
        <v>short ton</v>
      </c>
      <c r="AB5" s="13" t="s">
        <v>443</v>
      </c>
      <c r="AO5" s="12"/>
      <c r="AP5" s="12"/>
      <c r="AW5" t="s">
        <v>494</v>
      </c>
      <c r="AX5" s="152">
        <f t="shared" ref="AX5:BH5" si="0">IF($AR$22=0,0,AX$68+BM$71+AU$87+AX$103*$AY$92+BM$108*$AY$92)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IF($AR$22=0,0,AX10+AX12)</f>
        <v>0</v>
      </c>
      <c r="BJ5" s="603">
        <f>IF($AR$22=0,0,BJ$68+BY$71+BG$87+BJ$103*$AY$92+BY$108*$AY$92+SUM($AT$100:$AT$102))</f>
        <v>0</v>
      </c>
      <c r="BK5" s="603">
        <f>IF($AR$22=0,0,BK$68+BZ$71+BH$87+BK$103*$AY$92+BZ$108*$AY$92+SUM($AT$97:$AT$99))</f>
        <v>0</v>
      </c>
      <c r="BL5" s="337">
        <f t="shared" ref="BL5:BY5" si="1">IF($AR$22=0,0,AX$5/$AR$22)</f>
        <v>0</v>
      </c>
      <c r="BM5" s="337">
        <f t="shared" si="1"/>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s="492" t="str">
        <f>"TPE-"&amp;EnergyCalcUnit&amp;"/"&amp;MassCalcUnit</f>
        <v>TPE-MJ/tonne</v>
      </c>
      <c r="CB5" s="493">
        <f>IF($AR$22=0,0,$BC$68/$AR$22)</f>
        <v>0</v>
      </c>
      <c r="CC5" s="493">
        <f>IF($AR$22=0,0,$BR$71/$AR$22)</f>
        <v>0</v>
      </c>
      <c r="CD5" s="493">
        <f>IF($AR$22=0,0,$AZ$87/$AR$22)</f>
        <v>0</v>
      </c>
      <c r="CE5" s="493">
        <f>IF($AR$22=0,0,$BC$103*$AY$92/$AR$22)</f>
        <v>0</v>
      </c>
      <c r="CF5"/>
      <c r="CG5"/>
      <c r="CH5"/>
      <c r="CI5"/>
      <c r="CJ5"/>
      <c r="CK5"/>
      <c r="CL5"/>
      <c r="CM5"/>
      <c r="CN5"/>
      <c r="CO5"/>
      <c r="CP5"/>
      <c r="CQ5"/>
    </row>
    <row r="6" spans="2:95" ht="18" customHeight="1">
      <c r="C6" s="658" t="str">
        <f>"Data Input is " &amp; ROUND($X$13*100,0)&amp; "% Complete"</f>
        <v>Data Input is 0% Complete</v>
      </c>
      <c r="D6" s="658"/>
      <c r="E6"/>
      <c r="F6"/>
      <c r="G6"/>
      <c r="H6"/>
      <c r="I6"/>
      <c r="J6"/>
      <c r="L6"/>
      <c r="M6"/>
      <c r="N6"/>
      <c r="O6"/>
      <c r="X6"/>
      <c r="Y6" s="1"/>
      <c r="Z6" s="1"/>
      <c r="AA6" s="328" t="str">
        <f>Conversions!$B$29</f>
        <v>tonne</v>
      </c>
      <c r="AB6" s="13" t="s">
        <v>445</v>
      </c>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s="492"/>
      <c r="CB6" s="492" t="s">
        <v>679</v>
      </c>
      <c r="CC6" s="492" t="s">
        <v>678</v>
      </c>
      <c r="CD6" s="492" t="s">
        <v>332</v>
      </c>
      <c r="CE6" s="492"/>
      <c r="CF6"/>
      <c r="CG6"/>
      <c r="CH6"/>
      <c r="CI6"/>
      <c r="CJ6"/>
      <c r="CK6"/>
      <c r="CL6"/>
      <c r="CM6"/>
      <c r="CN6"/>
      <c r="CO6"/>
      <c r="CP6"/>
      <c r="CQ6"/>
    </row>
    <row r="7" spans="2:95" ht="18" customHeight="1">
      <c r="C7" s="54"/>
      <c r="D7" s="54"/>
      <c r="E7"/>
      <c r="F7"/>
      <c r="G7"/>
      <c r="H7"/>
      <c r="I7"/>
      <c r="J7"/>
      <c r="L7"/>
      <c r="M7"/>
      <c r="N7"/>
      <c r="O7"/>
      <c r="X7"/>
      <c r="Y7" s="1"/>
      <c r="Z7" s="1"/>
      <c r="AA7" s="583" t="str">
        <f>Conversions!$B$28</f>
        <v>kg</v>
      </c>
      <c r="AB7" s="13" t="s">
        <v>745</v>
      </c>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IF($AR$22=0,0,AX$5*INDEX(Conversion_Table,MATCH(TRACICalcUnit,Conversion_Rows,0),MATCH(TRACIPerTonneDisplayUnit,Conversion_Columns,0))/$AT$22)</f>
        <v>0</v>
      </c>
      <c r="BM7" s="337">
        <f>IF($AR$22=0,0,AY$5*INDEX(Conversion_Table,MATCH(TRACICalcUnit,Conversion_Rows,0),MATCH(TRACIPerTonneDisplayUnit,Conversion_Columns,0))/$AT$22)</f>
        <v>0</v>
      </c>
      <c r="BN7" s="337">
        <f>IF($AR$22=0,0,AZ$5*INDEX(Conversion_Table,MATCH(TRACICalcUnit,Conversion_Rows,0),MATCH(TRACIPerTonneDisplayUnit,Conversion_Columns,0))/$AT$22)</f>
        <v>0</v>
      </c>
      <c r="BO7" s="337">
        <f>IF($AR$22=0,0,BA$5*INDEX(Conversion_Table,MATCH(TRACICalcUnit,Conversion_Rows,0),MATCH(TRACIPerTonneDisplayUnit,Conversion_Columns,0))/$AT$22)</f>
        <v>0</v>
      </c>
      <c r="BP7" s="337">
        <f>IF($AR$22=0,0,BB$5*INDEX(Conversion_Table,MATCH(TRACICalcUnit,Conversion_Rows,0),MATCH(TRACIPerTonneDisplayUnit,Conversion_Columns,0))/$AT$22)</f>
        <v>0</v>
      </c>
      <c r="BQ7" s="337">
        <f>IF($AR$22=0,0,BC$5*INDEX(Conversion_Table,MATCH(EnergyCalcUnit,Conversion_Rows,0),MATCH(EnergyPerTonneDisplayUnit,Conversion_Columns,0))/$AT$22)</f>
        <v>0</v>
      </c>
      <c r="BR7" s="337">
        <f>IF($AR$22=0,0,BD$5*INDEX(Conversion_Table,MATCH(EnergyCalcUnit,Conversion_Rows,0),MATCH(EnergyPerTonneDisplayUnit,Conversion_Columns,0))/$AT$22)</f>
        <v>0</v>
      </c>
      <c r="BS7" s="337">
        <f>IF($AR$22=0,0,BE$5*INDEX(Conversion_Table,MATCH(EnergyCalcUnit,Conversion_Rows,0),MATCH(EnergyPerTonneDisplayUnit,Conversion_Columns,0))/$AT$22)</f>
        <v>0</v>
      </c>
      <c r="BT7" s="337">
        <f>IF($AR$22=0,0,BF$5*INDEX(Conversion_Table,MATCH(MassCalcUnit,Conversion_Rows,0),MATCH(MassDisplayUnit,Conversion_Columns,0))/$AT$22)</f>
        <v>0</v>
      </c>
      <c r="BU7" s="337">
        <f>IF($AR$22=0,0,BG$5*INDEX(Conversion_Table,MATCH(MassCalcUnit,Conversion_Rows,0),MATCH(MassDisplayUnit,Conversion_Columns,0))/$AT$22)</f>
        <v>0</v>
      </c>
      <c r="BV7" s="337">
        <f>IF($AR$22=0,0,BH$5*INDEX(Conversion_Table,MATCH(MassCalcUnit,Conversion_Rows,0),MATCH(MassDisplayUnit,Conversion_Columns,0))/$AT$22)</f>
        <v>0</v>
      </c>
      <c r="BW7" s="337">
        <f>IF($AR$22=0,0,BI$5*INDEX(Conversion_Table,MATCH(WaterCalcUnit,Conversion_Rows,0),MATCH(WaterPerTonneDisplayUnit,Conversion_Columns,0))/$AT$22)</f>
        <v>0</v>
      </c>
      <c r="BX7" s="337">
        <f>IF($AR$22=0,0,BJ$5*INDEX(Conversion_Table,MATCH(MassCalcUnit,Conversion_Rows,0),MATCH(MassDisplayUnit,Conversion_Columns,0))/$AT$22)</f>
        <v>0</v>
      </c>
      <c r="BY7" s="337">
        <f>IF($AR$22=0,0,BK$5*INDEX(Conversion_Table,MATCH(MassCalcUnit,Conversion_Rows,0),MATCH(MassDisplayUnit,Conversion_Columns,0))/$AT$22)</f>
        <v>0</v>
      </c>
      <c r="BZ7"/>
      <c r="CA7" s="492" t="str">
        <f>"Water-"&amp;WaterCalcUnit&amp;"/"&amp;MassCalcUnit</f>
        <v>Water-m3/tonne</v>
      </c>
      <c r="CB7" s="492">
        <f>$AY$14</f>
        <v>0</v>
      </c>
      <c r="CC7" s="494">
        <f>$AY$16</f>
        <v>0</v>
      </c>
      <c r="CD7" s="492">
        <f>$AY$10</f>
        <v>0</v>
      </c>
      <c r="CE7" s="492"/>
      <c r="CF7"/>
      <c r="CG7"/>
      <c r="CH7"/>
      <c r="CI7"/>
      <c r="CJ7"/>
      <c r="CK7"/>
      <c r="CL7"/>
      <c r="CM7"/>
      <c r="CN7"/>
      <c r="CO7"/>
      <c r="CP7"/>
      <c r="CQ7"/>
    </row>
    <row r="8" spans="2:95" ht="18" customHeight="1">
      <c r="C8" s="54"/>
      <c r="D8" s="54"/>
      <c r="E8"/>
      <c r="F8"/>
      <c r="G8"/>
      <c r="H8"/>
      <c r="I8"/>
      <c r="J8"/>
      <c r="L8"/>
      <c r="M8"/>
      <c r="N8"/>
      <c r="O8"/>
      <c r="W8" s="12"/>
      <c r="X8"/>
      <c r="AA8" s="330" t="str">
        <f>IF(UnitSystem="US-Imperial (United States)",Conversions!$B$38,IF(UnitSystem="SI-Metric (Canada)",Conversions!$B$27,NA()))</f>
        <v>mile</v>
      </c>
      <c r="AB8" s="13" t="s">
        <v>444</v>
      </c>
      <c r="AW8" s="12" t="s">
        <v>497</v>
      </c>
      <c r="AX8" s="335" t="str">
        <f t="shared" ref="AX8:BY8" si="3">FIXED(AX$7,0,FALSE)</f>
        <v>0</v>
      </c>
      <c r="AY8" s="335" t="str">
        <f t="shared" si="3"/>
        <v>0</v>
      </c>
      <c r="AZ8" s="335" t="str">
        <f t="shared" si="3"/>
        <v>0</v>
      </c>
      <c r="BA8" s="335" t="str">
        <f t="shared" si="3"/>
        <v>0</v>
      </c>
      <c r="BB8" s="335" t="str">
        <f t="shared" si="3"/>
        <v>0</v>
      </c>
      <c r="BC8" s="335" t="str">
        <f t="shared" si="3"/>
        <v>0</v>
      </c>
      <c r="BD8" s="335" t="str">
        <f t="shared" si="3"/>
        <v>0</v>
      </c>
      <c r="BE8" s="335" t="str">
        <f t="shared" si="3"/>
        <v>0</v>
      </c>
      <c r="BF8" s="335" t="str">
        <f t="shared" si="3"/>
        <v>0</v>
      </c>
      <c r="BG8" s="335" t="str">
        <f t="shared" si="3"/>
        <v>0</v>
      </c>
      <c r="BH8" s="335" t="str">
        <f t="shared" si="3"/>
        <v>0</v>
      </c>
      <c r="BI8" s="335" t="str">
        <f t="shared" si="3"/>
        <v>0</v>
      </c>
      <c r="BJ8" s="335" t="str">
        <f t="shared" si="3"/>
        <v>0</v>
      </c>
      <c r="BK8" s="335"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 t="shared" si="3"/>
        <v>0</v>
      </c>
      <c r="BW8" s="337" t="str">
        <f t="shared" si="3"/>
        <v>0</v>
      </c>
      <c r="BX8" s="337" t="str">
        <f t="shared" si="3"/>
        <v>0</v>
      </c>
      <c r="BY8" s="337" t="str">
        <f t="shared" si="3"/>
        <v>0</v>
      </c>
      <c r="BZ8"/>
      <c r="CA8"/>
      <c r="CB8"/>
      <c r="CC8"/>
      <c r="CD8"/>
      <c r="CE8"/>
      <c r="CF8"/>
      <c r="CG8"/>
      <c r="CH8"/>
      <c r="CI8"/>
      <c r="CJ8"/>
      <c r="CK8"/>
      <c r="CL8"/>
      <c r="CM8"/>
      <c r="CN8"/>
      <c r="CO8"/>
      <c r="CP8"/>
      <c r="CQ8"/>
    </row>
    <row r="9" spans="2:95" ht="18" customHeight="1">
      <c r="C9" s="54"/>
      <c r="D9" s="54"/>
      <c r="E9"/>
      <c r="F9"/>
      <c r="G9"/>
      <c r="H9"/>
      <c r="I9" s="3"/>
      <c r="J9" s="3"/>
      <c r="L9"/>
      <c r="M9"/>
      <c r="N9"/>
      <c r="O9"/>
      <c r="W9" s="12"/>
      <c r="X9"/>
      <c r="AA9" s="203" t="str">
        <f>Conversions!$B$27</f>
        <v>km</v>
      </c>
      <c r="AB9" s="13" t="s">
        <v>446</v>
      </c>
      <c r="AW9" s="338" t="s">
        <v>105</v>
      </c>
      <c r="AX9" s="338" t="str">
        <f>WaterCalcUnit</f>
        <v>m3</v>
      </c>
      <c r="AY9" s="338" t="str">
        <f>WaterCalcUnit&amp;"/"&amp;MassCalcUnit</f>
        <v>m3/tonne</v>
      </c>
    </row>
    <row r="10" spans="2:95" ht="18" customHeight="1" thickBot="1">
      <c r="C10" s="14"/>
      <c r="D10" s="14"/>
      <c r="E10" s="14"/>
      <c r="F10" s="14"/>
      <c r="G10" s="14"/>
      <c r="H10" s="14"/>
      <c r="I10" s="14"/>
      <c r="J10" s="14"/>
      <c r="K10" s="14"/>
      <c r="L10"/>
      <c r="M10"/>
      <c r="N10"/>
      <c r="O10"/>
      <c r="X10"/>
      <c r="Y10" s="15"/>
      <c r="Z10" s="15"/>
      <c r="AA10" s="320" t="str">
        <f>IF(UnitSystem="US-Imperial (United States)",Conversions!$B$30,IF(UnitSystem="SI-Metric (Canada)",Conversions!$B$29,NA()))</f>
        <v>short ton</v>
      </c>
      <c r="AB10" s="13" t="s">
        <v>742</v>
      </c>
      <c r="AD10" s="15"/>
      <c r="AE10" s="15"/>
      <c r="AF10" s="15"/>
      <c r="AG10" s="15"/>
      <c r="AH10" s="15"/>
      <c r="AI10" s="15"/>
      <c r="AJ10" s="15"/>
      <c r="AK10" s="15"/>
      <c r="AL10" s="15"/>
      <c r="AW10" s="338" t="s">
        <v>505</v>
      </c>
      <c r="AX10" s="339">
        <f>IF($AR$22=0,0,$BI$68+$BF$87+$BX$71+$BI$103*$AY$92+$BX$108*$AY$92)</f>
        <v>0</v>
      </c>
      <c r="AY10" s="340">
        <f>IF($AR$22=0,0,$AX10/$AR$22)</f>
        <v>0</v>
      </c>
    </row>
    <row r="11" spans="2:95" ht="18" customHeight="1" thickBot="1">
      <c r="C11" s="16" t="s">
        <v>92</v>
      </c>
      <c r="D11" s="17"/>
      <c r="E11" s="17"/>
      <c r="F11" s="18"/>
      <c r="G11" s="3"/>
      <c r="I11" s="3"/>
      <c r="J11" s="3"/>
      <c r="K11" s="3"/>
      <c r="L11"/>
      <c r="M11"/>
      <c r="N11"/>
      <c r="O11"/>
      <c r="X11" s="67">
        <f>SUM(X16:X21,X30:X67,X76:X86,X97:X102)</f>
        <v>0</v>
      </c>
      <c r="Y11" s="13" t="s">
        <v>64</v>
      </c>
      <c r="AA11" s="333" t="str">
        <f>IF(UnitSystem="US-Imperial (United States)",Conversions!$B$39,IF(UnitSystem="SI-Metric (Canada)",Conversions!$B$28,NA()))</f>
        <v>lbs</v>
      </c>
      <c r="AB11" s="13" t="s">
        <v>743</v>
      </c>
      <c r="AC11" s="15"/>
      <c r="AW11" s="338" t="str">
        <f>$D$65</f>
        <v>Total Batch Water Use</v>
      </c>
      <c r="AX11" s="340">
        <f>IF($AR$22=0,0,$AP$65*INDEX(Conversion_Table,MATCH($AQ$65,Conversion_Rows,0),MATCH(WaterCalcUnit,Conversion_Columns,0)))</f>
        <v>0</v>
      </c>
      <c r="AY11" s="340">
        <f>IF($AR$22=0,0,$AX11/$AR$22)</f>
        <v>0</v>
      </c>
    </row>
    <row r="12" spans="2:95" ht="18" customHeight="1" thickBot="1">
      <c r="C12" s="73" t="s">
        <v>243</v>
      </c>
      <c r="D12" s="74"/>
      <c r="E12" s="74"/>
      <c r="F12" s="133"/>
      <c r="G12" s="3"/>
      <c r="I12" s="3"/>
      <c r="J12" s="3"/>
      <c r="K12" s="3"/>
      <c r="L12"/>
      <c r="M12"/>
      <c r="N12"/>
      <c r="O12"/>
      <c r="X12" s="65">
        <v>99</v>
      </c>
      <c r="Y12" s="13" t="s">
        <v>65</v>
      </c>
      <c r="AA12" s="321" t="str">
        <f>Conversions!$B$28</f>
        <v>kg</v>
      </c>
      <c r="AB12" s="319" t="s">
        <v>744</v>
      </c>
      <c r="AW12" s="338" t="str">
        <f>$D$66</f>
        <v>Total Plant Water Use</v>
      </c>
      <c r="AX12" s="340">
        <f>IF($AR$22=0,0,$AP$66*INDEX(Conversion_Table,MATCH($AQ$66,Conversion_Rows,0),MATCH(WaterCalcUnit,Conversion_Columns,0)))</f>
        <v>0</v>
      </c>
      <c r="AY12" s="340">
        <f>IF($AR$22=0,0,$AX12/$AR$22)</f>
        <v>0</v>
      </c>
    </row>
    <row r="13" spans="2:95" ht="18" customHeight="1">
      <c r="C13" s="19"/>
      <c r="D13" s="20"/>
      <c r="E13" s="20"/>
      <c r="F13" s="134"/>
      <c r="G13" s="3"/>
      <c r="H13" s="3"/>
      <c r="I13" s="3"/>
      <c r="J13" s="3"/>
      <c r="K13" s="3"/>
      <c r="L13"/>
      <c r="M13"/>
      <c r="N13"/>
      <c r="O13"/>
      <c r="X13" s="66">
        <f>IF(X12=0,0,IF(ISERROR(X11/X12),0,X11/X12))</f>
        <v>0</v>
      </c>
      <c r="Y13" s="13" t="s">
        <v>66</v>
      </c>
      <c r="AA13" s="322" t="str">
        <f>IF(UnitSystem="US-Imperial (United States)",Conversions!$B$44,IF(UnitSystem="SI-Metric (Canada)",Conversions!$B$36,NA()))</f>
        <v>MMBtu</v>
      </c>
      <c r="AB13" s="13" t="s">
        <v>498</v>
      </c>
      <c r="AW13" s="338" t="str">
        <f>$D$67</f>
        <v>Percentage of Batch Water that is Recycled Water</v>
      </c>
      <c r="AX13" s="341">
        <f>IF($AR$22=0,0,$E$67/100)</f>
        <v>0</v>
      </c>
      <c r="AY13" s="341"/>
    </row>
    <row r="14" spans="2:95" ht="18" customHeight="1">
      <c r="C14" s="21" t="s">
        <v>59</v>
      </c>
      <c r="D14" s="22"/>
      <c r="E14" s="22"/>
      <c r="F14" s="134"/>
      <c r="G14" s="3"/>
      <c r="H14" s="3"/>
      <c r="I14" s="3"/>
      <c r="J14" s="3"/>
      <c r="K14" s="3"/>
      <c r="L14"/>
      <c r="M14"/>
      <c r="N14"/>
      <c r="O14"/>
      <c r="AA14" s="334" t="str">
        <f>IF(UnitSystem="US-Imperial (United States)",Conversions!$B$49,IF(UnitSystem="SI-Metric (Canada)",Conversions!$B$35,NA()))</f>
        <v>MBtu</v>
      </c>
      <c r="AB14" s="13" t="s">
        <v>499</v>
      </c>
      <c r="AW14" s="338" t="s">
        <v>580</v>
      </c>
      <c r="AX14" s="340">
        <f>IF($AR$22=0,0,$AX$11*(1-$AX$13))</f>
        <v>0</v>
      </c>
      <c r="AY14" s="340">
        <f>IF($AR$22=0,0,$AX14/$AR$22)</f>
        <v>0</v>
      </c>
    </row>
    <row r="15" spans="2:95" ht="18" customHeight="1">
      <c r="C15" s="23" t="s">
        <v>2</v>
      </c>
      <c r="D15" s="24" t="s">
        <v>11</v>
      </c>
      <c r="E15" s="25" t="s">
        <v>11</v>
      </c>
      <c r="F15" s="134"/>
      <c r="G15" s="3"/>
      <c r="H15" s="3"/>
      <c r="I15" s="3"/>
      <c r="J15" s="3"/>
      <c r="K15" s="3"/>
      <c r="L15"/>
      <c r="M15"/>
      <c r="N15"/>
      <c r="O15"/>
      <c r="AA15" s="323" t="str">
        <f>Conversions!$B$35</f>
        <v>MJ</v>
      </c>
      <c r="AB15" s="13" t="s">
        <v>489</v>
      </c>
      <c r="AM15" s="1" t="s">
        <v>485</v>
      </c>
      <c r="AO15">
        <f>IF(COUNTIF(Locations_USA,$E$16)=1,VLOOKUP($E$16,Locations_USA,3,FALSE),IF(COUNTIF(Locations_CAN,$E$16)=1,VLOOKUP($E$16,Locations_CAN,3,FALSE),NA()))</f>
        <v>0</v>
      </c>
      <c r="AW15" s="338" t="s">
        <v>581</v>
      </c>
      <c r="AX15" s="340">
        <f>IF($AR$22=0,0,$AX$11*$AX$13)</f>
        <v>0</v>
      </c>
      <c r="AY15" s="340">
        <f>IF($AR$22=0,0,$AX15/$AR$22)</f>
        <v>0</v>
      </c>
    </row>
    <row r="16" spans="2:95" ht="18" customHeight="1">
      <c r="B16" s="53">
        <f t="shared" ref="B16:B21" si="4">X16</f>
        <v>0</v>
      </c>
      <c r="C16" s="26">
        <v>1</v>
      </c>
      <c r="D16" s="27" t="s">
        <v>58</v>
      </c>
      <c r="E16" s="37" t="s">
        <v>442</v>
      </c>
      <c r="F16" s="659" t="s">
        <v>6</v>
      </c>
      <c r="G16"/>
      <c r="I16" s="3"/>
      <c r="J16" s="3"/>
      <c r="K16" s="3"/>
      <c r="L16"/>
      <c r="M16"/>
      <c r="N16"/>
      <c r="O16"/>
      <c r="X16" s="65">
        <f>IF(OR(ISBLANK(E16),E16="Insert Location"),0,1)</f>
        <v>0</v>
      </c>
      <c r="AA16" s="324" t="str">
        <f>IF(UnitSystem="US-Imperial (United States)",Conversions!$B$33,IF(UnitSystem="SI-Metric (Canada)",Conversions!$B$41,NA()))</f>
        <v>kgal</v>
      </c>
      <c r="AB16" s="13" t="s">
        <v>502</v>
      </c>
      <c r="AM16" s="1" t="str">
        <f>D16</f>
        <v>Plant Location</v>
      </c>
      <c r="AN16" s="87" t="str">
        <f>E16</f>
        <v>Insert Location</v>
      </c>
      <c r="AO16">
        <f>IF(COUNTIF(Locations_USA,$E$16)=1,VLOOKUP($E$16,Locations_USA,2,FALSE),IF(COUNTIF(Locations_CAN,$E$16)=1,VLOOKUP($E$16,Locations_CAN,2,FALSE),NA()))</f>
        <v>0</v>
      </c>
      <c r="AP16" t="str">
        <f>IF(COUNTIF(Locations_USA,$E$16)=1,"USA",IF(COUNTIF(Locations_CAN,$E$16)=1,"CAN",NA()))</f>
        <v>USA</v>
      </c>
      <c r="AT16" s="87" t="s">
        <v>491</v>
      </c>
      <c r="AW16" s="338" t="s">
        <v>579</v>
      </c>
      <c r="AX16" s="340">
        <f>IF($AR$22=0,0,$AX$12-$AX$14)</f>
        <v>0</v>
      </c>
      <c r="AY16" s="340">
        <f>IF($AR$22=0,0,$AX16/$AR$22)</f>
        <v>0</v>
      </c>
    </row>
    <row r="17" spans="2:139" ht="18" customHeight="1">
      <c r="C17" s="28"/>
      <c r="D17" s="24" t="s">
        <v>91</v>
      </c>
      <c r="E17" s="25" t="s">
        <v>12</v>
      </c>
      <c r="F17" s="660"/>
      <c r="G17"/>
      <c r="H17"/>
      <c r="I17" s="3"/>
      <c r="J17" s="3"/>
      <c r="K17" s="3"/>
      <c r="L17"/>
      <c r="M17"/>
      <c r="N17"/>
      <c r="O17"/>
      <c r="X17" s="13"/>
      <c r="AA17" s="324" t="str">
        <f>IF(UnitSystem="US-Imperial (United States)",Conversions!$B$31,IF(UnitSystem="SI-Metric (Canada)",Conversions!$B$41,NA()))</f>
        <v>gallon</v>
      </c>
      <c r="AB17" s="13" t="s">
        <v>503</v>
      </c>
      <c r="AN17" s="1" t="s">
        <v>129</v>
      </c>
      <c r="AO17" s="1" t="s">
        <v>126</v>
      </c>
      <c r="AP17" s="87" t="s">
        <v>79</v>
      </c>
      <c r="AQ17" s="87" t="s">
        <v>210</v>
      </c>
      <c r="AR17" s="1" t="s">
        <v>102</v>
      </c>
      <c r="AS17" s="87" t="s">
        <v>136</v>
      </c>
      <c r="AT17" s="1"/>
      <c r="AU17" s="87"/>
      <c r="AV17" s="87"/>
    </row>
    <row r="18" spans="2:139" ht="18" customHeight="1">
      <c r="B18" s="53">
        <f t="shared" si="4"/>
        <v>0</v>
      </c>
      <c r="C18" s="29">
        <v>2</v>
      </c>
      <c r="D18" s="113" t="s">
        <v>870</v>
      </c>
      <c r="E18" s="99"/>
      <c r="F18" s="153" t="str">
        <f>MassDisplayUnit</f>
        <v>short ton</v>
      </c>
      <c r="G18"/>
      <c r="H18"/>
      <c r="I18" s="3"/>
      <c r="J18" s="3"/>
      <c r="K18" s="3"/>
      <c r="L18"/>
      <c r="M18"/>
      <c r="N18"/>
      <c r="O18"/>
      <c r="X18" s="65">
        <f>IF(ISBLANK(E18),0,1)</f>
        <v>0</v>
      </c>
      <c r="AA18" s="325" t="str">
        <f>Conversions!$B$34</f>
        <v>m3</v>
      </c>
      <c r="AB18" s="13" t="s">
        <v>490</v>
      </c>
      <c r="AM18" s="1" t="str">
        <f t="shared" ref="AM18:AO21" si="5">D18</f>
        <v>A-Structural Products</v>
      </c>
      <c r="AN18" s="1">
        <f t="shared" si="5"/>
        <v>0</v>
      </c>
      <c r="AO18" s="1" t="str">
        <f t="shared" si="5"/>
        <v>short ton</v>
      </c>
      <c r="AP18" s="1">
        <f>INDEX(Conversion_Table,MATCH($AO18,Conversion_Rows,0),MATCH($AS18,Conversion_Columns,0))</f>
        <v>0.90718499588591606</v>
      </c>
      <c r="AQ18" s="87" t="str">
        <f>AS18&amp;"/"&amp;AO18</f>
        <v>tonne/short ton</v>
      </c>
      <c r="AR18">
        <f>AN18*AP18</f>
        <v>0</v>
      </c>
      <c r="AS18" s="87" t="str">
        <f>$AS$22</f>
        <v>tonne</v>
      </c>
      <c r="AW18" s="1" t="str">
        <f>D18</f>
        <v>A-Structural Products</v>
      </c>
      <c r="AX18" s="97">
        <f>IF($AR$22=0,0,AX$5*$AR18/$AR$22)</f>
        <v>0</v>
      </c>
      <c r="AY18" s="97">
        <f>IF($AR$22=0,0,BC$5*$AR18/$AR$22)</f>
        <v>0</v>
      </c>
      <c r="AZ18" s="97">
        <f>IF($AR$22=0,0,BI$5*$AR18/$AR$22)</f>
        <v>0</v>
      </c>
    </row>
    <row r="19" spans="2:139" ht="18" customHeight="1">
      <c r="B19" s="53">
        <f t="shared" si="4"/>
        <v>0</v>
      </c>
      <c r="C19" s="29">
        <v>3</v>
      </c>
      <c r="D19" s="113" t="s">
        <v>871</v>
      </c>
      <c r="E19" s="99"/>
      <c r="F19" s="153" t="str">
        <f t="shared" ref="F19:F22" si="6">MassDisplayUnit</f>
        <v>short ton</v>
      </c>
      <c r="G19"/>
      <c r="H19"/>
      <c r="I19" s="3"/>
      <c r="J19" s="3"/>
      <c r="K19" s="3"/>
      <c r="M19" s="12"/>
      <c r="N19" s="65"/>
      <c r="X19" s="65">
        <f>IF(ISBLANK(E19),0,1)</f>
        <v>0</v>
      </c>
      <c r="AA19" s="497" t="str">
        <f>IF(UnitSystem="US-Imperial (United States)",Conversions!$B$42,IF(UnitSystem="SI-Metric (Canada)",Conversions!$B$34,NA()))</f>
        <v>ft3</v>
      </c>
      <c r="AB19" s="13" t="s">
        <v>693</v>
      </c>
      <c r="AM19" s="1" t="str">
        <f t="shared" si="5"/>
        <v>B-Architectural Products</v>
      </c>
      <c r="AN19" s="1">
        <f t="shared" si="5"/>
        <v>0</v>
      </c>
      <c r="AO19" s="1" t="str">
        <f t="shared" si="5"/>
        <v>short ton</v>
      </c>
      <c r="AP19" s="1">
        <f>INDEX(Conversion_Table,MATCH($AO19,Conversion_Rows,0),MATCH($AS19,Conversion_Columns,0))</f>
        <v>0.90718499588591606</v>
      </c>
      <c r="AQ19" s="87" t="str">
        <f>AS19&amp;"/"&amp;AO19</f>
        <v>tonne/short ton</v>
      </c>
      <c r="AR19">
        <f>AN19*AP19</f>
        <v>0</v>
      </c>
      <c r="AS19" s="87" t="str">
        <f>$AS$22</f>
        <v>tonne</v>
      </c>
      <c r="AW19" s="1" t="str">
        <f>D19</f>
        <v>B-Architectural Products</v>
      </c>
      <c r="AX19" s="97">
        <f>IF($AR$22=0,0,AX$5*$AR19/$AR$22)</f>
        <v>0</v>
      </c>
      <c r="AY19" s="97">
        <f>IF($AR$22=0,0,BC$5*$AR19/$AR$22)</f>
        <v>0</v>
      </c>
      <c r="AZ19" s="97">
        <f>IF($AR$22=0,0,BI$5*$AR19/$AR$22)</f>
        <v>0</v>
      </c>
    </row>
    <row r="20" spans="2:139" ht="18" customHeight="1">
      <c r="B20" s="53">
        <f t="shared" si="4"/>
        <v>0</v>
      </c>
      <c r="C20" s="29">
        <v>4</v>
      </c>
      <c r="D20" s="113" t="s">
        <v>872</v>
      </c>
      <c r="E20" s="99"/>
      <c r="F20" s="153" t="str">
        <f t="shared" si="6"/>
        <v>short ton</v>
      </c>
      <c r="G20"/>
      <c r="H20"/>
      <c r="I20" s="3"/>
      <c r="J20" s="3"/>
      <c r="K20" s="3"/>
      <c r="M20" s="12"/>
      <c r="X20" s="65">
        <f>IF(ISBLANK(E20),0,1)</f>
        <v>0</v>
      </c>
      <c r="AA20" s="571" t="str">
        <f>Conversions!$B$28</f>
        <v>kg</v>
      </c>
      <c r="AB20" s="13" t="s">
        <v>731</v>
      </c>
      <c r="AM20" s="1" t="str">
        <f t="shared" si="5"/>
        <v>C-Insulated Architectural Products</v>
      </c>
      <c r="AN20" s="1">
        <f t="shared" si="5"/>
        <v>0</v>
      </c>
      <c r="AO20" s="1" t="str">
        <f t="shared" si="5"/>
        <v>short ton</v>
      </c>
      <c r="AP20" s="1">
        <f>INDEX(Conversion_Table,MATCH($AO20,Conversion_Rows,0),MATCH($AS20,Conversion_Columns,0))</f>
        <v>0.90718499588591606</v>
      </c>
      <c r="AQ20" s="87" t="str">
        <f>AS20&amp;"/"&amp;AO20</f>
        <v>tonne/short ton</v>
      </c>
      <c r="AR20">
        <f>AN20*AP20</f>
        <v>0</v>
      </c>
      <c r="AS20" s="87" t="str">
        <f>$AS$22</f>
        <v>tonne</v>
      </c>
      <c r="AW20" s="1" t="str">
        <f>D20</f>
        <v>C-Insulated Architectural Products</v>
      </c>
      <c r="AX20" s="97">
        <f>IF($AR$22=0,0,AX$5*$AR20/$AR$22)</f>
        <v>0</v>
      </c>
      <c r="AY20" s="97">
        <f>IF($AR$22=0,0,BC$5*$AR20/$AR$22)</f>
        <v>0</v>
      </c>
      <c r="AZ20" s="97">
        <f>IF($AR$22=0,0,BI$5*$AR20/$AR$22)</f>
        <v>0</v>
      </c>
    </row>
    <row r="21" spans="2:139" ht="18" customHeight="1">
      <c r="B21" s="53">
        <f t="shared" si="4"/>
        <v>0</v>
      </c>
      <c r="C21" s="29">
        <v>5</v>
      </c>
      <c r="D21" s="113" t="s">
        <v>873</v>
      </c>
      <c r="E21" s="99"/>
      <c r="F21" s="153" t="str">
        <f t="shared" si="6"/>
        <v>short ton</v>
      </c>
      <c r="G21"/>
      <c r="H21"/>
      <c r="I21" s="3"/>
      <c r="J21" s="3"/>
      <c r="K21" s="3"/>
      <c r="M21" s="12"/>
      <c r="X21" s="65">
        <f>IF(ISBLANK(E21),0,1)</f>
        <v>0</v>
      </c>
      <c r="AA21" s="572" t="str">
        <f>Conversions!$B$35</f>
        <v>MJ</v>
      </c>
      <c r="AB21" s="13" t="s">
        <v>732</v>
      </c>
      <c r="AM21" s="1" t="str">
        <f t="shared" si="5"/>
        <v>D-Underground Products</v>
      </c>
      <c r="AN21" s="1">
        <f t="shared" si="5"/>
        <v>0</v>
      </c>
      <c r="AO21" s="1" t="str">
        <f t="shared" si="5"/>
        <v>short ton</v>
      </c>
      <c r="AP21" s="1">
        <f>INDEX(Conversion_Table,MATCH($AO21,Conversion_Rows,0),MATCH($AS21,Conversion_Columns,0))</f>
        <v>0.90718499588591606</v>
      </c>
      <c r="AQ21" s="87" t="str">
        <f>AS21&amp;"/"&amp;AO21</f>
        <v>tonne/short ton</v>
      </c>
      <c r="AR21">
        <f>AN21*AP21</f>
        <v>0</v>
      </c>
      <c r="AS21" s="87" t="str">
        <f>$AS$22</f>
        <v>tonne</v>
      </c>
      <c r="AW21" s="1" t="str">
        <f>D21</f>
        <v>D-Underground Products</v>
      </c>
      <c r="AX21" s="97">
        <f>IF($AR$22=0,0,AX$5*$AR21/$AR$22)</f>
        <v>0</v>
      </c>
      <c r="AY21" s="97">
        <f>IF($AR$22=0,0,BC$5*$AR21/$AR$22)</f>
        <v>0</v>
      </c>
      <c r="AZ21" s="97">
        <f>IF($AR$22=0,0,BI$5*$AR21/$AR$22)</f>
        <v>0</v>
      </c>
    </row>
    <row r="22" spans="2:139" ht="18" customHeight="1" thickBot="1">
      <c r="C22" s="34"/>
      <c r="D22" s="48" t="s">
        <v>257</v>
      </c>
      <c r="E22" s="100">
        <f>$AT$22</f>
        <v>0</v>
      </c>
      <c r="F22" s="214" t="str">
        <f t="shared" si="6"/>
        <v>short ton</v>
      </c>
      <c r="G22" s="140"/>
      <c r="H22" s="141"/>
      <c r="I22" s="3"/>
      <c r="J22" s="3"/>
      <c r="K22" s="3"/>
      <c r="AA22" s="573" t="str">
        <f>Conversions!$B$28</f>
        <v>kg</v>
      </c>
      <c r="AB22" s="13" t="s">
        <v>733</v>
      </c>
      <c r="AP22" s="1"/>
      <c r="AQ22" s="1" t="str">
        <f>D22</f>
        <v>Total Production for Specified Reporting Period</v>
      </c>
      <c r="AR22" s="1">
        <f>SUM(AR18:AR21)</f>
        <v>0</v>
      </c>
      <c r="AS22" s="331" t="str">
        <f>MassCalcUnit</f>
        <v>tonne</v>
      </c>
      <c r="AT22">
        <f>$AR$22*INDEX(Conversion_Table,MATCH($AS22,Conversion_Rows,0),MATCH($AU22,Conversion_Columns,0))</f>
        <v>0</v>
      </c>
      <c r="AU22" s="329" t="str">
        <f>MassDisplayUnit</f>
        <v>short ton</v>
      </c>
      <c r="AX22" s="97"/>
      <c r="AY22" s="97"/>
      <c r="AZ22" s="97"/>
      <c r="BA22" s="97"/>
    </row>
    <row r="23" spans="2:139">
      <c r="C23" s="56"/>
      <c r="D23" s="57"/>
      <c r="E23" s="30"/>
      <c r="F23" s="30"/>
      <c r="G23" s="142"/>
      <c r="H23" s="30"/>
      <c r="I23" s="30"/>
      <c r="J23" s="30"/>
      <c r="AA23" s="574" t="str">
        <f>Conversions!$B$41</f>
        <v>litre</v>
      </c>
      <c r="AB23" s="13" t="s">
        <v>734</v>
      </c>
      <c r="AN23" s="1"/>
      <c r="AO23" s="1"/>
      <c r="AP23" s="1"/>
      <c r="BM23" s="1" t="s">
        <v>336</v>
      </c>
      <c r="BN23" s="87">
        <v>1</v>
      </c>
      <c r="BV23"/>
      <c r="BW23"/>
      <c r="BX23"/>
      <c r="BY23"/>
      <c r="BZ23"/>
      <c r="CA23"/>
      <c r="CB23"/>
      <c r="CC23"/>
      <c r="CD23"/>
      <c r="CE23"/>
      <c r="CF23"/>
    </row>
    <row r="24" spans="2:139" ht="16" thickBot="1">
      <c r="D24" s="30"/>
      <c r="E24" s="30"/>
      <c r="F24" s="30"/>
      <c r="G24" s="30"/>
      <c r="H24" s="30"/>
      <c r="I24" s="30"/>
      <c r="J24" s="30"/>
      <c r="AA24" s="575" t="str">
        <f>Conversions!$B$28</f>
        <v>kg</v>
      </c>
      <c r="AB24" s="13" t="s">
        <v>735</v>
      </c>
      <c r="AN24" s="1"/>
      <c r="AO24" s="1"/>
      <c r="AP24" s="1"/>
      <c r="BV24"/>
      <c r="BW24"/>
      <c r="BX24"/>
      <c r="BY24"/>
      <c r="BZ24"/>
      <c r="CA24"/>
      <c r="CB24"/>
      <c r="CC24"/>
      <c r="CD24"/>
      <c r="CE24"/>
      <c r="CF24"/>
    </row>
    <row r="25" spans="2:139" ht="21" thickBot="1">
      <c r="C25" s="16" t="s">
        <v>72</v>
      </c>
      <c r="D25" s="17"/>
      <c r="E25" s="17"/>
      <c r="F25" s="17"/>
      <c r="G25" s="17"/>
      <c r="H25" s="17"/>
      <c r="I25" s="17"/>
      <c r="J25" s="17"/>
      <c r="K25" s="18"/>
      <c r="L25" s="18"/>
      <c r="M25" s="70"/>
      <c r="N25" s="70"/>
      <c r="O25" s="70"/>
      <c r="AA25" s="576" t="str">
        <f>IF(UnitSystem="US-Imperial (United States)",Conversions!$B$30,IF(UnitSystem="SI-Metric (Canada)",Conversions!$B$29,NA()))</f>
        <v>short ton</v>
      </c>
      <c r="AB25" s="13" t="s">
        <v>740</v>
      </c>
      <c r="AC25" s="12"/>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5"/>
      <c r="DO25" s="585"/>
      <c r="DP25" s="586"/>
      <c r="DQ25"/>
      <c r="DR25"/>
      <c r="DS25"/>
      <c r="DT25"/>
      <c r="DU25"/>
      <c r="DV25"/>
      <c r="DW25"/>
      <c r="DX25"/>
      <c r="DY25"/>
      <c r="DZ25"/>
      <c r="EA25"/>
      <c r="EB25"/>
    </row>
    <row r="26" spans="2:139" ht="16" thickBot="1">
      <c r="C26" s="73" t="s">
        <v>141</v>
      </c>
      <c r="D26" s="74"/>
      <c r="E26" s="74"/>
      <c r="F26" s="74"/>
      <c r="G26" s="74"/>
      <c r="H26" s="74"/>
      <c r="I26" s="74"/>
      <c r="J26" s="74"/>
      <c r="K26" s="74"/>
      <c r="L26" s="74"/>
      <c r="M26" s="74"/>
      <c r="N26" s="74"/>
      <c r="O26" s="79"/>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t="s">
        <v>13</v>
      </c>
      <c r="BY26" s="2" t="s">
        <v>13</v>
      </c>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14</v>
      </c>
      <c r="CN26" s="2" t="s">
        <v>14</v>
      </c>
      <c r="CO26" s="2" t="s">
        <v>16</v>
      </c>
      <c r="CP26" s="2" t="s">
        <v>16</v>
      </c>
      <c r="CQ26" s="2" t="s">
        <v>16</v>
      </c>
      <c r="CR26" s="2" t="s">
        <v>16</v>
      </c>
      <c r="CS26" s="2" t="s">
        <v>16</v>
      </c>
      <c r="CT26" s="2" t="s">
        <v>16</v>
      </c>
      <c r="CU26" s="2" t="s">
        <v>16</v>
      </c>
      <c r="CV26" s="2" t="s">
        <v>16</v>
      </c>
      <c r="CW26" s="2" t="s">
        <v>16</v>
      </c>
      <c r="CX26" s="2" t="s">
        <v>16</v>
      </c>
      <c r="CY26" s="2" t="s">
        <v>16</v>
      </c>
      <c r="CZ26" s="2" t="s">
        <v>16</v>
      </c>
      <c r="DA26" s="2" t="s">
        <v>16</v>
      </c>
      <c r="DB26" s="2" t="s">
        <v>16</v>
      </c>
      <c r="DC26" s="2" t="s">
        <v>15</v>
      </c>
      <c r="DD26" s="2" t="s">
        <v>15</v>
      </c>
      <c r="DE26" s="2" t="s">
        <v>15</v>
      </c>
      <c r="DF26" s="2" t="s">
        <v>15</v>
      </c>
      <c r="DG26" s="2" t="s">
        <v>15</v>
      </c>
      <c r="DH26" s="2" t="s">
        <v>15</v>
      </c>
      <c r="DI26" s="2" t="s">
        <v>15</v>
      </c>
      <c r="DJ26" s="2" t="s">
        <v>15</v>
      </c>
      <c r="DK26" s="2" t="s">
        <v>15</v>
      </c>
      <c r="DL26" s="2" t="s">
        <v>15</v>
      </c>
      <c r="DM26" s="2" t="s">
        <v>15</v>
      </c>
      <c r="DN26" s="2" t="s">
        <v>15</v>
      </c>
      <c r="DO26" s="2" t="s">
        <v>15</v>
      </c>
      <c r="DP26" s="2" t="s">
        <v>15</v>
      </c>
      <c r="DQ26" s="584" t="s">
        <v>726</v>
      </c>
      <c r="DR26" s="585"/>
      <c r="DS26" s="585"/>
      <c r="DT26" s="585"/>
      <c r="DU26" s="585"/>
      <c r="DV26" s="585"/>
      <c r="DW26" s="585"/>
      <c r="DX26" s="585"/>
      <c r="DY26" s="585"/>
      <c r="DZ26" s="585"/>
      <c r="EA26" s="585"/>
      <c r="EB26" s="585"/>
      <c r="EC26" s="585"/>
      <c r="ED26" s="586"/>
      <c r="EE26"/>
      <c r="EF26"/>
      <c r="EG26"/>
      <c r="EH26"/>
      <c r="EI26"/>
    </row>
    <row r="27" spans="2:139">
      <c r="C27" s="31"/>
      <c r="I27" s="93"/>
      <c r="J27" s="93"/>
      <c r="K27" s="93"/>
      <c r="L27" s="93"/>
      <c r="M27" s="95"/>
      <c r="N27" s="95"/>
      <c r="O27" s="96"/>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INDEX(EPD_Measures,1)</f>
        <v>Global warming potential (GWP)</v>
      </c>
      <c r="CP27" s="564" t="str">
        <f>INDEX(EPD_Measures,2)</f>
        <v>Acidification potential</v>
      </c>
      <c r="CQ27" s="564" t="str">
        <f>INDEX(EPD_Measures,3)</f>
        <v>Eutrophication potential</v>
      </c>
      <c r="CR27" s="564" t="str">
        <f>INDEX(EPD_Measures,4)</f>
        <v>Smog creation potential</v>
      </c>
      <c r="CS27" s="564" t="str">
        <f>INDEX(EPD_Measures,5)</f>
        <v>Ozone depletion potential</v>
      </c>
      <c r="CT27" s="564" t="str">
        <f>INDEX(EPD_Measures,6)</f>
        <v>Total primary energy consumption</v>
      </c>
      <c r="CU27" s="564" t="str">
        <f>INDEX(EPD_Measures,7)</f>
        <v>Nonrenewable energy resources</v>
      </c>
      <c r="CV27" s="564" t="str">
        <f>INDEX(EPD_Measures,8)</f>
        <v>Renewable energy resources</v>
      </c>
      <c r="CW27" s="564" t="str">
        <f>INDEX(EPD_Measures,9)</f>
        <v>Material resources consumption</v>
      </c>
      <c r="CX27" s="564" t="str">
        <f>INDEX(EPD_Measures,10)</f>
        <v>Nonrenewable material resources</v>
      </c>
      <c r="CY27" s="564" t="str">
        <f>INDEX(EPD_Measures,11)</f>
        <v>Renewable material resources</v>
      </c>
      <c r="CZ27" s="564" t="str">
        <f>INDEX(EPD_Measures,12)</f>
        <v>Net Fresh Water</v>
      </c>
      <c r="DA27" s="564" t="str">
        <f>INDEX(EPD_Measures,13)</f>
        <v>Non-hazardous waste generated</v>
      </c>
      <c r="DB27" s="564" t="str">
        <f>INDEX(EPD_Measures,14)</f>
        <v>Hazardous waste generated</v>
      </c>
      <c r="DC27" s="564" t="str">
        <f>INDEX(EPD_Measures,1)</f>
        <v>Global warming potential (GWP)</v>
      </c>
      <c r="DD27" s="564" t="str">
        <f>INDEX(EPD_Measures,2)</f>
        <v>Acidification potential</v>
      </c>
      <c r="DE27" s="564" t="str">
        <f>INDEX(EPD_Measures,3)</f>
        <v>Eutrophication potential</v>
      </c>
      <c r="DF27" s="564" t="str">
        <f>INDEX(EPD_Measures,4)</f>
        <v>Smog creation potential</v>
      </c>
      <c r="DG27" s="564" t="str">
        <f>INDEX(EPD_Measures,5)</f>
        <v>Ozone depletion potential</v>
      </c>
      <c r="DH27" s="564" t="str">
        <f>INDEX(EPD_Measures,6)</f>
        <v>Total primary energy consumption</v>
      </c>
      <c r="DI27" s="564" t="str">
        <f>INDEX(EPD_Measures,7)</f>
        <v>Nonrenewable energy resources</v>
      </c>
      <c r="DJ27" s="564" t="str">
        <f>INDEX(EPD_Measures,8)</f>
        <v>Renewable energy resources</v>
      </c>
      <c r="DK27" s="564" t="str">
        <f>INDEX(EPD_Measures,9)</f>
        <v>Material resources consumption</v>
      </c>
      <c r="DL27" s="564" t="str">
        <f>INDEX(EPD_Measures,10)</f>
        <v>Nonrenewable material resources</v>
      </c>
      <c r="DM27" s="564" t="str">
        <f>INDEX(EPD_Measures,11)</f>
        <v>Renewable material resources</v>
      </c>
      <c r="DN27" s="564" t="str">
        <f>INDEX(EPD_Measures,12)</f>
        <v>Net Fresh Water</v>
      </c>
      <c r="DO27" s="564" t="str">
        <f>INDEX(EPD_Measures,13)</f>
        <v>Non-hazardous waste generated</v>
      </c>
      <c r="DP27" s="564" t="str">
        <f>INDEX(EPD_Measures,14)</f>
        <v>Hazardous waste generated</v>
      </c>
      <c r="DQ27" s="564" t="str">
        <f>INDEX(EPD_Measures,1)</f>
        <v>Global warming potential (GWP)</v>
      </c>
      <c r="DR27" s="564" t="str">
        <f>INDEX(EPD_Measures,2)</f>
        <v>Acidification potential</v>
      </c>
      <c r="DS27" s="564" t="str">
        <f>INDEX(EPD_Measures,3)</f>
        <v>Eutrophication potential</v>
      </c>
      <c r="DT27" s="564" t="str">
        <f>INDEX(EPD_Measures,4)</f>
        <v>Smog creation potential</v>
      </c>
      <c r="DU27" s="564" t="str">
        <f>INDEX(EPD_Measures,5)</f>
        <v>Ozone depletion potential</v>
      </c>
      <c r="DV27" s="564" t="str">
        <f>INDEX(EPD_Measures,6)</f>
        <v>Total primary energy consumption</v>
      </c>
      <c r="DW27" s="564" t="str">
        <f>INDEX(EPD_Measures,7)</f>
        <v>Nonrenewable energy resources</v>
      </c>
      <c r="DX27" s="564" t="str">
        <f>INDEX(EPD_Measures,8)</f>
        <v>Renewable energy resources</v>
      </c>
      <c r="DY27" s="564" t="str">
        <f>INDEX(EPD_Measures,9)</f>
        <v>Material resources consumption</v>
      </c>
      <c r="DZ27" s="564" t="str">
        <f>INDEX(EPD_Measures,10)</f>
        <v>Nonrenewable material resources</v>
      </c>
      <c r="EA27" s="564" t="str">
        <f>INDEX(EPD_Measures,11)</f>
        <v>Renewable material resources</v>
      </c>
      <c r="EB27" s="564" t="str">
        <f>INDEX(EPD_Measures,12)</f>
        <v>Net Fresh Water</v>
      </c>
      <c r="EC27" s="564" t="str">
        <f>INDEX(EPD_Measures,13)</f>
        <v>Non-hazardous waste generated</v>
      </c>
      <c r="ED27" s="564" t="str">
        <f>INDEX(EPD_Measures,14)</f>
        <v>Hazardous waste generated</v>
      </c>
      <c r="EE27"/>
      <c r="EF27"/>
      <c r="EG27"/>
      <c r="EH27"/>
      <c r="EI27"/>
    </row>
    <row r="28" spans="2:139">
      <c r="C28" s="43" t="s">
        <v>339</v>
      </c>
      <c r="D28" s="44"/>
      <c r="E28" s="44"/>
      <c r="F28" s="44"/>
      <c r="G28" s="44"/>
      <c r="I28" s="86"/>
      <c r="J28" s="673" t="s">
        <v>77</v>
      </c>
      <c r="K28" s="674"/>
      <c r="L28" s="674"/>
      <c r="M28" s="674"/>
      <c r="N28" s="674"/>
      <c r="O28" s="675"/>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6" t="str">
        <f>INDEX(EPD_Calc_Units,12)</f>
        <v>m3</v>
      </c>
      <c r="BJ28" s="146"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INDEX(EPD_Calc_Units,1)</f>
        <v>kg</v>
      </c>
      <c r="CP28" s="490" t="str">
        <f>INDEX(EPD_Calc_Units,2)</f>
        <v>kg</v>
      </c>
      <c r="CQ28" s="490" t="str">
        <f>INDEX(EPD_Calc_Units,3)</f>
        <v>kg</v>
      </c>
      <c r="CR28" s="490" t="str">
        <f>INDEX(EPD_Calc_Units,4)</f>
        <v>kg</v>
      </c>
      <c r="CS28" s="490" t="str">
        <f>INDEX(EPD_Calc_Units,5)</f>
        <v>kg</v>
      </c>
      <c r="CT28" s="490" t="str">
        <f>INDEX(EPD_Calc_Units,6)</f>
        <v>MJ</v>
      </c>
      <c r="CU28" s="490" t="str">
        <f>INDEX(EPD_Calc_Units,7)</f>
        <v>MJ</v>
      </c>
      <c r="CV28" s="490" t="str">
        <f>INDEX(EPD_Calc_Units,8)</f>
        <v>MJ</v>
      </c>
      <c r="CW28" s="490" t="str">
        <f>INDEX(EPD_Calc_Units,9)</f>
        <v>kg</v>
      </c>
      <c r="CX28" s="490" t="str">
        <f>INDEX(EPD_Calc_Units,10)</f>
        <v>kg</v>
      </c>
      <c r="CY28" s="490" t="str">
        <f>INDEX(EPD_Calc_Units,11)</f>
        <v>kg</v>
      </c>
      <c r="CZ28" s="490" t="str">
        <f>INDEX(EPD_Calc_Units,12)</f>
        <v>m3</v>
      </c>
      <c r="DA28" s="490" t="str">
        <f>INDEX(EPD_Calc_Units,13)</f>
        <v>kg</v>
      </c>
      <c r="DB28" s="490" t="str">
        <f>INDEX(EPD_Calc_Units,14)</f>
        <v>kg</v>
      </c>
      <c r="DC28" s="490" t="str">
        <f>INDEX(EPD_Calc_Units,1)</f>
        <v>kg</v>
      </c>
      <c r="DD28" s="490" t="str">
        <f>INDEX(EPD_Calc_Units,2)</f>
        <v>kg</v>
      </c>
      <c r="DE28" s="490" t="str">
        <f>INDEX(EPD_Calc_Units,3)</f>
        <v>kg</v>
      </c>
      <c r="DF28" s="490" t="str">
        <f>INDEX(EPD_Calc_Units,4)</f>
        <v>kg</v>
      </c>
      <c r="DG28" s="490" t="str">
        <f>INDEX(EPD_Calc_Units,5)</f>
        <v>kg</v>
      </c>
      <c r="DH28" s="490" t="str">
        <f>INDEX(EPD_Calc_Units,6)</f>
        <v>MJ</v>
      </c>
      <c r="DI28" s="490" t="str">
        <f>INDEX(EPD_Calc_Units,7)</f>
        <v>MJ</v>
      </c>
      <c r="DJ28" s="490" t="str">
        <f>INDEX(EPD_Calc_Units,8)</f>
        <v>MJ</v>
      </c>
      <c r="DK28" s="490" t="str">
        <f>INDEX(EPD_Calc_Units,9)</f>
        <v>kg</v>
      </c>
      <c r="DL28" s="490" t="str">
        <f>INDEX(EPD_Calc_Units,10)</f>
        <v>kg</v>
      </c>
      <c r="DM28" s="490" t="str">
        <f>INDEX(EPD_Calc_Units,11)</f>
        <v>kg</v>
      </c>
      <c r="DN28" s="490" t="str">
        <f>INDEX(EPD_Calc_Units,12)</f>
        <v>m3</v>
      </c>
      <c r="DO28" s="490" t="str">
        <f>INDEX(EPD_Calc_Units,13)</f>
        <v>kg</v>
      </c>
      <c r="DP28" s="490" t="str">
        <f>INDEX(EPD_Calc_Units,14)</f>
        <v>kg</v>
      </c>
      <c r="DQ28" s="490" t="str">
        <f>INDEX(EPD_Calc_Units,1)</f>
        <v>kg</v>
      </c>
      <c r="DR28" s="490" t="str">
        <f>INDEX(EPD_Calc_Units,2)</f>
        <v>kg</v>
      </c>
      <c r="DS28" s="490" t="str">
        <f>INDEX(EPD_Calc_Units,3)</f>
        <v>kg</v>
      </c>
      <c r="DT28" s="490" t="str">
        <f>INDEX(EPD_Calc_Units,4)</f>
        <v>kg</v>
      </c>
      <c r="DU28" s="490" t="str">
        <f>INDEX(EPD_Calc_Units,5)</f>
        <v>kg</v>
      </c>
      <c r="DV28" s="490" t="str">
        <f>INDEX(EPD_Calc_Units,6)</f>
        <v>MJ</v>
      </c>
      <c r="DW28" s="490" t="str">
        <f>INDEX(EPD_Calc_Units,7)</f>
        <v>MJ</v>
      </c>
      <c r="DX28" s="490" t="str">
        <f>INDEX(EPD_Calc_Units,8)</f>
        <v>MJ</v>
      </c>
      <c r="DY28" s="490" t="str">
        <f>INDEX(EPD_Calc_Units,9)</f>
        <v>kg</v>
      </c>
      <c r="DZ28" s="490" t="str">
        <f>INDEX(EPD_Calc_Units,10)</f>
        <v>kg</v>
      </c>
      <c r="EA28" s="490" t="str">
        <f>INDEX(EPD_Calc_Units,11)</f>
        <v>kg</v>
      </c>
      <c r="EB28" s="490" t="str">
        <f>INDEX(EPD_Calc_Units,12)</f>
        <v>m3</v>
      </c>
      <c r="EC28" s="490" t="str">
        <f>INDEX(EPD_Calc_Units,13)</f>
        <v>kg</v>
      </c>
      <c r="ED28" s="490" t="str">
        <f>INDEX(EPD_Calc_Units,14)</f>
        <v>kg</v>
      </c>
      <c r="EE28"/>
      <c r="EF28"/>
      <c r="EG28"/>
      <c r="EH28"/>
      <c r="EI28"/>
    </row>
    <row r="29" spans="2:139">
      <c r="C29" s="429" t="s">
        <v>2</v>
      </c>
      <c r="D29" s="430" t="s">
        <v>5</v>
      </c>
      <c r="E29" s="431" t="s">
        <v>12</v>
      </c>
      <c r="F29" s="431" t="s">
        <v>6</v>
      </c>
      <c r="G29" s="431" t="s">
        <v>102</v>
      </c>
      <c r="H29" s="431" t="s">
        <v>6</v>
      </c>
      <c r="I29" s="432" t="s">
        <v>240</v>
      </c>
      <c r="J29" s="433" t="s">
        <v>13</v>
      </c>
      <c r="K29" s="433" t="s">
        <v>14</v>
      </c>
      <c r="L29" s="433" t="s">
        <v>16</v>
      </c>
      <c r="M29" s="433" t="s">
        <v>15</v>
      </c>
      <c r="N29" s="434" t="s">
        <v>631</v>
      </c>
      <c r="O29" s="435" t="s">
        <v>6</v>
      </c>
      <c r="Y29" s="13" t="s">
        <v>452</v>
      </c>
      <c r="Z29" s="13" t="s">
        <v>673</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row>
    <row r="30" spans="2:139" ht="15" customHeight="1">
      <c r="B30" s="53">
        <f t="shared" ref="B30:B64" si="7">X30</f>
        <v>0</v>
      </c>
      <c r="C30" s="26">
        <f>ROW($C30)-ROW($C$30)+1</f>
        <v>1</v>
      </c>
      <c r="D30" s="46" t="s">
        <v>21</v>
      </c>
      <c r="E30" s="185">
        <f>'Cement Sources'!$G$13</f>
        <v>0</v>
      </c>
      <c r="F30" s="204" t="str">
        <f>'Cement Sources'!$H$13</f>
        <v>short ton</v>
      </c>
      <c r="G30" s="158">
        <f>$AV30</f>
        <v>0</v>
      </c>
      <c r="H30" s="204" t="str">
        <f t="shared" ref="H30:H66" si="8">MassDisplayUnit</f>
        <v>short ton</v>
      </c>
      <c r="I30" s="150">
        <f>IF($G$68=0,0,G30/$G$68)</f>
        <v>0</v>
      </c>
      <c r="J30" s="200">
        <f>'Cement Sources'!I13</f>
        <v>0</v>
      </c>
      <c r="K30" s="200">
        <f>'Cement Sources'!J13</f>
        <v>0</v>
      </c>
      <c r="L30" s="200">
        <f>'Cement Sources'!K13</f>
        <v>0</v>
      </c>
      <c r="M30" s="200">
        <f>'Cement Sources'!L13</f>
        <v>0</v>
      </c>
      <c r="N30" s="436" t="s">
        <v>386</v>
      </c>
      <c r="O30" s="215" t="str">
        <f t="shared" ref="O30:O64" si="9">DistanceDisplayUnit</f>
        <v>mile</v>
      </c>
      <c r="X30" s="67">
        <f>'Cement Sources'!$Q$13</f>
        <v>0</v>
      </c>
      <c r="Y30" s="216">
        <f>IF($X30=1,1,0)</f>
        <v>0</v>
      </c>
      <c r="Z30" s="216">
        <v>1</v>
      </c>
      <c r="AA30" s="216">
        <f t="shared" ref="AA30:AD31" si="10">IF($Y30=0,0,IF(J30="",0,J30))</f>
        <v>0</v>
      </c>
      <c r="AB30" s="216">
        <f t="shared" si="10"/>
        <v>0</v>
      </c>
      <c r="AC30" s="216">
        <f t="shared" si="10"/>
        <v>0</v>
      </c>
      <c r="AD30" s="216">
        <f t="shared" si="10"/>
        <v>0</v>
      </c>
      <c r="AE30" s="217" t="str">
        <f>$O30</f>
        <v>mile</v>
      </c>
      <c r="AF30" s="217">
        <f t="shared" ref="AF30:AF64" si="11">INDEX(Conversion_Table,MATCH($AE30,Conversion_Rows,0),MATCH($AG$27,Conversion_Columns,0))</f>
        <v>1.6093473468862911</v>
      </c>
      <c r="AG30" s="216" t="str">
        <f>$AG$27&amp;"/"&amp;$AE30</f>
        <v>km/mile</v>
      </c>
      <c r="AH30" s="216">
        <f t="shared" ref="AH30:AK33" si="12">AA30*$AF30</f>
        <v>0</v>
      </c>
      <c r="AI30" s="216">
        <f t="shared" si="12"/>
        <v>0</v>
      </c>
      <c r="AJ30" s="216">
        <f t="shared" si="12"/>
        <v>0</v>
      </c>
      <c r="AK30" s="216">
        <f t="shared" si="12"/>
        <v>0</v>
      </c>
      <c r="AL30" s="216"/>
      <c r="AM30" s="1" t="str">
        <f t="shared" ref="AM30:AM67" si="13">D30</f>
        <v>Portland Cement</v>
      </c>
      <c r="AN30" t="s">
        <v>127</v>
      </c>
      <c r="AO30">
        <f t="shared" ref="AO30:AO64" si="14">VLOOKUP(AM30,Material_Densities,2,FALSE)</f>
        <v>0</v>
      </c>
      <c r="AP30" s="1">
        <f>IF($E30="",0,$E30)</f>
        <v>0</v>
      </c>
      <c r="AQ30" s="1" t="str">
        <f t="shared" ref="AQ30:AQ67" si="15">F30</f>
        <v>short ton</v>
      </c>
      <c r="AR30" s="1">
        <f t="shared" ref="AR30:AR66" si="16">IFERROR(IF($AN30="M",INDEX(Conversion_Table,MATCH($AQ30,Conversion_Rows,0),MATCH($AT$29,Conversion_Columns,0)),IF($AN30="V",INDEX(Conversion_Table,MATCH($AQ30,Conversion_Rows,0),MATCH("m3",Conversion_Columns,0))*$AO30)),NA())</f>
        <v>0.90718499588591606</v>
      </c>
      <c r="AS30" s="87" t="str">
        <f>$AT$29&amp;"/"&amp;AQ30</f>
        <v>tonne/short ton</v>
      </c>
      <c r="AT30" s="87">
        <f>AP30*AR30</f>
        <v>0</v>
      </c>
      <c r="AU30" s="87">
        <f t="shared" ref="AU30:AU67" si="17">INDEX(Conversion_Table,MATCH($AT$29,Conversion_Rows,0),MATCH($AU$29,Conversion_Columns,0))*AT30</f>
        <v>0</v>
      </c>
      <c r="AV30" s="87">
        <f t="shared" ref="AV30:AV66" si="18">$AT30*INDEX(Conversion_Table,MATCH($AT$29,Conversion_Rows,0),MATCH($AV$29,Conversion_Columns,0))</f>
        <v>0</v>
      </c>
      <c r="AW30" t="str">
        <f>AM30</f>
        <v>Portland Cement</v>
      </c>
      <c r="AX30" s="148">
        <f>'Cement Sources'!AN13</f>
        <v>0</v>
      </c>
      <c r="AY30" s="148">
        <f>'Cement Sources'!AO13</f>
        <v>0</v>
      </c>
      <c r="AZ30" s="148">
        <f>'Cement Sources'!AP13</f>
        <v>0</v>
      </c>
      <c r="BA30" s="148">
        <f>'Cement Sources'!AQ13</f>
        <v>0</v>
      </c>
      <c r="BB30" s="148">
        <f>'Cement Sources'!AR13</f>
        <v>0</v>
      </c>
      <c r="BC30" s="148">
        <f>'Cement Sources'!AS13</f>
        <v>0</v>
      </c>
      <c r="BD30" s="148">
        <f>'Cement Sources'!AT13</f>
        <v>0</v>
      </c>
      <c r="BE30" s="148">
        <f>'Cement Sources'!AU13</f>
        <v>0</v>
      </c>
      <c r="BF30" s="148">
        <f>'Cement Sources'!AV13</f>
        <v>0</v>
      </c>
      <c r="BG30" s="148">
        <f>'Cement Sources'!AW13</f>
        <v>0</v>
      </c>
      <c r="BH30" s="148">
        <f>'Cement Sources'!AX13</f>
        <v>0</v>
      </c>
      <c r="BI30" s="148">
        <f>'Cement Sources'!AY13</f>
        <v>0</v>
      </c>
      <c r="BJ30" s="148">
        <f>'Cement Sources'!AZ13</f>
        <v>0</v>
      </c>
      <c r="BK30" s="148">
        <f>'Cement Sources'!BA13</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IFERROR(INDEX(LCIA_Data,MATCH($AO$15&amp;CM$27,LCIA_Rows_B&amp;LCIA_Rows_C,0),MATCH(CM$26,LCIA_Columns,0)),0)*$AT30*$AI30*$BN$23</f>
        <v>0</v>
      </c>
      <c r="CN30" s="1">
        <f t="array" ref="CN30">IFERROR(INDEX(LCIA_Data,MATCH($AO$15&amp;CN$27,LCIA_Rows_B&amp;LCIA_Rows_C,0),MATCH(CN$26,LCIA_Columns,0)),0)*$AT30*$AI30*$BN$23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IFERROR(INDEX(LCIA_Data,MATCH($AO$15&amp;DA$27,LCIA_Rows_B&amp;LCIA_Rows_C,0),MATCH(DA$26,LCIA_Columns,0)),0)*$AT30*$AJ30*$BN$23</f>
        <v>0</v>
      </c>
      <c r="DB30" s="1">
        <f t="array" ref="DB30">IFERROR(INDEX(LCIA_Data,MATCH($AO$15&amp;DB$27,LCIA_Rows_B&amp;LCIA_Rows_C,0),MATCH(DB$26,LCIA_Columns,0)),0)*$AT30*$AJ30*$BN$23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s="1">
        <f t="array" ref="DO30">IFERROR(INDEX(LCIA_Data,MATCH($AO$15&amp;DO$27,LCIA_Rows_B&amp;LCIA_Rows_C,0),MATCH(DO$26,LCIA_Columns,0)),0)*$AT30*$AK30*$BN$23</f>
        <v>0</v>
      </c>
      <c r="DP30" s="1">
        <f t="array" ref="DP30">IFERROR(INDEX(LCIA_Data,MATCH($AO$15&amp;DP$27,LCIA_Rows_B&amp;LCIA_Rows_C,0),MATCH(DP$26,LCIA_Columns,0)),0)*$AT30*$AK30*$BN$23</f>
        <v>0</v>
      </c>
      <c r="DQ30">
        <f t="shared" ref="DQ30:DQ64" si="19">BM30+CA30+CO30+DC30</f>
        <v>0</v>
      </c>
      <c r="DR30">
        <f t="shared" ref="DR30:DR64" si="20">BN30+CB30+CP30+DD30</f>
        <v>0</v>
      </c>
      <c r="DS30">
        <f t="shared" ref="DS30:DS64" si="21">BO30+CC30+CQ30+DE30</f>
        <v>0</v>
      </c>
      <c r="DT30">
        <f t="shared" ref="DT30:DT64" si="22">BP30+CD30+CR30+DF30</f>
        <v>0</v>
      </c>
      <c r="DU30">
        <f t="shared" ref="DU30:DU64" si="23">BQ30+CE30+CS30+DG30</f>
        <v>0</v>
      </c>
      <c r="DV30">
        <f t="shared" ref="DV30:DV64" si="24">BR30+CF30+CT30+DH30</f>
        <v>0</v>
      </c>
      <c r="DW30">
        <f t="shared" ref="DW30:DW64" si="25">BS30+CG30+CU30+DI30</f>
        <v>0</v>
      </c>
      <c r="DX30">
        <f t="shared" ref="DX30:DX64" si="26">BT30+CH30+CV30+DJ30</f>
        <v>0</v>
      </c>
      <c r="DY30">
        <f t="shared" ref="DY30:DY64" si="27">BU30+CI30+CW30+DK30</f>
        <v>0</v>
      </c>
      <c r="DZ30">
        <f t="shared" ref="DZ30:DZ64" si="28">BV30+CJ30+CX30+DL30</f>
        <v>0</v>
      </c>
      <c r="EA30">
        <f t="shared" ref="EA30:EA64" si="29">BW30+CK30+CY30+DM30</f>
        <v>0</v>
      </c>
      <c r="EB30">
        <f t="shared" ref="EB30:EC45" si="30">BX30+CL30+CZ30+DN30</f>
        <v>0</v>
      </c>
      <c r="EC30">
        <f t="shared" si="30"/>
        <v>0</v>
      </c>
      <c r="ED30">
        <f t="shared" ref="ED30:ED64" si="31">BZ30+CN30+DB30+DP30</f>
        <v>0</v>
      </c>
      <c r="EE30"/>
      <c r="EF30"/>
      <c r="EG30"/>
      <c r="EH30"/>
      <c r="EI30"/>
    </row>
    <row r="31" spans="2:139" ht="15" customHeight="1">
      <c r="B31" s="53">
        <f>X31</f>
        <v>0</v>
      </c>
      <c r="C31" s="233">
        <f t="shared" ref="C31:C67" si="32">ROW($C31)-ROW($C$30)+1</f>
        <v>2</v>
      </c>
      <c r="D31" s="244" t="s">
        <v>614</v>
      </c>
      <c r="E31" s="422">
        <f>'Cement Sources'!$G$25</f>
        <v>0</v>
      </c>
      <c r="F31" s="237" t="str">
        <f>'Cement Sources'!$H$25</f>
        <v>short ton</v>
      </c>
      <c r="G31" s="236">
        <f>$AV31</f>
        <v>0</v>
      </c>
      <c r="H31" s="237" t="str">
        <f t="shared" si="8"/>
        <v>short ton</v>
      </c>
      <c r="I31" s="238">
        <f>IF($G$68=0,0,G31/$G$68)</f>
        <v>0</v>
      </c>
      <c r="J31" s="501">
        <f>'Cement Sources'!I25</f>
        <v>0</v>
      </c>
      <c r="K31" s="501">
        <f>'Cement Sources'!J25</f>
        <v>0</v>
      </c>
      <c r="L31" s="501">
        <f>'Cement Sources'!K25</f>
        <v>0</v>
      </c>
      <c r="M31" s="501">
        <f>'Cement Sources'!L25</f>
        <v>0</v>
      </c>
      <c r="N31" s="438" t="s">
        <v>386</v>
      </c>
      <c r="O31" s="502" t="str">
        <f t="shared" si="9"/>
        <v>mile</v>
      </c>
      <c r="X31" s="67">
        <f>'Cement Sources'!$Q$25</f>
        <v>0</v>
      </c>
      <c r="Y31" s="216">
        <f>IF($X31=1,1,0)</f>
        <v>0</v>
      </c>
      <c r="Z31" s="216">
        <v>2</v>
      </c>
      <c r="AA31" s="216">
        <f t="shared" si="10"/>
        <v>0</v>
      </c>
      <c r="AB31" s="216">
        <f t="shared" si="10"/>
        <v>0</v>
      </c>
      <c r="AC31" s="216">
        <f t="shared" si="10"/>
        <v>0</v>
      </c>
      <c r="AD31" s="216">
        <f t="shared" si="10"/>
        <v>0</v>
      </c>
      <c r="AE31" s="217" t="str">
        <f t="shared" ref="AE31:AE64" si="33">$O31</f>
        <v>mile</v>
      </c>
      <c r="AF31" s="217">
        <f t="shared" si="11"/>
        <v>1.6093473468862911</v>
      </c>
      <c r="AG31" s="216" t="str">
        <f t="shared" ref="AG31:AG64" si="34">$AG$27&amp;"/"&amp;$AE31</f>
        <v>km/mile</v>
      </c>
      <c r="AH31" s="216">
        <f t="shared" si="12"/>
        <v>0</v>
      </c>
      <c r="AI31" s="216">
        <f t="shared" si="12"/>
        <v>0</v>
      </c>
      <c r="AJ31" s="216">
        <f t="shared" si="12"/>
        <v>0</v>
      </c>
      <c r="AK31" s="216">
        <f t="shared" si="12"/>
        <v>0</v>
      </c>
      <c r="AL31" s="216"/>
      <c r="AM31" s="1" t="str">
        <f t="shared" si="13"/>
        <v>Portland Limestone Cement (PLC)</v>
      </c>
      <c r="AN31" t="s">
        <v>127</v>
      </c>
      <c r="AO31">
        <f t="shared" si="14"/>
        <v>0</v>
      </c>
      <c r="AP31" s="1">
        <f t="shared" ref="AP31:AP67" si="35">IF($E31="",0,$E31)</f>
        <v>0</v>
      </c>
      <c r="AQ31" s="1" t="str">
        <f t="shared" si="15"/>
        <v>short ton</v>
      </c>
      <c r="AR31" s="1">
        <f t="shared" si="16"/>
        <v>0.90718499588591606</v>
      </c>
      <c r="AS31" s="87" t="str">
        <f>$AT$29&amp;"/"&amp;AQ31</f>
        <v>tonne/short ton</v>
      </c>
      <c r="AT31" s="87">
        <f>AP31*AR31</f>
        <v>0</v>
      </c>
      <c r="AU31" s="87">
        <f>INDEX(Conversion_Table,MATCH($AT$29,Conversion_Rows,0),MATCH($AU$29,Conversion_Columns,0))*AT31</f>
        <v>0</v>
      </c>
      <c r="AV31" s="87">
        <f t="shared" si="18"/>
        <v>0</v>
      </c>
      <c r="AW31" t="str">
        <f>AM31</f>
        <v>Portland Limestone Cement (PLC)</v>
      </c>
      <c r="AX31" s="148">
        <f>'Cement Sources'!AN25</f>
        <v>0</v>
      </c>
      <c r="AY31" s="148">
        <f>'Cement Sources'!AO25</f>
        <v>0</v>
      </c>
      <c r="AZ31" s="148">
        <f>'Cement Sources'!AP25</f>
        <v>0</v>
      </c>
      <c r="BA31" s="148">
        <f>'Cement Sources'!AQ25</f>
        <v>0</v>
      </c>
      <c r="BB31" s="148">
        <f>'Cement Sources'!AR25</f>
        <v>0</v>
      </c>
      <c r="BC31" s="148">
        <f>'Cement Sources'!AS25</f>
        <v>0</v>
      </c>
      <c r="BD31" s="148">
        <f>'Cement Sources'!AT25</f>
        <v>0</v>
      </c>
      <c r="BE31" s="148">
        <f>'Cement Sources'!AU25</f>
        <v>0</v>
      </c>
      <c r="BF31" s="148">
        <f>'Cement Sources'!AV25</f>
        <v>0</v>
      </c>
      <c r="BG31" s="148">
        <f>'Cement Sources'!AW25</f>
        <v>0</v>
      </c>
      <c r="BH31" s="148">
        <f>'Cement Sources'!AX25</f>
        <v>0</v>
      </c>
      <c r="BI31" s="148">
        <f>'Cement Sources'!AY25</f>
        <v>0</v>
      </c>
      <c r="BJ31" s="148">
        <f>'Cement Sources'!AZ25</f>
        <v>0</v>
      </c>
      <c r="BK31" s="148">
        <f>'Cement Sources'!BA25</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IFERROR(INDEX(LCIA_Data,MATCH($AO$15&amp;CM$27,LCIA_Rows_B&amp;LCIA_Rows_C,0),MATCH(CM$26,LCIA_Columns,0)),0)*$AT31*$AI31*$BN$23</f>
        <v>0</v>
      </c>
      <c r="CN31" s="1">
        <f t="array" ref="CN31">IFERROR(INDEX(LCIA_Data,MATCH($AO$15&amp;CN$27,LCIA_Rows_B&amp;LCIA_Rows_C,0),MATCH(CN$26,LCIA_Columns,0)),0)*$AT31*$AI31*$BN$23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IFERROR(INDEX(LCIA_Data,MATCH($AO$15&amp;DA$27,LCIA_Rows_B&amp;LCIA_Rows_C,0),MATCH(DA$26,LCIA_Columns,0)),0)*$AT31*$AJ31*$BN$23</f>
        <v>0</v>
      </c>
      <c r="DB31" s="1">
        <f t="array" ref="DB31">IFERROR(INDEX(LCIA_Data,MATCH($AO$15&amp;DB$27,LCIA_Rows_B&amp;LCIA_Rows_C,0),MATCH(DB$26,LCIA_Columns,0)),0)*$AT31*$AJ31*$BN$23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s="1">
        <f t="array" ref="DO31">IFERROR(INDEX(LCIA_Data,MATCH($AO$15&amp;DO$27,LCIA_Rows_B&amp;LCIA_Rows_C,0),MATCH(DO$26,LCIA_Columns,0)),0)*$AT31*$AK31*$BN$23</f>
        <v>0</v>
      </c>
      <c r="DP31" s="1">
        <f t="array" ref="DP31">IFERROR(INDEX(LCIA_Data,MATCH($AO$15&amp;DP$27,LCIA_Rows_B&amp;LCIA_Rows_C,0),MATCH(DP$26,LCIA_Columns,0)),0)*$AT31*$AK31*$BN$23</f>
        <v>0</v>
      </c>
      <c r="DQ31">
        <f t="shared" si="19"/>
        <v>0</v>
      </c>
      <c r="DR31">
        <f t="shared" si="20"/>
        <v>0</v>
      </c>
      <c r="DS31">
        <f t="shared" si="21"/>
        <v>0</v>
      </c>
      <c r="DT31">
        <f t="shared" si="22"/>
        <v>0</v>
      </c>
      <c r="DU31">
        <f t="shared" si="23"/>
        <v>0</v>
      </c>
      <c r="DV31">
        <f t="shared" si="24"/>
        <v>0</v>
      </c>
      <c r="DW31">
        <f t="shared" si="25"/>
        <v>0</v>
      </c>
      <c r="DX31">
        <f t="shared" si="26"/>
        <v>0</v>
      </c>
      <c r="DY31">
        <f t="shared" si="27"/>
        <v>0</v>
      </c>
      <c r="DZ31">
        <f t="shared" si="28"/>
        <v>0</v>
      </c>
      <c r="EA31">
        <f t="shared" si="29"/>
        <v>0</v>
      </c>
      <c r="EB31">
        <f t="shared" si="30"/>
        <v>0</v>
      </c>
      <c r="EC31">
        <f t="shared" si="30"/>
        <v>0</v>
      </c>
      <c r="ED31">
        <f t="shared" si="31"/>
        <v>0</v>
      </c>
      <c r="EE31"/>
      <c r="EF31"/>
      <c r="EG31"/>
      <c r="EH31"/>
      <c r="EI31"/>
    </row>
    <row r="32" spans="2:139" ht="15" customHeight="1" thickBot="1">
      <c r="B32" s="53">
        <f>X32</f>
        <v>0</v>
      </c>
      <c r="C32" s="32">
        <f t="shared" si="32"/>
        <v>3</v>
      </c>
      <c r="D32" s="47" t="s">
        <v>801</v>
      </c>
      <c r="E32" s="226">
        <f>'Cement Sources'!$G$58</f>
        <v>0</v>
      </c>
      <c r="F32" s="503" t="str">
        <f>'Cement Sources'!$H$58</f>
        <v>short ton</v>
      </c>
      <c r="G32" s="228">
        <f>$AV32</f>
        <v>0</v>
      </c>
      <c r="H32" s="227" t="str">
        <f t="shared" si="8"/>
        <v>short ton</v>
      </c>
      <c r="I32" s="229">
        <f>IF($G$68=0,0,G32/$G$68)</f>
        <v>0</v>
      </c>
      <c r="J32" s="230">
        <f>'Cement Sources'!I58</f>
        <v>0</v>
      </c>
      <c r="K32" s="230">
        <f>'Cement Sources'!J58</f>
        <v>0</v>
      </c>
      <c r="L32" s="230">
        <f>'Cement Sources'!K58</f>
        <v>0</v>
      </c>
      <c r="M32" s="230">
        <f>'Cement Sources'!L58</f>
        <v>0</v>
      </c>
      <c r="N32" s="437" t="s">
        <v>386</v>
      </c>
      <c r="O32" s="214" t="str">
        <f t="shared" si="9"/>
        <v>mile</v>
      </c>
      <c r="X32" s="67">
        <f>'Cement Sources'!$Q$58</f>
        <v>0</v>
      </c>
      <c r="Y32" s="216">
        <f>IF($X32=1,1,0)</f>
        <v>0</v>
      </c>
      <c r="Z32" s="216">
        <v>3</v>
      </c>
      <c r="AA32" s="216">
        <f t="shared" ref="AA32" si="36">IF($Y32=0,0,IF(J32="",0,J32))</f>
        <v>0</v>
      </c>
      <c r="AB32" s="216">
        <f t="shared" ref="AB32" si="37">IF($Y32=0,0,IF(K32="",0,K32))</f>
        <v>0</v>
      </c>
      <c r="AC32" s="216">
        <f t="shared" ref="AC32" si="38">IF($Y32=0,0,IF(L32="",0,L32))</f>
        <v>0</v>
      </c>
      <c r="AD32" s="216">
        <f t="shared" ref="AD32" si="39">IF($Y32=0,0,IF(M32="",0,M32))</f>
        <v>0</v>
      </c>
      <c r="AE32" s="217" t="str">
        <f t="shared" si="33"/>
        <v>mile</v>
      </c>
      <c r="AF32" s="217">
        <f t="shared" si="11"/>
        <v>1.6093473468862911</v>
      </c>
      <c r="AG32" s="216" t="str">
        <f t="shared" si="34"/>
        <v>km/mile</v>
      </c>
      <c r="AH32" s="216">
        <f t="shared" ref="AH32" si="40">AA32*$AF32</f>
        <v>0</v>
      </c>
      <c r="AI32" s="216">
        <f t="shared" ref="AI32" si="41">AB32*$AF32</f>
        <v>0</v>
      </c>
      <c r="AJ32" s="216">
        <f t="shared" ref="AJ32" si="42">AC32*$AF32</f>
        <v>0</v>
      </c>
      <c r="AK32" s="216">
        <f t="shared" ref="AK32" si="43">AD32*$AF32</f>
        <v>0</v>
      </c>
      <c r="AL32" s="216"/>
      <c r="AM32" s="1" t="str">
        <f t="shared" ref="AM32" si="44">D32</f>
        <v>Pre-Blended Cement</v>
      </c>
      <c r="AN32" t="s">
        <v>127</v>
      </c>
      <c r="AO32">
        <f t="shared" ref="AO32" si="45">VLOOKUP(AM32,Material_Densities,2,FALSE)</f>
        <v>0</v>
      </c>
      <c r="AP32" s="1">
        <f t="shared" si="35"/>
        <v>0</v>
      </c>
      <c r="AQ32" s="1" t="str">
        <f t="shared" ref="AQ32" si="46">F32</f>
        <v>short ton</v>
      </c>
      <c r="AR32" s="1">
        <f t="shared" si="16"/>
        <v>0.90718499588591606</v>
      </c>
      <c r="AS32" s="87" t="str">
        <f>$AT$29&amp;"/"&amp;AQ32</f>
        <v>tonne/short ton</v>
      </c>
      <c r="AT32" s="87">
        <f>AP32*AR32</f>
        <v>0</v>
      </c>
      <c r="AU32" s="87">
        <f>INDEX(Conversion_Table,MATCH($AT$29,Conversion_Rows,0),MATCH($AU$29,Conversion_Columns,0))*AT32</f>
        <v>0</v>
      </c>
      <c r="AV32" s="87">
        <f t="shared" si="18"/>
        <v>0</v>
      </c>
      <c r="AW32" t="str">
        <f>AM32</f>
        <v>Pre-Blended Cement</v>
      </c>
      <c r="AX32" s="148">
        <f>'Cement Sources'!AN58</f>
        <v>0</v>
      </c>
      <c r="AY32" s="148">
        <f>'Cement Sources'!AO58</f>
        <v>0</v>
      </c>
      <c r="AZ32" s="148">
        <f>'Cement Sources'!AP58</f>
        <v>0</v>
      </c>
      <c r="BA32" s="148">
        <f>'Cement Sources'!AQ58</f>
        <v>0</v>
      </c>
      <c r="BB32" s="148">
        <f>'Cement Sources'!AR58</f>
        <v>0</v>
      </c>
      <c r="BC32" s="148">
        <f>'Cement Sources'!AS58</f>
        <v>0</v>
      </c>
      <c r="BD32" s="148">
        <f>'Cement Sources'!AT58</f>
        <v>0</v>
      </c>
      <c r="BE32" s="148">
        <f>'Cement Sources'!AU58</f>
        <v>0</v>
      </c>
      <c r="BF32" s="148">
        <f>'Cement Sources'!AV58</f>
        <v>0</v>
      </c>
      <c r="BG32" s="148">
        <f>'Cement Sources'!AW58</f>
        <v>0</v>
      </c>
      <c r="BH32" s="148">
        <f>'Cement Sources'!AX58</f>
        <v>0</v>
      </c>
      <c r="BI32" s="148">
        <f>'Cement Sources'!AY58</f>
        <v>0</v>
      </c>
      <c r="BJ32" s="148">
        <f>'Cement Sources'!AZ58</f>
        <v>0</v>
      </c>
      <c r="BK32" s="148">
        <f>'Cement Sources'!BA58</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IFERROR(INDEX(LCIA_Data,MATCH($AO$15&amp;CM$27,LCIA_Rows_B&amp;LCIA_Rows_C,0),MATCH(CM$26,LCIA_Columns,0)),0)*$AT32*$AI32*$BN$23</f>
        <v>0</v>
      </c>
      <c r="CN32" s="1">
        <f t="array" ref="CN32">IFERROR(INDEX(LCIA_Data,MATCH($AO$15&amp;CN$27,LCIA_Rows_B&amp;LCIA_Rows_C,0),MATCH(CN$26,LCIA_Columns,0)),0)*$AT32*$AI32*$BN$23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IFERROR(INDEX(LCIA_Data,MATCH($AO$15&amp;DA$27,LCIA_Rows_B&amp;LCIA_Rows_C,0),MATCH(DA$26,LCIA_Columns,0)),0)*$AT32*$AJ32*$BN$23</f>
        <v>0</v>
      </c>
      <c r="DB32" s="1">
        <f t="array" ref="DB32">IFERROR(INDEX(LCIA_Data,MATCH($AO$15&amp;DB$27,LCIA_Rows_B&amp;LCIA_Rows_C,0),MATCH(DB$26,LCIA_Columns,0)),0)*$AT32*$AJ32*$BN$23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s="1">
        <f t="array" ref="DO32">IFERROR(INDEX(LCIA_Data,MATCH($AO$15&amp;DO$27,LCIA_Rows_B&amp;LCIA_Rows_C,0),MATCH(DO$26,LCIA_Columns,0)),0)*$AT32*$AK32*$BN$23</f>
        <v>0</v>
      </c>
      <c r="DP32" s="1">
        <f t="array" ref="DP32">IFERROR(INDEX(LCIA_Data,MATCH($AO$15&amp;DP$27,LCIA_Rows_B&amp;LCIA_Rows_C,0),MATCH(DP$26,LCIA_Columns,0)),0)*$AT32*$AK32*$BN$23</f>
        <v>0</v>
      </c>
      <c r="DQ32">
        <f t="shared" si="19"/>
        <v>0</v>
      </c>
      <c r="DR32">
        <f t="shared" si="20"/>
        <v>0</v>
      </c>
      <c r="DS32">
        <f t="shared" si="21"/>
        <v>0</v>
      </c>
      <c r="DT32">
        <f t="shared" si="22"/>
        <v>0</v>
      </c>
      <c r="DU32">
        <f t="shared" si="23"/>
        <v>0</v>
      </c>
      <c r="DV32">
        <f t="shared" si="24"/>
        <v>0</v>
      </c>
      <c r="DW32">
        <f t="shared" si="25"/>
        <v>0</v>
      </c>
      <c r="DX32">
        <f t="shared" si="26"/>
        <v>0</v>
      </c>
      <c r="DY32">
        <f t="shared" si="27"/>
        <v>0</v>
      </c>
      <c r="DZ32">
        <f t="shared" si="28"/>
        <v>0</v>
      </c>
      <c r="EA32">
        <f t="shared" si="29"/>
        <v>0</v>
      </c>
      <c r="EB32">
        <f t="shared" si="30"/>
        <v>0</v>
      </c>
      <c r="EC32">
        <f t="shared" si="30"/>
        <v>0</v>
      </c>
      <c r="ED32">
        <f t="shared" si="31"/>
        <v>0</v>
      </c>
      <c r="EE32"/>
      <c r="EF32"/>
      <c r="EG32"/>
      <c r="EH32"/>
      <c r="EI32"/>
    </row>
    <row r="33" spans="2:139" ht="15" customHeight="1">
      <c r="B33" s="53">
        <f t="shared" si="7"/>
        <v>0</v>
      </c>
      <c r="C33" s="221">
        <f t="shared" si="32"/>
        <v>4</v>
      </c>
      <c r="D33" s="222" t="s">
        <v>62</v>
      </c>
      <c r="E33" s="154"/>
      <c r="F33" s="223" t="str">
        <f t="shared" ref="F33:F41" si="47">MassDisplayUnit</f>
        <v>short ton</v>
      </c>
      <c r="G33" s="224">
        <f>$AV33</f>
        <v>0</v>
      </c>
      <c r="H33" s="225" t="str">
        <f t="shared" si="8"/>
        <v>short ton</v>
      </c>
      <c r="I33" s="150">
        <f t="shared" ref="I33:I65" si="48">IF($G$68=0,0,G33/$G$68)</f>
        <v>0</v>
      </c>
      <c r="J33" s="407"/>
      <c r="K33" s="202"/>
      <c r="L33" s="202"/>
      <c r="M33" s="202"/>
      <c r="N33" s="436" t="s">
        <v>386</v>
      </c>
      <c r="O33" s="408" t="str">
        <f t="shared" si="9"/>
        <v>mile</v>
      </c>
      <c r="X33" s="67">
        <f t="shared" ref="X33:X64" si="49">IF(ISBLANK(E33),0,1) + IF(AND( ISBLANK(J33), ISBLANK(K33), ISBLANK(L33), ISBLANK(M33 )),0,1)</f>
        <v>0</v>
      </c>
      <c r="Y33" s="216">
        <f>IF($X33=2,1,0)</f>
        <v>0</v>
      </c>
      <c r="Z33" s="216">
        <v>1</v>
      </c>
      <c r="AA33" s="216">
        <f t="shared" ref="AA33:AA64" si="50">IF($Y33=0,0,J33)</f>
        <v>0</v>
      </c>
      <c r="AB33" s="216">
        <f t="shared" ref="AB33:AB64" si="51">IF($Y33=0,0,K33)</f>
        <v>0</v>
      </c>
      <c r="AC33" s="216">
        <f t="shared" ref="AC33:AC64" si="52">IF($Y33=0,0,L33)</f>
        <v>0</v>
      </c>
      <c r="AD33" s="216">
        <f t="shared" ref="AD33:AD64" si="53">IF($Y33=0,0,M33)</f>
        <v>0</v>
      </c>
      <c r="AE33" s="217" t="str">
        <f t="shared" si="33"/>
        <v>mile</v>
      </c>
      <c r="AF33" s="217">
        <f t="shared" si="11"/>
        <v>1.6093473468862911</v>
      </c>
      <c r="AG33" s="216" t="str">
        <f t="shared" si="34"/>
        <v>km/mile</v>
      </c>
      <c r="AH33" s="216">
        <f t="shared" si="12"/>
        <v>0</v>
      </c>
      <c r="AI33" s="216">
        <f t="shared" si="12"/>
        <v>0</v>
      </c>
      <c r="AJ33" s="216">
        <f t="shared" si="12"/>
        <v>0</v>
      </c>
      <c r="AK33" s="216">
        <f t="shared" si="12"/>
        <v>0</v>
      </c>
      <c r="AL33" s="216"/>
      <c r="AM33" s="1" t="str">
        <f t="shared" si="13"/>
        <v>Fine Aggregate - natural sand</v>
      </c>
      <c r="AN33" t="s">
        <v>127</v>
      </c>
      <c r="AO33">
        <f t="shared" si="14"/>
        <v>0</v>
      </c>
      <c r="AP33" s="1">
        <f t="shared" si="35"/>
        <v>0</v>
      </c>
      <c r="AQ33" s="1" t="str">
        <f t="shared" si="15"/>
        <v>short ton</v>
      </c>
      <c r="AR33" s="1">
        <f t="shared" si="16"/>
        <v>0.90718499588591606</v>
      </c>
      <c r="AS33" s="87" t="str">
        <f t="shared" ref="AS33:AS67" si="54">$AT$29&amp;"/"&amp;AQ33</f>
        <v>tonne/short ton</v>
      </c>
      <c r="AT33" s="87">
        <f t="shared" ref="AT33:AT67" si="55">AP33*AR33</f>
        <v>0</v>
      </c>
      <c r="AU33" s="87">
        <f t="shared" si="17"/>
        <v>0</v>
      </c>
      <c r="AV33" s="87">
        <f t="shared" si="18"/>
        <v>0</v>
      </c>
      <c r="AW33" t="str">
        <f t="shared" ref="AW33:AW67" si="56">AM33</f>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IFERROR(INDEX(LCIA_Data,MATCH($AO$15&amp;CM$27,LCIA_Rows_B&amp;LCIA_Rows_C,0),MATCH(CM$26,LCIA_Columns,0)),0)*$AT33*$AI33*$BN$23</f>
        <v>0</v>
      </c>
      <c r="CN33" s="1">
        <f t="array" ref="CN33">IFERROR(INDEX(LCIA_Data,MATCH($AO$15&amp;CN$27,LCIA_Rows_B&amp;LCIA_Rows_C,0),MATCH(CN$26,LCIA_Columns,0)),0)*$AT33*$AI33*$BN$23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IFERROR(INDEX(LCIA_Data,MATCH($AO$15&amp;DA$27,LCIA_Rows_B&amp;LCIA_Rows_C,0),MATCH(DA$26,LCIA_Columns,0)),0)*$AT33*$AJ33*$BN$23</f>
        <v>0</v>
      </c>
      <c r="DB33" s="1">
        <f t="array" ref="DB33">IFERROR(INDEX(LCIA_Data,MATCH($AO$15&amp;DB$27,LCIA_Rows_B&amp;LCIA_Rows_C,0),MATCH(DB$26,LCIA_Columns,0)),0)*$AT33*$AJ33*$BN$23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s="1">
        <f t="array" ref="DO33">IFERROR(INDEX(LCIA_Data,MATCH($AO$15&amp;DO$27,LCIA_Rows_B&amp;LCIA_Rows_C,0),MATCH(DO$26,LCIA_Columns,0)),0)*$AT33*$AK33*$BN$23</f>
        <v>0</v>
      </c>
      <c r="DP33" s="1">
        <f t="array" ref="DP33">IFERROR(INDEX(LCIA_Data,MATCH($AO$15&amp;DP$27,LCIA_Rows_B&amp;LCIA_Rows_C,0),MATCH(DP$26,LCIA_Columns,0)),0)*$AT33*$AK33*$BN$23</f>
        <v>0</v>
      </c>
      <c r="DQ33">
        <f t="shared" si="19"/>
        <v>0</v>
      </c>
      <c r="DR33">
        <f t="shared" si="20"/>
        <v>0</v>
      </c>
      <c r="DS33">
        <f t="shared" si="21"/>
        <v>0</v>
      </c>
      <c r="DT33">
        <f t="shared" si="22"/>
        <v>0</v>
      </c>
      <c r="DU33">
        <f t="shared" si="23"/>
        <v>0</v>
      </c>
      <c r="DV33">
        <f t="shared" si="24"/>
        <v>0</v>
      </c>
      <c r="DW33">
        <f t="shared" si="25"/>
        <v>0</v>
      </c>
      <c r="DX33">
        <f t="shared" si="26"/>
        <v>0</v>
      </c>
      <c r="DY33">
        <f t="shared" si="27"/>
        <v>0</v>
      </c>
      <c r="DZ33">
        <f t="shared" si="28"/>
        <v>0</v>
      </c>
      <c r="EA33">
        <f t="shared" si="29"/>
        <v>0</v>
      </c>
      <c r="EB33">
        <f t="shared" si="30"/>
        <v>0</v>
      </c>
      <c r="EC33">
        <f t="shared" si="30"/>
        <v>0</v>
      </c>
      <c r="ED33">
        <f t="shared" si="31"/>
        <v>0</v>
      </c>
      <c r="EE33"/>
      <c r="EF33"/>
      <c r="EG33"/>
      <c r="EH33"/>
      <c r="EI33"/>
    </row>
    <row r="34" spans="2:139" ht="15" customHeight="1">
      <c r="B34" s="53">
        <f t="shared" si="7"/>
        <v>0</v>
      </c>
      <c r="C34" s="26">
        <f t="shared" si="32"/>
        <v>5</v>
      </c>
      <c r="D34" s="46" t="s">
        <v>264</v>
      </c>
      <c r="E34" s="99"/>
      <c r="F34" s="119" t="str">
        <f t="shared" si="47"/>
        <v>short ton</v>
      </c>
      <c r="G34" s="158">
        <f t="shared" ref="G34:G66" si="57">$AV34</f>
        <v>0</v>
      </c>
      <c r="H34" s="204" t="str">
        <f t="shared" si="8"/>
        <v>short ton</v>
      </c>
      <c r="I34" s="150">
        <f t="shared" si="48"/>
        <v>0</v>
      </c>
      <c r="J34" s="201"/>
      <c r="K34" s="201"/>
      <c r="L34" s="202"/>
      <c r="M34" s="202"/>
      <c r="N34" s="436" t="s">
        <v>386</v>
      </c>
      <c r="O34" s="408" t="str">
        <f t="shared" si="9"/>
        <v>mile</v>
      </c>
      <c r="X34" s="67">
        <f t="shared" si="49"/>
        <v>0</v>
      </c>
      <c r="Y34" s="216">
        <f t="shared" ref="Y34:Y64" si="58">IF($X34=2,1,0)</f>
        <v>0</v>
      </c>
      <c r="Z34" s="216">
        <v>1</v>
      </c>
      <c r="AA34" s="216">
        <f t="shared" si="50"/>
        <v>0</v>
      </c>
      <c r="AB34" s="216">
        <f t="shared" si="51"/>
        <v>0</v>
      </c>
      <c r="AC34" s="216">
        <f t="shared" si="52"/>
        <v>0</v>
      </c>
      <c r="AD34" s="216">
        <f t="shared" si="53"/>
        <v>0</v>
      </c>
      <c r="AE34" s="217" t="str">
        <f t="shared" si="33"/>
        <v>mile</v>
      </c>
      <c r="AF34" s="217">
        <f t="shared" si="11"/>
        <v>1.6093473468862911</v>
      </c>
      <c r="AG34" s="216" t="str">
        <f t="shared" si="34"/>
        <v>km/mile</v>
      </c>
      <c r="AH34" s="216">
        <f t="shared" ref="AH34:AH64" si="59">AA34*$AF34</f>
        <v>0</v>
      </c>
      <c r="AI34" s="216">
        <f t="shared" ref="AI34:AI64" si="60">AB34*$AF34</f>
        <v>0</v>
      </c>
      <c r="AJ34" s="216">
        <f t="shared" ref="AJ34:AJ64" si="61">AC34*$AF34</f>
        <v>0</v>
      </c>
      <c r="AK34" s="216">
        <f t="shared" ref="AK34:AK64" si="62">AD34*$AF34</f>
        <v>0</v>
      </c>
      <c r="AL34" s="216"/>
      <c r="AM34" s="1" t="str">
        <f t="shared" si="13"/>
        <v>Fine Aggregate - manufactured</v>
      </c>
      <c r="AN34" t="s">
        <v>127</v>
      </c>
      <c r="AO34">
        <f t="shared" si="14"/>
        <v>0</v>
      </c>
      <c r="AP34" s="1">
        <f t="shared" si="35"/>
        <v>0</v>
      </c>
      <c r="AQ34" s="1" t="str">
        <f t="shared" si="15"/>
        <v>short ton</v>
      </c>
      <c r="AR34" s="1">
        <f t="shared" si="16"/>
        <v>0.90718499588591606</v>
      </c>
      <c r="AS34" s="87" t="str">
        <f t="shared" si="54"/>
        <v>tonne/short ton</v>
      </c>
      <c r="AT34" s="87">
        <f t="shared" si="55"/>
        <v>0</v>
      </c>
      <c r="AU34" s="87">
        <f t="shared" si="17"/>
        <v>0</v>
      </c>
      <c r="AV34" s="87">
        <f t="shared" si="18"/>
        <v>0</v>
      </c>
      <c r="AW34" t="str">
        <f t="shared" si="56"/>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IFERROR(INDEX(LCIA_Data,MATCH($AO$15&amp;CM$27,LCIA_Rows_B&amp;LCIA_Rows_C,0),MATCH(CM$26,LCIA_Columns,0)),0)*$AT34*$AI34*$BN$23</f>
        <v>0</v>
      </c>
      <c r="CN34" s="1">
        <f t="array" ref="CN34">IFERROR(INDEX(LCIA_Data,MATCH($AO$15&amp;CN$27,LCIA_Rows_B&amp;LCIA_Rows_C,0),MATCH(CN$26,LCIA_Columns,0)),0)*$AT34*$AI34*$BN$23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IFERROR(INDEX(LCIA_Data,MATCH($AO$15&amp;DA$27,LCIA_Rows_B&amp;LCIA_Rows_C,0),MATCH(DA$26,LCIA_Columns,0)),0)*$AT34*$AJ34*$BN$23</f>
        <v>0</v>
      </c>
      <c r="DB34" s="1">
        <f t="array" ref="DB34">IFERROR(INDEX(LCIA_Data,MATCH($AO$15&amp;DB$27,LCIA_Rows_B&amp;LCIA_Rows_C,0),MATCH(DB$26,LCIA_Columns,0)),0)*$AT34*$AJ34*$BN$23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s="1">
        <f t="array" ref="DO34">IFERROR(INDEX(LCIA_Data,MATCH($AO$15&amp;DO$27,LCIA_Rows_B&amp;LCIA_Rows_C,0),MATCH(DO$26,LCIA_Columns,0)),0)*$AT34*$AK34*$BN$23</f>
        <v>0</v>
      </c>
      <c r="DP34" s="1">
        <f t="array" ref="DP34">IFERROR(INDEX(LCIA_Data,MATCH($AO$15&amp;DP$27,LCIA_Rows_B&amp;LCIA_Rows_C,0),MATCH(DP$26,LCIA_Columns,0)),0)*$AT34*$AK34*$BN$23</f>
        <v>0</v>
      </c>
      <c r="DQ34">
        <f t="shared" si="19"/>
        <v>0</v>
      </c>
      <c r="DR34">
        <f t="shared" si="20"/>
        <v>0</v>
      </c>
      <c r="DS34">
        <f t="shared" si="21"/>
        <v>0</v>
      </c>
      <c r="DT34">
        <f t="shared" si="22"/>
        <v>0</v>
      </c>
      <c r="DU34">
        <f t="shared" si="23"/>
        <v>0</v>
      </c>
      <c r="DV34">
        <f t="shared" si="24"/>
        <v>0</v>
      </c>
      <c r="DW34">
        <f t="shared" si="25"/>
        <v>0</v>
      </c>
      <c r="DX34">
        <f t="shared" si="26"/>
        <v>0</v>
      </c>
      <c r="DY34">
        <f t="shared" si="27"/>
        <v>0</v>
      </c>
      <c r="DZ34">
        <f t="shared" si="28"/>
        <v>0</v>
      </c>
      <c r="EA34">
        <f t="shared" si="29"/>
        <v>0</v>
      </c>
      <c r="EB34">
        <f t="shared" si="30"/>
        <v>0</v>
      </c>
      <c r="EC34">
        <f t="shared" si="30"/>
        <v>0</v>
      </c>
      <c r="ED34">
        <f t="shared" si="31"/>
        <v>0</v>
      </c>
      <c r="EE34"/>
      <c r="EF34"/>
      <c r="EG34"/>
      <c r="EH34"/>
      <c r="EI34"/>
    </row>
    <row r="35" spans="2:139" ht="15" customHeight="1">
      <c r="B35" s="53">
        <f t="shared" si="7"/>
        <v>0</v>
      </c>
      <c r="C35" s="26">
        <f t="shared" si="32"/>
        <v>6</v>
      </c>
      <c r="D35" s="41" t="s">
        <v>63</v>
      </c>
      <c r="E35" s="99"/>
      <c r="F35" s="119" t="str">
        <f t="shared" si="47"/>
        <v>short ton</v>
      </c>
      <c r="G35" s="158">
        <f t="shared" si="57"/>
        <v>0</v>
      </c>
      <c r="H35" s="204" t="str">
        <f t="shared" si="8"/>
        <v>short ton</v>
      </c>
      <c r="I35" s="150">
        <f t="shared" si="48"/>
        <v>0</v>
      </c>
      <c r="J35" s="201"/>
      <c r="K35" s="201"/>
      <c r="L35" s="202"/>
      <c r="M35" s="202"/>
      <c r="N35" s="436" t="s">
        <v>386</v>
      </c>
      <c r="O35" s="408" t="str">
        <f t="shared" si="9"/>
        <v>mile</v>
      </c>
      <c r="X35" s="67">
        <f t="shared" si="49"/>
        <v>0</v>
      </c>
      <c r="Y35" s="216">
        <f t="shared" si="58"/>
        <v>0</v>
      </c>
      <c r="Z35" s="216">
        <v>1</v>
      </c>
      <c r="AA35" s="216">
        <f t="shared" si="50"/>
        <v>0</v>
      </c>
      <c r="AB35" s="216">
        <f t="shared" si="51"/>
        <v>0</v>
      </c>
      <c r="AC35" s="216">
        <f t="shared" si="52"/>
        <v>0</v>
      </c>
      <c r="AD35" s="216">
        <f t="shared" si="53"/>
        <v>0</v>
      </c>
      <c r="AE35" s="217" t="str">
        <f t="shared" si="33"/>
        <v>mile</v>
      </c>
      <c r="AF35" s="217">
        <f t="shared" si="11"/>
        <v>1.6093473468862911</v>
      </c>
      <c r="AG35" s="216" t="str">
        <f t="shared" si="34"/>
        <v>km/mile</v>
      </c>
      <c r="AH35" s="216">
        <f t="shared" si="59"/>
        <v>0</v>
      </c>
      <c r="AI35" s="216">
        <f t="shared" si="60"/>
        <v>0</v>
      </c>
      <c r="AJ35" s="216">
        <f t="shared" si="61"/>
        <v>0</v>
      </c>
      <c r="AK35" s="216">
        <f t="shared" si="62"/>
        <v>0</v>
      </c>
      <c r="AL35" s="216"/>
      <c r="AM35" s="1" t="str">
        <f t="shared" si="13"/>
        <v>Coarse Aggregate - natural gravel</v>
      </c>
      <c r="AN35" t="s">
        <v>127</v>
      </c>
      <c r="AO35">
        <f t="shared" si="14"/>
        <v>0</v>
      </c>
      <c r="AP35" s="1">
        <f t="shared" si="35"/>
        <v>0</v>
      </c>
      <c r="AQ35" s="1" t="str">
        <f t="shared" si="15"/>
        <v>short ton</v>
      </c>
      <c r="AR35" s="1">
        <f t="shared" si="16"/>
        <v>0.90718499588591606</v>
      </c>
      <c r="AS35" s="87" t="str">
        <f t="shared" si="54"/>
        <v>tonne/short ton</v>
      </c>
      <c r="AT35" s="87">
        <f t="shared" si="55"/>
        <v>0</v>
      </c>
      <c r="AU35" s="87">
        <f t="shared" si="17"/>
        <v>0</v>
      </c>
      <c r="AV35" s="87">
        <f t="shared" si="18"/>
        <v>0</v>
      </c>
      <c r="AW35" t="str">
        <f t="shared" si="56"/>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IFERROR(INDEX(LCIA_Data,MATCH($AO$15&amp;CM$27,LCIA_Rows_B&amp;LCIA_Rows_C,0),MATCH(CM$26,LCIA_Columns,0)),0)*$AT35*$AI35*$BN$23</f>
        <v>0</v>
      </c>
      <c r="CN35" s="1">
        <f t="array" ref="CN35">IFERROR(INDEX(LCIA_Data,MATCH($AO$15&amp;CN$27,LCIA_Rows_B&amp;LCIA_Rows_C,0),MATCH(CN$26,LCIA_Columns,0)),0)*$AT35*$AI35*$BN$23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IFERROR(INDEX(LCIA_Data,MATCH($AO$15&amp;DA$27,LCIA_Rows_B&amp;LCIA_Rows_C,0),MATCH(DA$26,LCIA_Columns,0)),0)*$AT35*$AJ35*$BN$23</f>
        <v>0</v>
      </c>
      <c r="DB35" s="1">
        <f t="array" ref="DB35">IFERROR(INDEX(LCIA_Data,MATCH($AO$15&amp;DB$27,LCIA_Rows_B&amp;LCIA_Rows_C,0),MATCH(DB$26,LCIA_Columns,0)),0)*$AT35*$AJ35*$BN$23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s="1">
        <f t="array" ref="DO35">IFERROR(INDEX(LCIA_Data,MATCH($AO$15&amp;DO$27,LCIA_Rows_B&amp;LCIA_Rows_C,0),MATCH(DO$26,LCIA_Columns,0)),0)*$AT35*$AK35*$BN$23</f>
        <v>0</v>
      </c>
      <c r="DP35" s="1">
        <f t="array" ref="DP35">IFERROR(INDEX(LCIA_Data,MATCH($AO$15&amp;DP$27,LCIA_Rows_B&amp;LCIA_Rows_C,0),MATCH(DP$26,LCIA_Columns,0)),0)*$AT35*$AK35*$BN$23</f>
        <v>0</v>
      </c>
      <c r="DQ35">
        <f t="shared" si="19"/>
        <v>0</v>
      </c>
      <c r="DR35">
        <f t="shared" si="20"/>
        <v>0</v>
      </c>
      <c r="DS35">
        <f t="shared" si="21"/>
        <v>0</v>
      </c>
      <c r="DT35">
        <f t="shared" si="22"/>
        <v>0</v>
      </c>
      <c r="DU35">
        <f t="shared" si="23"/>
        <v>0</v>
      </c>
      <c r="DV35">
        <f t="shared" si="24"/>
        <v>0</v>
      </c>
      <c r="DW35">
        <f t="shared" si="25"/>
        <v>0</v>
      </c>
      <c r="DX35">
        <f t="shared" si="26"/>
        <v>0</v>
      </c>
      <c r="DY35">
        <f t="shared" si="27"/>
        <v>0</v>
      </c>
      <c r="DZ35">
        <f t="shared" si="28"/>
        <v>0</v>
      </c>
      <c r="EA35">
        <f t="shared" si="29"/>
        <v>0</v>
      </c>
      <c r="EB35">
        <f t="shared" si="30"/>
        <v>0</v>
      </c>
      <c r="EC35">
        <f t="shared" si="30"/>
        <v>0</v>
      </c>
      <c r="ED35">
        <f t="shared" si="31"/>
        <v>0</v>
      </c>
      <c r="EE35"/>
      <c r="EF35"/>
      <c r="EG35"/>
      <c r="EH35"/>
      <c r="EI35"/>
    </row>
    <row r="36" spans="2:139" ht="15" customHeight="1">
      <c r="B36" s="53">
        <f t="shared" si="7"/>
        <v>0</v>
      </c>
      <c r="C36" s="26">
        <f t="shared" si="32"/>
        <v>7</v>
      </c>
      <c r="D36" s="41" t="s">
        <v>328</v>
      </c>
      <c r="E36" s="99"/>
      <c r="F36" s="119" t="str">
        <f t="shared" si="47"/>
        <v>short ton</v>
      </c>
      <c r="G36" s="158">
        <f t="shared" si="57"/>
        <v>0</v>
      </c>
      <c r="H36" s="204" t="str">
        <f t="shared" si="8"/>
        <v>short ton</v>
      </c>
      <c r="I36" s="150">
        <f t="shared" si="48"/>
        <v>0</v>
      </c>
      <c r="J36" s="201"/>
      <c r="K36" s="201"/>
      <c r="L36" s="202"/>
      <c r="M36" s="202"/>
      <c r="N36" s="436" t="s">
        <v>386</v>
      </c>
      <c r="O36" s="408" t="str">
        <f t="shared" si="9"/>
        <v>mile</v>
      </c>
      <c r="X36" s="67">
        <f t="shared" si="49"/>
        <v>0</v>
      </c>
      <c r="Y36" s="216">
        <f t="shared" si="58"/>
        <v>0</v>
      </c>
      <c r="Z36" s="216">
        <v>1</v>
      </c>
      <c r="AA36" s="216">
        <f t="shared" si="50"/>
        <v>0</v>
      </c>
      <c r="AB36" s="216">
        <f t="shared" si="51"/>
        <v>0</v>
      </c>
      <c r="AC36" s="216">
        <f t="shared" si="52"/>
        <v>0</v>
      </c>
      <c r="AD36" s="216">
        <f t="shared" si="53"/>
        <v>0</v>
      </c>
      <c r="AE36" s="217" t="str">
        <f t="shared" si="33"/>
        <v>mile</v>
      </c>
      <c r="AF36" s="217">
        <f t="shared" si="11"/>
        <v>1.6093473468862911</v>
      </c>
      <c r="AG36" s="216" t="str">
        <f t="shared" si="34"/>
        <v>km/mile</v>
      </c>
      <c r="AH36" s="216">
        <f t="shared" si="59"/>
        <v>0</v>
      </c>
      <c r="AI36" s="216">
        <f t="shared" si="60"/>
        <v>0</v>
      </c>
      <c r="AJ36" s="216">
        <f t="shared" si="61"/>
        <v>0</v>
      </c>
      <c r="AK36" s="216">
        <f t="shared" si="62"/>
        <v>0</v>
      </c>
      <c r="AL36" s="216"/>
      <c r="AM36" s="1" t="str">
        <f t="shared" si="13"/>
        <v>Coarse Aggregate - crushed</v>
      </c>
      <c r="AN36" t="s">
        <v>127</v>
      </c>
      <c r="AO36">
        <f t="shared" si="14"/>
        <v>0</v>
      </c>
      <c r="AP36" s="1">
        <f t="shared" si="35"/>
        <v>0</v>
      </c>
      <c r="AQ36" s="1" t="str">
        <f t="shared" si="15"/>
        <v>short ton</v>
      </c>
      <c r="AR36" s="1">
        <f t="shared" si="16"/>
        <v>0.90718499588591606</v>
      </c>
      <c r="AS36" s="87" t="str">
        <f t="shared" si="54"/>
        <v>tonne/short ton</v>
      </c>
      <c r="AT36" s="87">
        <f t="shared" si="55"/>
        <v>0</v>
      </c>
      <c r="AU36" s="87">
        <f t="shared" si="17"/>
        <v>0</v>
      </c>
      <c r="AV36" s="87">
        <f t="shared" si="18"/>
        <v>0</v>
      </c>
      <c r="AW36" t="str">
        <f t="shared" si="56"/>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IFERROR(INDEX(LCIA_Data,MATCH($AO$15&amp;CM$27,LCIA_Rows_B&amp;LCIA_Rows_C,0),MATCH(CM$26,LCIA_Columns,0)),0)*$AT36*$AI36*$BN$23</f>
        <v>0</v>
      </c>
      <c r="CN36" s="1">
        <f t="array" ref="CN36">IFERROR(INDEX(LCIA_Data,MATCH($AO$15&amp;CN$27,LCIA_Rows_B&amp;LCIA_Rows_C,0),MATCH(CN$26,LCIA_Columns,0)),0)*$AT36*$AI36*$BN$23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IFERROR(INDEX(LCIA_Data,MATCH($AO$15&amp;DA$27,LCIA_Rows_B&amp;LCIA_Rows_C,0),MATCH(DA$26,LCIA_Columns,0)),0)*$AT36*$AJ36*$BN$23</f>
        <v>0</v>
      </c>
      <c r="DB36" s="1">
        <f t="array" ref="DB36">IFERROR(INDEX(LCIA_Data,MATCH($AO$15&amp;DB$27,LCIA_Rows_B&amp;LCIA_Rows_C,0),MATCH(DB$26,LCIA_Columns,0)),0)*$AT36*$AJ36*$BN$23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s="1">
        <f t="array" ref="DO36">IFERROR(INDEX(LCIA_Data,MATCH($AO$15&amp;DO$27,LCIA_Rows_B&amp;LCIA_Rows_C,0),MATCH(DO$26,LCIA_Columns,0)),0)*$AT36*$AK36*$BN$23</f>
        <v>0</v>
      </c>
      <c r="DP36" s="1">
        <f t="array" ref="DP36">IFERROR(INDEX(LCIA_Data,MATCH($AO$15&amp;DP$27,LCIA_Rows_B&amp;LCIA_Rows_C,0),MATCH(DP$26,LCIA_Columns,0)),0)*$AT36*$AK36*$BN$23</f>
        <v>0</v>
      </c>
      <c r="DQ36">
        <f t="shared" si="19"/>
        <v>0</v>
      </c>
      <c r="DR36">
        <f t="shared" si="20"/>
        <v>0</v>
      </c>
      <c r="DS36">
        <f t="shared" si="21"/>
        <v>0</v>
      </c>
      <c r="DT36">
        <f t="shared" si="22"/>
        <v>0</v>
      </c>
      <c r="DU36">
        <f t="shared" si="23"/>
        <v>0</v>
      </c>
      <c r="DV36">
        <f t="shared" si="24"/>
        <v>0</v>
      </c>
      <c r="DW36">
        <f t="shared" si="25"/>
        <v>0</v>
      </c>
      <c r="DX36">
        <f t="shared" si="26"/>
        <v>0</v>
      </c>
      <c r="DY36">
        <f t="shared" si="27"/>
        <v>0</v>
      </c>
      <c r="DZ36">
        <f t="shared" si="28"/>
        <v>0</v>
      </c>
      <c r="EA36">
        <f t="shared" si="29"/>
        <v>0</v>
      </c>
      <c r="EB36">
        <f t="shared" si="30"/>
        <v>0</v>
      </c>
      <c r="EC36">
        <f t="shared" si="30"/>
        <v>0</v>
      </c>
      <c r="ED36">
        <f t="shared" si="31"/>
        <v>0</v>
      </c>
      <c r="EE36"/>
      <c r="EF36"/>
      <c r="EG36"/>
      <c r="EH36"/>
      <c r="EI36"/>
    </row>
    <row r="37" spans="2:139" ht="15" customHeight="1">
      <c r="B37" s="53">
        <f>X37</f>
        <v>0</v>
      </c>
      <c r="C37" s="26">
        <f t="shared" si="32"/>
        <v>8</v>
      </c>
      <c r="D37" s="41" t="s">
        <v>457</v>
      </c>
      <c r="E37" s="99"/>
      <c r="F37" s="119" t="str">
        <f t="shared" si="47"/>
        <v>short ton</v>
      </c>
      <c r="G37" s="158">
        <f t="shared" si="57"/>
        <v>0</v>
      </c>
      <c r="H37" s="204" t="str">
        <f t="shared" si="8"/>
        <v>short ton</v>
      </c>
      <c r="I37" s="150">
        <f t="shared" si="48"/>
        <v>0</v>
      </c>
      <c r="J37" s="201"/>
      <c r="K37" s="201"/>
      <c r="L37" s="202"/>
      <c r="M37" s="202"/>
      <c r="N37" s="436" t="s">
        <v>386</v>
      </c>
      <c r="O37" s="408" t="str">
        <f t="shared" si="9"/>
        <v>mile</v>
      </c>
      <c r="X37" s="67">
        <f t="shared" si="49"/>
        <v>0</v>
      </c>
      <c r="Y37" s="216">
        <f t="shared" si="58"/>
        <v>0</v>
      </c>
      <c r="Z37" s="216">
        <v>2</v>
      </c>
      <c r="AA37" s="216">
        <f t="shared" si="50"/>
        <v>0</v>
      </c>
      <c r="AB37" s="216">
        <f t="shared" si="51"/>
        <v>0</v>
      </c>
      <c r="AC37" s="216">
        <f t="shared" si="52"/>
        <v>0</v>
      </c>
      <c r="AD37" s="216">
        <f t="shared" si="53"/>
        <v>0</v>
      </c>
      <c r="AE37" s="217" t="str">
        <f t="shared" si="33"/>
        <v>mile</v>
      </c>
      <c r="AF37" s="217">
        <f t="shared" si="11"/>
        <v>1.6093473468862911</v>
      </c>
      <c r="AG37" s="216" t="str">
        <f t="shared" si="34"/>
        <v>km/mile</v>
      </c>
      <c r="AH37" s="216">
        <f t="shared" si="59"/>
        <v>0</v>
      </c>
      <c r="AI37" s="216">
        <f t="shared" si="60"/>
        <v>0</v>
      </c>
      <c r="AJ37" s="216">
        <f t="shared" si="61"/>
        <v>0</v>
      </c>
      <c r="AK37" s="216">
        <f t="shared" si="62"/>
        <v>0</v>
      </c>
      <c r="AL37" s="216"/>
      <c r="AM37" s="1" t="str">
        <f t="shared" si="13"/>
        <v>Manufactured Lightweight Aggregate</v>
      </c>
      <c r="AN37" t="s">
        <v>127</v>
      </c>
      <c r="AO37">
        <f>VLOOKUP(AM37,Material_Densities,2,FALSE)</f>
        <v>0</v>
      </c>
      <c r="AP37" s="1">
        <f t="shared" si="35"/>
        <v>0</v>
      </c>
      <c r="AQ37" s="1" t="str">
        <f t="shared" si="15"/>
        <v>short ton</v>
      </c>
      <c r="AR37" s="1">
        <f t="shared" si="16"/>
        <v>0.90718499588591606</v>
      </c>
      <c r="AS37" s="87" t="str">
        <f>$AT$29&amp;"/"&amp;AQ37</f>
        <v>tonne/short ton</v>
      </c>
      <c r="AT37" s="87">
        <f>AP37*AR37</f>
        <v>0</v>
      </c>
      <c r="AU37" s="87">
        <f>INDEX(Conversion_Table,MATCH($AT$29,Conversion_Rows,0),MATCH($AU$29,Conversion_Columns,0))*AT37</f>
        <v>0</v>
      </c>
      <c r="AV37" s="87">
        <f t="shared" si="18"/>
        <v>0</v>
      </c>
      <c r="AW37" t="str">
        <f>AM37</f>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IFERROR(INDEX(LCIA_Data,MATCH($AO$15&amp;CM$27,LCIA_Rows_B&amp;LCIA_Rows_C,0),MATCH(CM$26,LCIA_Columns,0)),0)*$AT37*$AI37*$BN$23</f>
        <v>0</v>
      </c>
      <c r="CN37" s="1">
        <f t="array" ref="CN37">IFERROR(INDEX(LCIA_Data,MATCH($AO$15&amp;CN$27,LCIA_Rows_B&amp;LCIA_Rows_C,0),MATCH(CN$26,LCIA_Columns,0)),0)*$AT37*$AI37*$BN$23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IFERROR(INDEX(LCIA_Data,MATCH($AO$15&amp;DA$27,LCIA_Rows_B&amp;LCIA_Rows_C,0),MATCH(DA$26,LCIA_Columns,0)),0)*$AT37*$AJ37*$BN$23</f>
        <v>0</v>
      </c>
      <c r="DB37" s="1">
        <f t="array" ref="DB37">IFERROR(INDEX(LCIA_Data,MATCH($AO$15&amp;DB$27,LCIA_Rows_B&amp;LCIA_Rows_C,0),MATCH(DB$26,LCIA_Columns,0)),0)*$AT37*$AJ37*$BN$23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s="1">
        <f t="array" ref="DO37">IFERROR(INDEX(LCIA_Data,MATCH($AO$15&amp;DO$27,LCIA_Rows_B&amp;LCIA_Rows_C,0),MATCH(DO$26,LCIA_Columns,0)),0)*$AT37*$AK37*$BN$23</f>
        <v>0</v>
      </c>
      <c r="DP37" s="1">
        <f t="array" ref="DP37">IFERROR(INDEX(LCIA_Data,MATCH($AO$15&amp;DP$27,LCIA_Rows_B&amp;LCIA_Rows_C,0),MATCH(DP$26,LCIA_Columns,0)),0)*$AT37*$AK37*$BN$23</f>
        <v>0</v>
      </c>
      <c r="DQ37">
        <f t="shared" si="19"/>
        <v>0</v>
      </c>
      <c r="DR37">
        <f t="shared" si="20"/>
        <v>0</v>
      </c>
      <c r="DS37">
        <f t="shared" si="21"/>
        <v>0</v>
      </c>
      <c r="DT37">
        <f t="shared" si="22"/>
        <v>0</v>
      </c>
      <c r="DU37">
        <f t="shared" si="23"/>
        <v>0</v>
      </c>
      <c r="DV37">
        <f t="shared" si="24"/>
        <v>0</v>
      </c>
      <c r="DW37">
        <f t="shared" si="25"/>
        <v>0</v>
      </c>
      <c r="DX37">
        <f t="shared" si="26"/>
        <v>0</v>
      </c>
      <c r="DY37">
        <f t="shared" si="27"/>
        <v>0</v>
      </c>
      <c r="DZ37">
        <f t="shared" si="28"/>
        <v>0</v>
      </c>
      <c r="EA37">
        <f t="shared" si="29"/>
        <v>0</v>
      </c>
      <c r="EB37">
        <f t="shared" si="30"/>
        <v>0</v>
      </c>
      <c r="EC37">
        <f t="shared" si="30"/>
        <v>0</v>
      </c>
      <c r="ED37">
        <f t="shared" si="31"/>
        <v>0</v>
      </c>
      <c r="EE37"/>
      <c r="EF37"/>
      <c r="EG37"/>
      <c r="EH37"/>
      <c r="EI37"/>
    </row>
    <row r="38" spans="2:139" ht="15" customHeight="1">
      <c r="B38" s="53">
        <f>X38</f>
        <v>0</v>
      </c>
      <c r="C38" s="233">
        <f t="shared" si="32"/>
        <v>9</v>
      </c>
      <c r="D38" s="234" t="s">
        <v>458</v>
      </c>
      <c r="E38" s="101"/>
      <c r="F38" s="235" t="str">
        <f t="shared" si="47"/>
        <v>short ton</v>
      </c>
      <c r="G38" s="236">
        <f t="shared" si="57"/>
        <v>0</v>
      </c>
      <c r="H38" s="237" t="str">
        <f t="shared" si="8"/>
        <v>short ton</v>
      </c>
      <c r="I38" s="238">
        <f t="shared" si="48"/>
        <v>0</v>
      </c>
      <c r="J38" s="239"/>
      <c r="K38" s="239"/>
      <c r="L38" s="239"/>
      <c r="M38" s="239"/>
      <c r="N38" s="438" t="s">
        <v>386</v>
      </c>
      <c r="O38" s="409" t="str">
        <f t="shared" si="9"/>
        <v>mile</v>
      </c>
      <c r="X38" s="67">
        <f t="shared" si="49"/>
        <v>0</v>
      </c>
      <c r="Y38" s="216">
        <f t="shared" si="58"/>
        <v>0</v>
      </c>
      <c r="Z38" s="216">
        <v>2</v>
      </c>
      <c r="AA38" s="216">
        <f t="shared" si="50"/>
        <v>0</v>
      </c>
      <c r="AB38" s="216">
        <f t="shared" si="51"/>
        <v>0</v>
      </c>
      <c r="AC38" s="216">
        <f t="shared" si="52"/>
        <v>0</v>
      </c>
      <c r="AD38" s="216">
        <f t="shared" si="53"/>
        <v>0</v>
      </c>
      <c r="AE38" s="217" t="str">
        <f t="shared" si="33"/>
        <v>mile</v>
      </c>
      <c r="AF38" s="217">
        <f t="shared" si="11"/>
        <v>1.6093473468862911</v>
      </c>
      <c r="AG38" s="216" t="str">
        <f t="shared" si="34"/>
        <v>km/mile</v>
      </c>
      <c r="AH38" s="216">
        <f t="shared" si="59"/>
        <v>0</v>
      </c>
      <c r="AI38" s="216">
        <f t="shared" si="60"/>
        <v>0</v>
      </c>
      <c r="AJ38" s="216">
        <f t="shared" si="61"/>
        <v>0</v>
      </c>
      <c r="AK38" s="216">
        <f t="shared" si="62"/>
        <v>0</v>
      </c>
      <c r="AL38" s="216"/>
      <c r="AM38" s="1" t="str">
        <f t="shared" si="13"/>
        <v>Natural Lightweight Aggregate</v>
      </c>
      <c r="AN38" t="s">
        <v>127</v>
      </c>
      <c r="AO38">
        <f>VLOOKUP(AM38,Material_Densities,2,FALSE)</f>
        <v>0</v>
      </c>
      <c r="AP38" s="1">
        <f t="shared" si="35"/>
        <v>0</v>
      </c>
      <c r="AQ38" s="1" t="str">
        <f t="shared" si="15"/>
        <v>short ton</v>
      </c>
      <c r="AR38" s="1">
        <f t="shared" si="16"/>
        <v>0.90718499588591606</v>
      </c>
      <c r="AS38" s="87" t="str">
        <f>$AT$29&amp;"/"&amp;AQ38</f>
        <v>tonne/short ton</v>
      </c>
      <c r="AT38" s="87">
        <f>AP38*AR38</f>
        <v>0</v>
      </c>
      <c r="AU38" s="87">
        <f>INDEX(Conversion_Table,MATCH($AT$29,Conversion_Rows,0),MATCH($AU$29,Conversion_Columns,0))*AT38</f>
        <v>0</v>
      </c>
      <c r="AV38" s="87">
        <f t="shared" si="18"/>
        <v>0</v>
      </c>
      <c r="AW38" t="str">
        <f>AM38</f>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IFERROR(INDEX(LCIA_Data,MATCH($AO$15&amp;CM$27,LCIA_Rows_B&amp;LCIA_Rows_C,0),MATCH(CM$26,LCIA_Columns,0)),0)*$AT38*$AI38*$BN$23</f>
        <v>0</v>
      </c>
      <c r="CN38" s="1">
        <f t="array" ref="CN38">IFERROR(INDEX(LCIA_Data,MATCH($AO$15&amp;CN$27,LCIA_Rows_B&amp;LCIA_Rows_C,0),MATCH(CN$26,LCIA_Columns,0)),0)*$AT38*$AI38*$BN$23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IFERROR(INDEX(LCIA_Data,MATCH($AO$15&amp;DA$27,LCIA_Rows_B&amp;LCIA_Rows_C,0),MATCH(DA$26,LCIA_Columns,0)),0)*$AT38*$AJ38*$BN$23</f>
        <v>0</v>
      </c>
      <c r="DB38" s="1">
        <f t="array" ref="DB38">IFERROR(INDEX(LCIA_Data,MATCH($AO$15&amp;DB$27,LCIA_Rows_B&amp;LCIA_Rows_C,0),MATCH(DB$26,LCIA_Columns,0)),0)*$AT38*$AJ38*$BN$23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s="1">
        <f t="array" ref="DO38">IFERROR(INDEX(LCIA_Data,MATCH($AO$15&amp;DO$27,LCIA_Rows_B&amp;LCIA_Rows_C,0),MATCH(DO$26,LCIA_Columns,0)),0)*$AT38*$AK38*$BN$23</f>
        <v>0</v>
      </c>
      <c r="DP38" s="1">
        <f t="array" ref="DP38">IFERROR(INDEX(LCIA_Data,MATCH($AO$15&amp;DP$27,LCIA_Rows_B&amp;LCIA_Rows_C,0),MATCH(DP$26,LCIA_Columns,0)),0)*$AT38*$AK38*$BN$23</f>
        <v>0</v>
      </c>
      <c r="DQ38">
        <f t="shared" si="19"/>
        <v>0</v>
      </c>
      <c r="DR38">
        <f t="shared" si="20"/>
        <v>0</v>
      </c>
      <c r="DS38">
        <f t="shared" si="21"/>
        <v>0</v>
      </c>
      <c r="DT38">
        <f t="shared" si="22"/>
        <v>0</v>
      </c>
      <c r="DU38">
        <f t="shared" si="23"/>
        <v>0</v>
      </c>
      <c r="DV38">
        <f t="shared" si="24"/>
        <v>0</v>
      </c>
      <c r="DW38">
        <f t="shared" si="25"/>
        <v>0</v>
      </c>
      <c r="DX38">
        <f t="shared" si="26"/>
        <v>0</v>
      </c>
      <c r="DY38">
        <f t="shared" si="27"/>
        <v>0</v>
      </c>
      <c r="DZ38">
        <f t="shared" si="28"/>
        <v>0</v>
      </c>
      <c r="EA38">
        <f t="shared" si="29"/>
        <v>0</v>
      </c>
      <c r="EB38">
        <f t="shared" si="30"/>
        <v>0</v>
      </c>
      <c r="EC38">
        <f t="shared" si="30"/>
        <v>0</v>
      </c>
      <c r="ED38">
        <f t="shared" si="31"/>
        <v>0</v>
      </c>
      <c r="EE38"/>
      <c r="EF38"/>
      <c r="EG38"/>
      <c r="EH38"/>
      <c r="EI38"/>
    </row>
    <row r="39" spans="2:139" ht="15" customHeight="1">
      <c r="B39" s="53">
        <f t="shared" si="7"/>
        <v>0</v>
      </c>
      <c r="C39" s="26">
        <f t="shared" si="32"/>
        <v>10</v>
      </c>
      <c r="D39" s="46" t="s">
        <v>60</v>
      </c>
      <c r="E39" s="99"/>
      <c r="F39" s="119" t="str">
        <f t="shared" si="47"/>
        <v>short ton</v>
      </c>
      <c r="G39" s="158">
        <f t="shared" si="57"/>
        <v>0</v>
      </c>
      <c r="H39" s="204" t="str">
        <f t="shared" si="8"/>
        <v>short ton</v>
      </c>
      <c r="I39" s="241">
        <f t="shared" si="48"/>
        <v>0</v>
      </c>
      <c r="J39" s="201"/>
      <c r="K39" s="201"/>
      <c r="L39" s="201"/>
      <c r="M39" s="201"/>
      <c r="N39" s="439" t="s">
        <v>386</v>
      </c>
      <c r="O39" s="410" t="s">
        <v>29</v>
      </c>
      <c r="X39" s="67">
        <f t="shared" si="49"/>
        <v>0</v>
      </c>
      <c r="Y39" s="216">
        <f t="shared" si="58"/>
        <v>0</v>
      </c>
      <c r="Z39" s="216">
        <v>1</v>
      </c>
      <c r="AA39" s="216">
        <f t="shared" si="50"/>
        <v>0</v>
      </c>
      <c r="AB39" s="216">
        <f t="shared" si="51"/>
        <v>0</v>
      </c>
      <c r="AC39" s="216">
        <f t="shared" si="52"/>
        <v>0</v>
      </c>
      <c r="AD39" s="216">
        <f t="shared" si="53"/>
        <v>0</v>
      </c>
      <c r="AE39" s="217" t="str">
        <f t="shared" si="33"/>
        <v>mile</v>
      </c>
      <c r="AF39" s="217">
        <f t="shared" si="11"/>
        <v>1.6093473468862911</v>
      </c>
      <c r="AG39" s="216" t="str">
        <f t="shared" si="34"/>
        <v>km/mile</v>
      </c>
      <c r="AH39" s="216">
        <f t="shared" si="59"/>
        <v>0</v>
      </c>
      <c r="AI39" s="216">
        <f t="shared" si="60"/>
        <v>0</v>
      </c>
      <c r="AJ39" s="216">
        <f t="shared" si="61"/>
        <v>0</v>
      </c>
      <c r="AK39" s="216">
        <f t="shared" si="62"/>
        <v>0</v>
      </c>
      <c r="AL39" s="216"/>
      <c r="AM39" s="1" t="str">
        <f t="shared" si="13"/>
        <v>SCMs - Fly Ash</v>
      </c>
      <c r="AN39" t="s">
        <v>127</v>
      </c>
      <c r="AO39">
        <f t="shared" si="14"/>
        <v>0</v>
      </c>
      <c r="AP39" s="1">
        <f t="shared" si="35"/>
        <v>0</v>
      </c>
      <c r="AQ39" s="1" t="str">
        <f t="shared" si="15"/>
        <v>short ton</v>
      </c>
      <c r="AR39" s="1">
        <f t="shared" si="16"/>
        <v>0.90718499588591606</v>
      </c>
      <c r="AS39" s="87" t="str">
        <f t="shared" si="54"/>
        <v>tonne/short ton</v>
      </c>
      <c r="AT39" s="87">
        <f t="shared" si="55"/>
        <v>0</v>
      </c>
      <c r="AU39" s="87">
        <f t="shared" si="17"/>
        <v>0</v>
      </c>
      <c r="AV39" s="87">
        <f t="shared" si="18"/>
        <v>0</v>
      </c>
      <c r="AW39" t="str">
        <f t="shared" si="56"/>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IFERROR(INDEX(LCIA_Data,MATCH($AO$15&amp;CM$27,LCIA_Rows_B&amp;LCIA_Rows_C,0),MATCH(CM$26,LCIA_Columns,0)),0)*$AT39*$AI39*$BN$23</f>
        <v>0</v>
      </c>
      <c r="CN39" s="1">
        <f t="array" ref="CN39">IFERROR(INDEX(LCIA_Data,MATCH($AO$15&amp;CN$27,LCIA_Rows_B&amp;LCIA_Rows_C,0),MATCH(CN$26,LCIA_Columns,0)),0)*$AT39*$AI39*$BN$23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IFERROR(INDEX(LCIA_Data,MATCH($AO$15&amp;DA$27,LCIA_Rows_B&amp;LCIA_Rows_C,0),MATCH(DA$26,LCIA_Columns,0)),0)*$AT39*$AJ39*$BN$23</f>
        <v>0</v>
      </c>
      <c r="DB39" s="1">
        <f t="array" ref="DB39">IFERROR(INDEX(LCIA_Data,MATCH($AO$15&amp;DB$27,LCIA_Rows_B&amp;LCIA_Rows_C,0),MATCH(DB$26,LCIA_Columns,0)),0)*$AT39*$AJ39*$BN$23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s="1">
        <f t="array" ref="DO39">IFERROR(INDEX(LCIA_Data,MATCH($AO$15&amp;DO$27,LCIA_Rows_B&amp;LCIA_Rows_C,0),MATCH(DO$26,LCIA_Columns,0)),0)*$AT39*$AK39*$BN$23</f>
        <v>0</v>
      </c>
      <c r="DP39" s="1">
        <f t="array" ref="DP39">IFERROR(INDEX(LCIA_Data,MATCH($AO$15&amp;DP$27,LCIA_Rows_B&amp;LCIA_Rows_C,0),MATCH(DP$26,LCIA_Columns,0)),0)*$AT39*$AK39*$BN$23</f>
        <v>0</v>
      </c>
      <c r="DQ39">
        <f t="shared" si="19"/>
        <v>0</v>
      </c>
      <c r="DR39">
        <f t="shared" si="20"/>
        <v>0</v>
      </c>
      <c r="DS39">
        <f t="shared" si="21"/>
        <v>0</v>
      </c>
      <c r="DT39">
        <f t="shared" si="22"/>
        <v>0</v>
      </c>
      <c r="DU39">
        <f t="shared" si="23"/>
        <v>0</v>
      </c>
      <c r="DV39">
        <f t="shared" si="24"/>
        <v>0</v>
      </c>
      <c r="DW39">
        <f t="shared" si="25"/>
        <v>0</v>
      </c>
      <c r="DX39">
        <f t="shared" si="26"/>
        <v>0</v>
      </c>
      <c r="DY39">
        <f t="shared" si="27"/>
        <v>0</v>
      </c>
      <c r="DZ39">
        <f t="shared" si="28"/>
        <v>0</v>
      </c>
      <c r="EA39">
        <f t="shared" si="29"/>
        <v>0</v>
      </c>
      <c r="EB39">
        <f t="shared" si="30"/>
        <v>0</v>
      </c>
      <c r="EC39">
        <f t="shared" si="30"/>
        <v>0</v>
      </c>
      <c r="ED39">
        <f t="shared" si="31"/>
        <v>0</v>
      </c>
      <c r="EE39"/>
      <c r="EF39"/>
      <c r="EG39"/>
      <c r="EH39"/>
      <c r="EI39"/>
    </row>
    <row r="40" spans="2:139" ht="15" customHeight="1">
      <c r="B40" s="53">
        <f t="shared" si="7"/>
        <v>0</v>
      </c>
      <c r="C40" s="26">
        <f t="shared" si="32"/>
        <v>11</v>
      </c>
      <c r="D40" s="46" t="s">
        <v>61</v>
      </c>
      <c r="E40" s="99"/>
      <c r="F40" s="119" t="str">
        <f t="shared" si="47"/>
        <v>short ton</v>
      </c>
      <c r="G40" s="158">
        <f t="shared" si="57"/>
        <v>0</v>
      </c>
      <c r="H40" s="204" t="str">
        <f t="shared" si="8"/>
        <v>short ton</v>
      </c>
      <c r="I40" s="150">
        <f t="shared" si="48"/>
        <v>0</v>
      </c>
      <c r="J40" s="201"/>
      <c r="K40" s="201"/>
      <c r="L40" s="202"/>
      <c r="M40" s="202"/>
      <c r="N40" s="436" t="s">
        <v>386</v>
      </c>
      <c r="O40" s="408" t="str">
        <f t="shared" si="9"/>
        <v>mile</v>
      </c>
      <c r="X40" s="67">
        <f t="shared" si="49"/>
        <v>0</v>
      </c>
      <c r="Y40" s="216">
        <f t="shared" si="58"/>
        <v>0</v>
      </c>
      <c r="Z40" s="216">
        <v>1</v>
      </c>
      <c r="AA40" s="216">
        <f t="shared" si="50"/>
        <v>0</v>
      </c>
      <c r="AB40" s="216">
        <f t="shared" si="51"/>
        <v>0</v>
      </c>
      <c r="AC40" s="216">
        <f t="shared" si="52"/>
        <v>0</v>
      </c>
      <c r="AD40" s="216">
        <f t="shared" si="53"/>
        <v>0</v>
      </c>
      <c r="AE40" s="217" t="str">
        <f t="shared" si="33"/>
        <v>mile</v>
      </c>
      <c r="AF40" s="217">
        <f t="shared" si="11"/>
        <v>1.6093473468862911</v>
      </c>
      <c r="AG40" s="216" t="str">
        <f t="shared" si="34"/>
        <v>km/mile</v>
      </c>
      <c r="AH40" s="216">
        <f t="shared" si="59"/>
        <v>0</v>
      </c>
      <c r="AI40" s="216">
        <f t="shared" si="60"/>
        <v>0</v>
      </c>
      <c r="AJ40" s="216">
        <f t="shared" si="61"/>
        <v>0</v>
      </c>
      <c r="AK40" s="216">
        <f t="shared" si="62"/>
        <v>0</v>
      </c>
      <c r="AL40" s="216"/>
      <c r="AM40" s="1" t="str">
        <f t="shared" si="13"/>
        <v>SCMs - Silica Fume</v>
      </c>
      <c r="AN40" t="s">
        <v>127</v>
      </c>
      <c r="AO40">
        <f t="shared" si="14"/>
        <v>0</v>
      </c>
      <c r="AP40" s="1">
        <f t="shared" si="35"/>
        <v>0</v>
      </c>
      <c r="AQ40" s="1" t="str">
        <f t="shared" si="15"/>
        <v>short ton</v>
      </c>
      <c r="AR40" s="1">
        <f t="shared" si="16"/>
        <v>0.90718499588591606</v>
      </c>
      <c r="AS40" s="87" t="str">
        <f t="shared" si="54"/>
        <v>tonne/short ton</v>
      </c>
      <c r="AT40" s="87">
        <f t="shared" si="55"/>
        <v>0</v>
      </c>
      <c r="AU40" s="87">
        <f t="shared" si="17"/>
        <v>0</v>
      </c>
      <c r="AV40" s="87">
        <f t="shared" si="18"/>
        <v>0</v>
      </c>
      <c r="AW40" t="str">
        <f t="shared" si="56"/>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IFERROR(INDEX(LCIA_Data,MATCH($AO$15&amp;CM$27,LCIA_Rows_B&amp;LCIA_Rows_C,0),MATCH(CM$26,LCIA_Columns,0)),0)*$AT40*$AI40*$BN$23</f>
        <v>0</v>
      </c>
      <c r="CN40" s="1">
        <f t="array" ref="CN40">IFERROR(INDEX(LCIA_Data,MATCH($AO$15&amp;CN$27,LCIA_Rows_B&amp;LCIA_Rows_C,0),MATCH(CN$26,LCIA_Columns,0)),0)*$AT40*$AI40*$BN$23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IFERROR(INDEX(LCIA_Data,MATCH($AO$15&amp;DA$27,LCIA_Rows_B&amp;LCIA_Rows_C,0),MATCH(DA$26,LCIA_Columns,0)),0)*$AT40*$AJ40*$BN$23</f>
        <v>0</v>
      </c>
      <c r="DB40" s="1">
        <f t="array" ref="DB40">IFERROR(INDEX(LCIA_Data,MATCH($AO$15&amp;DB$27,LCIA_Rows_B&amp;LCIA_Rows_C,0),MATCH(DB$26,LCIA_Columns,0)),0)*$AT40*$AJ40*$BN$23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s="1">
        <f t="array" ref="DO40">IFERROR(INDEX(LCIA_Data,MATCH($AO$15&amp;DO$27,LCIA_Rows_B&amp;LCIA_Rows_C,0),MATCH(DO$26,LCIA_Columns,0)),0)*$AT40*$AK40*$BN$23</f>
        <v>0</v>
      </c>
      <c r="DP40" s="1">
        <f t="array" ref="DP40">IFERROR(INDEX(LCIA_Data,MATCH($AO$15&amp;DP$27,LCIA_Rows_B&amp;LCIA_Rows_C,0),MATCH(DP$26,LCIA_Columns,0)),0)*$AT40*$AK40*$BN$23</f>
        <v>0</v>
      </c>
      <c r="DQ40">
        <f t="shared" si="19"/>
        <v>0</v>
      </c>
      <c r="DR40">
        <f t="shared" si="20"/>
        <v>0</v>
      </c>
      <c r="DS40">
        <f t="shared" si="21"/>
        <v>0</v>
      </c>
      <c r="DT40">
        <f t="shared" si="22"/>
        <v>0</v>
      </c>
      <c r="DU40">
        <f t="shared" si="23"/>
        <v>0</v>
      </c>
      <c r="DV40">
        <f t="shared" si="24"/>
        <v>0</v>
      </c>
      <c r="DW40">
        <f t="shared" si="25"/>
        <v>0</v>
      </c>
      <c r="DX40">
        <f t="shared" si="26"/>
        <v>0</v>
      </c>
      <c r="DY40">
        <f t="shared" si="27"/>
        <v>0</v>
      </c>
      <c r="DZ40">
        <f t="shared" si="28"/>
        <v>0</v>
      </c>
      <c r="EA40">
        <f t="shared" si="29"/>
        <v>0</v>
      </c>
      <c r="EB40">
        <f t="shared" si="30"/>
        <v>0</v>
      </c>
      <c r="EC40">
        <f t="shared" si="30"/>
        <v>0</v>
      </c>
      <c r="ED40">
        <f t="shared" si="31"/>
        <v>0</v>
      </c>
      <c r="EE40"/>
      <c r="EF40"/>
      <c r="EG40"/>
      <c r="EH40"/>
      <c r="EI40"/>
    </row>
    <row r="41" spans="2:139" ht="15" customHeight="1" thickBot="1">
      <c r="B41" s="53">
        <f t="shared" si="7"/>
        <v>0</v>
      </c>
      <c r="C41" s="32">
        <f t="shared" si="32"/>
        <v>12</v>
      </c>
      <c r="D41" s="47" t="s">
        <v>815</v>
      </c>
      <c r="E41" s="102"/>
      <c r="F41" s="231" t="str">
        <f t="shared" si="47"/>
        <v>short ton</v>
      </c>
      <c r="G41" s="228">
        <f t="shared" si="57"/>
        <v>0</v>
      </c>
      <c r="H41" s="227" t="str">
        <f t="shared" si="8"/>
        <v>short ton</v>
      </c>
      <c r="I41" s="229">
        <f t="shared" si="48"/>
        <v>0</v>
      </c>
      <c r="J41" s="232"/>
      <c r="K41" s="232"/>
      <c r="L41" s="232"/>
      <c r="M41" s="232"/>
      <c r="N41" s="437" t="s">
        <v>386</v>
      </c>
      <c r="O41" s="411" t="str">
        <f t="shared" si="9"/>
        <v>mile</v>
      </c>
      <c r="X41" s="67">
        <f t="shared" si="49"/>
        <v>0</v>
      </c>
      <c r="Y41" s="216">
        <f t="shared" si="58"/>
        <v>0</v>
      </c>
      <c r="Z41" s="216">
        <v>1</v>
      </c>
      <c r="AA41" s="216">
        <f t="shared" si="50"/>
        <v>0</v>
      </c>
      <c r="AB41" s="216">
        <f t="shared" si="51"/>
        <v>0</v>
      </c>
      <c r="AC41" s="216">
        <f t="shared" si="52"/>
        <v>0</v>
      </c>
      <c r="AD41" s="216">
        <f t="shared" si="53"/>
        <v>0</v>
      </c>
      <c r="AE41" s="217" t="str">
        <f t="shared" si="33"/>
        <v>mile</v>
      </c>
      <c r="AF41" s="217">
        <f t="shared" si="11"/>
        <v>1.6093473468862911</v>
      </c>
      <c r="AG41" s="216" t="str">
        <f t="shared" si="34"/>
        <v>km/mile</v>
      </c>
      <c r="AH41" s="216">
        <f t="shared" si="59"/>
        <v>0</v>
      </c>
      <c r="AI41" s="216">
        <f t="shared" si="60"/>
        <v>0</v>
      </c>
      <c r="AJ41" s="216">
        <f t="shared" si="61"/>
        <v>0</v>
      </c>
      <c r="AK41" s="216">
        <f t="shared" si="62"/>
        <v>0</v>
      </c>
      <c r="AL41" s="216"/>
      <c r="AM41" s="1" t="str">
        <f t="shared" si="13"/>
        <v>Slag Cement</v>
      </c>
      <c r="AN41" t="s">
        <v>127</v>
      </c>
      <c r="AO41">
        <f t="shared" si="14"/>
        <v>0</v>
      </c>
      <c r="AP41" s="1">
        <f t="shared" si="35"/>
        <v>0</v>
      </c>
      <c r="AQ41" s="1" t="str">
        <f t="shared" si="15"/>
        <v>short ton</v>
      </c>
      <c r="AR41" s="1">
        <f t="shared" si="16"/>
        <v>0.90718499588591606</v>
      </c>
      <c r="AS41" s="87" t="str">
        <f t="shared" si="54"/>
        <v>tonne/short ton</v>
      </c>
      <c r="AT41" s="87">
        <f t="shared" si="55"/>
        <v>0</v>
      </c>
      <c r="AU41" s="87">
        <f t="shared" si="17"/>
        <v>0</v>
      </c>
      <c r="AV41" s="87">
        <f t="shared" si="18"/>
        <v>0</v>
      </c>
      <c r="AW41" t="str">
        <f t="shared" si="56"/>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IFERROR(INDEX(LCIA_Data,MATCH($AO$15&amp;CM$27,LCIA_Rows_B&amp;LCIA_Rows_C,0),MATCH(CM$26,LCIA_Columns,0)),0)*$AT41*$AI41*$BN$23</f>
        <v>0</v>
      </c>
      <c r="CN41" s="1">
        <f t="array" ref="CN41">IFERROR(INDEX(LCIA_Data,MATCH($AO$15&amp;CN$27,LCIA_Rows_B&amp;LCIA_Rows_C,0),MATCH(CN$26,LCIA_Columns,0)),0)*$AT41*$AI41*$BN$23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IFERROR(INDEX(LCIA_Data,MATCH($AO$15&amp;DA$27,LCIA_Rows_B&amp;LCIA_Rows_C,0),MATCH(DA$26,LCIA_Columns,0)),0)*$AT41*$AJ41*$BN$23</f>
        <v>0</v>
      </c>
      <c r="DB41" s="1">
        <f t="array" ref="DB41">IFERROR(INDEX(LCIA_Data,MATCH($AO$15&amp;DB$27,LCIA_Rows_B&amp;LCIA_Rows_C,0),MATCH(DB$26,LCIA_Columns,0)),0)*$AT41*$AJ41*$BN$23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s="1">
        <f t="array" ref="DO41">IFERROR(INDEX(LCIA_Data,MATCH($AO$15&amp;DO$27,LCIA_Rows_B&amp;LCIA_Rows_C,0),MATCH(DO$26,LCIA_Columns,0)),0)*$AT41*$AK41*$BN$23</f>
        <v>0</v>
      </c>
      <c r="DP41" s="1">
        <f t="array" ref="DP41">IFERROR(INDEX(LCIA_Data,MATCH($AO$15&amp;DP$27,LCIA_Rows_B&amp;LCIA_Rows_C,0),MATCH(DP$26,LCIA_Columns,0)),0)*$AT41*$AK41*$BN$23</f>
        <v>0</v>
      </c>
      <c r="DQ41">
        <f t="shared" si="19"/>
        <v>0</v>
      </c>
      <c r="DR41">
        <f t="shared" si="20"/>
        <v>0</v>
      </c>
      <c r="DS41">
        <f t="shared" si="21"/>
        <v>0</v>
      </c>
      <c r="DT41">
        <f t="shared" si="22"/>
        <v>0</v>
      </c>
      <c r="DU41">
        <f t="shared" si="23"/>
        <v>0</v>
      </c>
      <c r="DV41">
        <f t="shared" si="24"/>
        <v>0</v>
      </c>
      <c r="DW41">
        <f t="shared" si="25"/>
        <v>0</v>
      </c>
      <c r="DX41">
        <f t="shared" si="26"/>
        <v>0</v>
      </c>
      <c r="DY41">
        <f t="shared" si="27"/>
        <v>0</v>
      </c>
      <c r="DZ41">
        <f t="shared" si="28"/>
        <v>0</v>
      </c>
      <c r="EA41">
        <f t="shared" si="29"/>
        <v>0</v>
      </c>
      <c r="EB41">
        <f t="shared" si="30"/>
        <v>0</v>
      </c>
      <c r="EC41">
        <f t="shared" si="30"/>
        <v>0</v>
      </c>
      <c r="ED41">
        <f t="shared" si="31"/>
        <v>0</v>
      </c>
      <c r="EE41"/>
      <c r="EF41"/>
      <c r="EG41"/>
      <c r="EH41"/>
      <c r="EI41"/>
    </row>
    <row r="42" spans="2:139" ht="15" customHeight="1">
      <c r="B42" s="53">
        <f t="shared" si="7"/>
        <v>0</v>
      </c>
      <c r="C42" s="221">
        <f t="shared" si="32"/>
        <v>13</v>
      </c>
      <c r="D42" s="222" t="s">
        <v>140</v>
      </c>
      <c r="E42" s="154"/>
      <c r="F42" s="240" t="str">
        <f t="shared" ref="F42:F48" si="63">VolumeDisplayUnit</f>
        <v>gallon</v>
      </c>
      <c r="G42" s="224">
        <f t="shared" si="57"/>
        <v>0</v>
      </c>
      <c r="H42" s="225" t="str">
        <f t="shared" si="8"/>
        <v>short ton</v>
      </c>
      <c r="I42" s="150">
        <f t="shared" si="48"/>
        <v>0</v>
      </c>
      <c r="J42" s="202"/>
      <c r="K42" s="202"/>
      <c r="L42" s="202"/>
      <c r="M42" s="202"/>
      <c r="N42" s="436" t="s">
        <v>630</v>
      </c>
      <c r="O42" s="408" t="str">
        <f t="shared" si="9"/>
        <v>mile</v>
      </c>
      <c r="X42" s="67">
        <f t="shared" si="49"/>
        <v>0</v>
      </c>
      <c r="Y42" s="216">
        <f t="shared" si="58"/>
        <v>0</v>
      </c>
      <c r="Z42" s="216">
        <v>1</v>
      </c>
      <c r="AA42" s="216">
        <f t="shared" si="50"/>
        <v>0</v>
      </c>
      <c r="AB42" s="216">
        <f t="shared" si="51"/>
        <v>0</v>
      </c>
      <c r="AC42" s="216">
        <f t="shared" si="52"/>
        <v>0</v>
      </c>
      <c r="AD42" s="216">
        <f t="shared" si="53"/>
        <v>0</v>
      </c>
      <c r="AE42" s="217" t="str">
        <f t="shared" si="33"/>
        <v>mile</v>
      </c>
      <c r="AF42" s="217">
        <f t="shared" si="11"/>
        <v>1.6093473468862911</v>
      </c>
      <c r="AG42" s="216" t="str">
        <f t="shared" si="34"/>
        <v>km/mile</v>
      </c>
      <c r="AH42" s="216">
        <f t="shared" si="59"/>
        <v>0</v>
      </c>
      <c r="AI42" s="216">
        <f t="shared" si="60"/>
        <v>0</v>
      </c>
      <c r="AJ42" s="216">
        <f t="shared" si="61"/>
        <v>0</v>
      </c>
      <c r="AK42" s="216">
        <f t="shared" si="62"/>
        <v>0</v>
      </c>
      <c r="AL42" s="216"/>
      <c r="AM42" s="1" t="str">
        <f t="shared" si="13"/>
        <v>Chemical Admixture - Air Entraining Agent</v>
      </c>
      <c r="AN42" s="12" t="s">
        <v>128</v>
      </c>
      <c r="AO42">
        <f t="shared" si="14"/>
        <v>1.1982656298327359</v>
      </c>
      <c r="AP42" s="1">
        <f t="shared" si="35"/>
        <v>0</v>
      </c>
      <c r="AQ42" s="1" t="str">
        <f t="shared" si="15"/>
        <v>gallon</v>
      </c>
      <c r="AR42" s="1">
        <f t="shared" si="16"/>
        <v>4.535929094356397E-3</v>
      </c>
      <c r="AS42" s="87" t="str">
        <f t="shared" si="54"/>
        <v>tonne/gallon</v>
      </c>
      <c r="AT42" s="87">
        <f t="shared" si="55"/>
        <v>0</v>
      </c>
      <c r="AU42" s="87">
        <f t="shared" si="17"/>
        <v>0</v>
      </c>
      <c r="AV42" s="87">
        <f t="shared" si="18"/>
        <v>0</v>
      </c>
      <c r="AW42" t="str">
        <f t="shared" si="56"/>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IFERROR(INDEX(LCIA_Data,MATCH($AO$15&amp;CM$27,LCIA_Rows_B&amp;LCIA_Rows_C,0),MATCH(CM$26,LCIA_Columns,0)),0)*$AT42*$AI42*$BN$23</f>
        <v>0</v>
      </c>
      <c r="CN42" s="1">
        <f t="array" ref="CN42">IFERROR(INDEX(LCIA_Data,MATCH($AO$15&amp;CN$27,LCIA_Rows_B&amp;LCIA_Rows_C,0),MATCH(CN$26,LCIA_Columns,0)),0)*$AT42*$AI42*$BN$23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IFERROR(INDEX(LCIA_Data,MATCH($AO$15&amp;DA$27,LCIA_Rows_B&amp;LCIA_Rows_C,0),MATCH(DA$26,LCIA_Columns,0)),0)*$AT42*$AJ42*$BN$23</f>
        <v>0</v>
      </c>
      <c r="DB42" s="1">
        <f t="array" ref="DB42">IFERROR(INDEX(LCIA_Data,MATCH($AO$15&amp;DB$27,LCIA_Rows_B&amp;LCIA_Rows_C,0),MATCH(DB$26,LCIA_Columns,0)),0)*$AT42*$AJ42*$BN$23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s="1">
        <f t="array" ref="DO42">IFERROR(INDEX(LCIA_Data,MATCH($AO$15&amp;DO$27,LCIA_Rows_B&amp;LCIA_Rows_C,0),MATCH(DO$26,LCIA_Columns,0)),0)*$AT42*$AK42*$BN$23</f>
        <v>0</v>
      </c>
      <c r="DP42" s="1">
        <f t="array" ref="DP42">IFERROR(INDEX(LCIA_Data,MATCH($AO$15&amp;DP$27,LCIA_Rows_B&amp;LCIA_Rows_C,0),MATCH(DP$26,LCIA_Columns,0)),0)*$AT42*$AK42*$BN$23</f>
        <v>0</v>
      </c>
      <c r="DQ42">
        <f t="shared" si="19"/>
        <v>0</v>
      </c>
      <c r="DR42">
        <f t="shared" si="20"/>
        <v>0</v>
      </c>
      <c r="DS42">
        <f t="shared" si="21"/>
        <v>0</v>
      </c>
      <c r="DT42">
        <f t="shared" si="22"/>
        <v>0</v>
      </c>
      <c r="DU42">
        <f t="shared" si="23"/>
        <v>0</v>
      </c>
      <c r="DV42">
        <f t="shared" si="24"/>
        <v>0</v>
      </c>
      <c r="DW42">
        <f t="shared" si="25"/>
        <v>0</v>
      </c>
      <c r="DX42">
        <f t="shared" si="26"/>
        <v>0</v>
      </c>
      <c r="DY42">
        <f t="shared" si="27"/>
        <v>0</v>
      </c>
      <c r="DZ42">
        <f t="shared" si="28"/>
        <v>0</v>
      </c>
      <c r="EA42">
        <f t="shared" si="29"/>
        <v>0</v>
      </c>
      <c r="EB42">
        <f t="shared" si="30"/>
        <v>0</v>
      </c>
      <c r="EC42">
        <f t="shared" si="30"/>
        <v>0</v>
      </c>
      <c r="ED42">
        <f t="shared" si="31"/>
        <v>0</v>
      </c>
      <c r="EE42"/>
      <c r="EF42"/>
      <c r="EG42"/>
      <c r="EH42"/>
      <c r="EI42"/>
    </row>
    <row r="43" spans="2:139" ht="15" customHeight="1">
      <c r="B43" s="53">
        <f t="shared" si="7"/>
        <v>0</v>
      </c>
      <c r="C43" s="26">
        <f t="shared" si="32"/>
        <v>14</v>
      </c>
      <c r="D43" s="46" t="s">
        <v>616</v>
      </c>
      <c r="E43" s="99"/>
      <c r="F43" s="106" t="str">
        <f t="shared" si="63"/>
        <v>gallon</v>
      </c>
      <c r="G43" s="158">
        <f t="shared" si="57"/>
        <v>0</v>
      </c>
      <c r="H43" s="204" t="str">
        <f t="shared" si="8"/>
        <v>short ton</v>
      </c>
      <c r="I43" s="150">
        <f t="shared" si="48"/>
        <v>0</v>
      </c>
      <c r="J43" s="201"/>
      <c r="K43" s="201"/>
      <c r="L43" s="202"/>
      <c r="M43" s="202"/>
      <c r="N43" s="436" t="s">
        <v>630</v>
      </c>
      <c r="O43" s="408" t="str">
        <f t="shared" si="9"/>
        <v>mile</v>
      </c>
      <c r="X43" s="67">
        <f t="shared" si="49"/>
        <v>0</v>
      </c>
      <c r="Y43" s="216">
        <f t="shared" si="58"/>
        <v>0</v>
      </c>
      <c r="Z43" s="216">
        <v>1</v>
      </c>
      <c r="AA43" s="216">
        <f t="shared" si="50"/>
        <v>0</v>
      </c>
      <c r="AB43" s="216">
        <f t="shared" si="51"/>
        <v>0</v>
      </c>
      <c r="AC43" s="216">
        <f t="shared" si="52"/>
        <v>0</v>
      </c>
      <c r="AD43" s="216">
        <f t="shared" si="53"/>
        <v>0</v>
      </c>
      <c r="AE43" s="217" t="str">
        <f t="shared" si="33"/>
        <v>mile</v>
      </c>
      <c r="AF43" s="217">
        <f t="shared" si="11"/>
        <v>1.6093473468862911</v>
      </c>
      <c r="AG43" s="216" t="str">
        <f t="shared" si="34"/>
        <v>km/mile</v>
      </c>
      <c r="AH43" s="216">
        <f t="shared" si="59"/>
        <v>0</v>
      </c>
      <c r="AI43" s="216">
        <f t="shared" si="60"/>
        <v>0</v>
      </c>
      <c r="AJ43" s="216">
        <f t="shared" si="61"/>
        <v>0</v>
      </c>
      <c r="AK43" s="216">
        <f t="shared" si="62"/>
        <v>0</v>
      </c>
      <c r="AL43" s="216"/>
      <c r="AM43" s="1" t="str">
        <f t="shared" si="13"/>
        <v>Chemical Admixture - Water Reducer/Plasticizer</v>
      </c>
      <c r="AN43" s="12" t="s">
        <v>128</v>
      </c>
      <c r="AO43">
        <f t="shared" si="14"/>
        <v>1.1982656298327359</v>
      </c>
      <c r="AP43" s="1">
        <f t="shared" si="35"/>
        <v>0</v>
      </c>
      <c r="AQ43" s="1" t="str">
        <f t="shared" si="15"/>
        <v>gallon</v>
      </c>
      <c r="AR43" s="1">
        <f t="shared" si="16"/>
        <v>4.535929094356397E-3</v>
      </c>
      <c r="AS43" s="87" t="str">
        <f t="shared" si="54"/>
        <v>tonne/gallon</v>
      </c>
      <c r="AT43" s="87">
        <f t="shared" si="55"/>
        <v>0</v>
      </c>
      <c r="AU43" s="87">
        <f t="shared" si="17"/>
        <v>0</v>
      </c>
      <c r="AV43" s="87">
        <f t="shared" si="18"/>
        <v>0</v>
      </c>
      <c r="AW43" t="str">
        <f t="shared" si="56"/>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IFERROR(INDEX(LCIA_Data,MATCH($AO$15&amp;CM$27,LCIA_Rows_B&amp;LCIA_Rows_C,0),MATCH(CM$26,LCIA_Columns,0)),0)*$AT43*$AI43*$BN$23</f>
        <v>0</v>
      </c>
      <c r="CN43" s="1">
        <f t="array" ref="CN43">IFERROR(INDEX(LCIA_Data,MATCH($AO$15&amp;CN$27,LCIA_Rows_B&amp;LCIA_Rows_C,0),MATCH(CN$26,LCIA_Columns,0)),0)*$AT43*$AI43*$BN$23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IFERROR(INDEX(LCIA_Data,MATCH($AO$15&amp;DA$27,LCIA_Rows_B&amp;LCIA_Rows_C,0),MATCH(DA$26,LCIA_Columns,0)),0)*$AT43*$AJ43*$BN$23</f>
        <v>0</v>
      </c>
      <c r="DB43" s="1">
        <f t="array" ref="DB43">IFERROR(INDEX(LCIA_Data,MATCH($AO$15&amp;DB$27,LCIA_Rows_B&amp;LCIA_Rows_C,0),MATCH(DB$26,LCIA_Columns,0)),0)*$AT43*$AJ43*$BN$23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s="1">
        <f t="array" ref="DO43">IFERROR(INDEX(LCIA_Data,MATCH($AO$15&amp;DO$27,LCIA_Rows_B&amp;LCIA_Rows_C,0),MATCH(DO$26,LCIA_Columns,0)),0)*$AT43*$AK43*$BN$23</f>
        <v>0</v>
      </c>
      <c r="DP43" s="1">
        <f t="array" ref="DP43">IFERROR(INDEX(LCIA_Data,MATCH($AO$15&amp;DP$27,LCIA_Rows_B&amp;LCIA_Rows_C,0),MATCH(DP$26,LCIA_Columns,0)),0)*$AT43*$AK43*$BN$23</f>
        <v>0</v>
      </c>
      <c r="DQ43">
        <f t="shared" si="19"/>
        <v>0</v>
      </c>
      <c r="DR43">
        <f t="shared" si="20"/>
        <v>0</v>
      </c>
      <c r="DS43">
        <f t="shared" si="21"/>
        <v>0</v>
      </c>
      <c r="DT43">
        <f t="shared" si="22"/>
        <v>0</v>
      </c>
      <c r="DU43">
        <f t="shared" si="23"/>
        <v>0</v>
      </c>
      <c r="DV43">
        <f t="shared" si="24"/>
        <v>0</v>
      </c>
      <c r="DW43">
        <f t="shared" si="25"/>
        <v>0</v>
      </c>
      <c r="DX43">
        <f t="shared" si="26"/>
        <v>0</v>
      </c>
      <c r="DY43">
        <f t="shared" si="27"/>
        <v>0</v>
      </c>
      <c r="DZ43">
        <f t="shared" si="28"/>
        <v>0</v>
      </c>
      <c r="EA43">
        <f t="shared" si="29"/>
        <v>0</v>
      </c>
      <c r="EB43">
        <f t="shared" si="30"/>
        <v>0</v>
      </c>
      <c r="EC43">
        <f t="shared" si="30"/>
        <v>0</v>
      </c>
      <c r="ED43">
        <f t="shared" si="31"/>
        <v>0</v>
      </c>
      <c r="EE43"/>
      <c r="EF43"/>
      <c r="EG43"/>
      <c r="EH43"/>
      <c r="EI43"/>
    </row>
    <row r="44" spans="2:139" ht="15" customHeight="1">
      <c r="B44" s="53">
        <f>X44</f>
        <v>0</v>
      </c>
      <c r="C44" s="26">
        <f t="shared" si="32"/>
        <v>15</v>
      </c>
      <c r="D44" s="46" t="s">
        <v>453</v>
      </c>
      <c r="E44" s="99"/>
      <c r="F44" s="106" t="str">
        <f t="shared" si="63"/>
        <v>gallon</v>
      </c>
      <c r="G44" s="158">
        <f t="shared" si="57"/>
        <v>0</v>
      </c>
      <c r="H44" s="204" t="str">
        <f t="shared" si="8"/>
        <v>short ton</v>
      </c>
      <c r="I44" s="150">
        <f t="shared" si="48"/>
        <v>0</v>
      </c>
      <c r="J44" s="201"/>
      <c r="K44" s="201"/>
      <c r="L44" s="202"/>
      <c r="M44" s="202"/>
      <c r="N44" s="436" t="s">
        <v>630</v>
      </c>
      <c r="O44" s="408" t="str">
        <f t="shared" si="9"/>
        <v>mile</v>
      </c>
      <c r="X44" s="67">
        <f t="shared" si="49"/>
        <v>0</v>
      </c>
      <c r="Y44" s="216">
        <f t="shared" si="58"/>
        <v>0</v>
      </c>
      <c r="Z44" s="216">
        <v>2</v>
      </c>
      <c r="AA44" s="216">
        <f t="shared" si="50"/>
        <v>0</v>
      </c>
      <c r="AB44" s="216">
        <f t="shared" si="51"/>
        <v>0</v>
      </c>
      <c r="AC44" s="216">
        <f t="shared" si="52"/>
        <v>0</v>
      </c>
      <c r="AD44" s="216">
        <f t="shared" si="53"/>
        <v>0</v>
      </c>
      <c r="AE44" s="217" t="str">
        <f t="shared" si="33"/>
        <v>mile</v>
      </c>
      <c r="AF44" s="217">
        <f t="shared" si="11"/>
        <v>1.6093473468862911</v>
      </c>
      <c r="AG44" s="216" t="str">
        <f t="shared" si="34"/>
        <v>km/mile</v>
      </c>
      <c r="AH44" s="216">
        <f t="shared" si="59"/>
        <v>0</v>
      </c>
      <c r="AI44" s="216">
        <f t="shared" si="60"/>
        <v>0</v>
      </c>
      <c r="AJ44" s="216">
        <f t="shared" si="61"/>
        <v>0</v>
      </c>
      <c r="AK44" s="216">
        <f t="shared" si="62"/>
        <v>0</v>
      </c>
      <c r="AL44" s="216"/>
      <c r="AM44" s="1" t="str">
        <f t="shared" si="13"/>
        <v>Chemical Admixture - Accelerator</v>
      </c>
      <c r="AN44" s="12" t="s">
        <v>128</v>
      </c>
      <c r="AO44">
        <f>VLOOKUP(AM44,Material_Densities,2,FALSE)</f>
        <v>1.1982656298327359</v>
      </c>
      <c r="AP44" s="1">
        <f t="shared" si="35"/>
        <v>0</v>
      </c>
      <c r="AQ44" s="1" t="str">
        <f t="shared" si="15"/>
        <v>gallon</v>
      </c>
      <c r="AR44" s="1">
        <f t="shared" si="16"/>
        <v>4.535929094356397E-3</v>
      </c>
      <c r="AS44" s="87" t="str">
        <f>$AT$29&amp;"/"&amp;AQ44</f>
        <v>tonne/gallon</v>
      </c>
      <c r="AT44" s="87">
        <f>AP44*AR44</f>
        <v>0</v>
      </c>
      <c r="AU44" s="87">
        <f>INDEX(Conversion_Table,MATCH($AT$29,Conversion_Rows,0),MATCH($AU$29,Conversion_Columns,0))*AT44</f>
        <v>0</v>
      </c>
      <c r="AV44" s="87">
        <f t="shared" si="18"/>
        <v>0</v>
      </c>
      <c r="AW44" t="str">
        <f>AM44</f>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IFERROR(INDEX(LCIA_Data,MATCH($AO$15&amp;CM$27,LCIA_Rows_B&amp;LCIA_Rows_C,0),MATCH(CM$26,LCIA_Columns,0)),0)*$AT44*$AI44*$BN$23</f>
        <v>0</v>
      </c>
      <c r="CN44" s="1">
        <f t="array" ref="CN44">IFERROR(INDEX(LCIA_Data,MATCH($AO$15&amp;CN$27,LCIA_Rows_B&amp;LCIA_Rows_C,0),MATCH(CN$26,LCIA_Columns,0)),0)*$AT44*$AI44*$BN$23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IFERROR(INDEX(LCIA_Data,MATCH($AO$15&amp;DA$27,LCIA_Rows_B&amp;LCIA_Rows_C,0),MATCH(DA$26,LCIA_Columns,0)),0)*$AT44*$AJ44*$BN$23</f>
        <v>0</v>
      </c>
      <c r="DB44" s="1">
        <f t="array" ref="DB44">IFERROR(INDEX(LCIA_Data,MATCH($AO$15&amp;DB$27,LCIA_Rows_B&amp;LCIA_Rows_C,0),MATCH(DB$26,LCIA_Columns,0)),0)*$AT44*$AJ44*$BN$23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s="1">
        <f t="array" ref="DO44">IFERROR(INDEX(LCIA_Data,MATCH($AO$15&amp;DO$27,LCIA_Rows_B&amp;LCIA_Rows_C,0),MATCH(DO$26,LCIA_Columns,0)),0)*$AT44*$AK44*$BN$23</f>
        <v>0</v>
      </c>
      <c r="DP44" s="1">
        <f t="array" ref="DP44">IFERROR(INDEX(LCIA_Data,MATCH($AO$15&amp;DP$27,LCIA_Rows_B&amp;LCIA_Rows_C,0),MATCH(DP$26,LCIA_Columns,0)),0)*$AT44*$AK44*$BN$23</f>
        <v>0</v>
      </c>
      <c r="DQ44">
        <f t="shared" si="19"/>
        <v>0</v>
      </c>
      <c r="DR44">
        <f t="shared" si="20"/>
        <v>0</v>
      </c>
      <c r="DS44">
        <f t="shared" si="21"/>
        <v>0</v>
      </c>
      <c r="DT44">
        <f t="shared" si="22"/>
        <v>0</v>
      </c>
      <c r="DU44">
        <f t="shared" si="23"/>
        <v>0</v>
      </c>
      <c r="DV44">
        <f t="shared" si="24"/>
        <v>0</v>
      </c>
      <c r="DW44">
        <f t="shared" si="25"/>
        <v>0</v>
      </c>
      <c r="DX44">
        <f t="shared" si="26"/>
        <v>0</v>
      </c>
      <c r="DY44">
        <f t="shared" si="27"/>
        <v>0</v>
      </c>
      <c r="DZ44">
        <f t="shared" si="28"/>
        <v>0</v>
      </c>
      <c r="EA44">
        <f t="shared" si="29"/>
        <v>0</v>
      </c>
      <c r="EB44">
        <f t="shared" si="30"/>
        <v>0</v>
      </c>
      <c r="EC44">
        <f t="shared" si="30"/>
        <v>0</v>
      </c>
      <c r="ED44">
        <f t="shared" si="31"/>
        <v>0</v>
      </c>
      <c r="EE44"/>
      <c r="EF44"/>
      <c r="EG44"/>
      <c r="EH44"/>
      <c r="EI44"/>
    </row>
    <row r="45" spans="2:139" ht="27" customHeight="1">
      <c r="B45" s="53">
        <f>X45</f>
        <v>0</v>
      </c>
      <c r="C45" s="26">
        <f t="shared" si="32"/>
        <v>16</v>
      </c>
      <c r="D45" s="46" t="s">
        <v>617</v>
      </c>
      <c r="E45" s="99"/>
      <c r="F45" s="106" t="str">
        <f t="shared" si="63"/>
        <v>gallon</v>
      </c>
      <c r="G45" s="158">
        <f t="shared" si="57"/>
        <v>0</v>
      </c>
      <c r="H45" s="204" t="str">
        <f t="shared" si="8"/>
        <v>short ton</v>
      </c>
      <c r="I45" s="150">
        <f t="shared" si="48"/>
        <v>0</v>
      </c>
      <c r="J45" s="201"/>
      <c r="K45" s="201"/>
      <c r="L45" s="202"/>
      <c r="M45" s="202"/>
      <c r="N45" s="436" t="s">
        <v>630</v>
      </c>
      <c r="O45" s="408" t="str">
        <f t="shared" si="9"/>
        <v>mile</v>
      </c>
      <c r="X45" s="67">
        <f t="shared" si="49"/>
        <v>0</v>
      </c>
      <c r="Y45" s="216">
        <f t="shared" si="58"/>
        <v>0</v>
      </c>
      <c r="Z45" s="216">
        <v>2</v>
      </c>
      <c r="AA45" s="216">
        <f t="shared" si="50"/>
        <v>0</v>
      </c>
      <c r="AB45" s="216">
        <f t="shared" si="51"/>
        <v>0</v>
      </c>
      <c r="AC45" s="216">
        <f t="shared" si="52"/>
        <v>0</v>
      </c>
      <c r="AD45" s="216">
        <f t="shared" si="53"/>
        <v>0</v>
      </c>
      <c r="AE45" s="217" t="str">
        <f t="shared" si="33"/>
        <v>mile</v>
      </c>
      <c r="AF45" s="217">
        <f t="shared" si="11"/>
        <v>1.6093473468862911</v>
      </c>
      <c r="AG45" s="216" t="str">
        <f t="shared" si="34"/>
        <v>km/mile</v>
      </c>
      <c r="AH45" s="216">
        <f t="shared" si="59"/>
        <v>0</v>
      </c>
      <c r="AI45" s="216">
        <f t="shared" si="60"/>
        <v>0</v>
      </c>
      <c r="AJ45" s="216">
        <f t="shared" si="61"/>
        <v>0</v>
      </c>
      <c r="AK45" s="216">
        <f t="shared" si="62"/>
        <v>0</v>
      </c>
      <c r="AL45" s="216"/>
      <c r="AM45" s="1" t="str">
        <f t="shared" si="13"/>
        <v>Chemical Admixture - High Range Water Reducer (HRWR)/Super Plasticizer</v>
      </c>
      <c r="AN45" s="12" t="s">
        <v>128</v>
      </c>
      <c r="AO45">
        <f>VLOOKUP(AM45,Material_Densities,2,FALSE)</f>
        <v>1.1982656298327359</v>
      </c>
      <c r="AP45" s="1">
        <f t="shared" si="35"/>
        <v>0</v>
      </c>
      <c r="AQ45" s="1" t="str">
        <f t="shared" si="15"/>
        <v>gallon</v>
      </c>
      <c r="AR45" s="1">
        <f t="shared" si="16"/>
        <v>4.535929094356397E-3</v>
      </c>
      <c r="AS45" s="87" t="str">
        <f>$AT$29&amp;"/"&amp;AQ45</f>
        <v>tonne/gallon</v>
      </c>
      <c r="AT45" s="87">
        <f>AP45*AR45</f>
        <v>0</v>
      </c>
      <c r="AU45" s="87">
        <f>INDEX(Conversion_Table,MATCH($AT$29,Conversion_Rows,0),MATCH($AU$29,Conversion_Columns,0))*AT45</f>
        <v>0</v>
      </c>
      <c r="AV45" s="87">
        <f t="shared" si="18"/>
        <v>0</v>
      </c>
      <c r="AW45" t="str">
        <f>AM45</f>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IFERROR(INDEX(LCIA_Data,MATCH($AO$15&amp;CM$27,LCIA_Rows_B&amp;LCIA_Rows_C,0),MATCH(CM$26,LCIA_Columns,0)),0)*$AT45*$AI45*$BN$23</f>
        <v>0</v>
      </c>
      <c r="CN45" s="1">
        <f t="array" ref="CN45">IFERROR(INDEX(LCIA_Data,MATCH($AO$15&amp;CN$27,LCIA_Rows_B&amp;LCIA_Rows_C,0),MATCH(CN$26,LCIA_Columns,0)),0)*$AT45*$AI45*$BN$23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IFERROR(INDEX(LCIA_Data,MATCH($AO$15&amp;DA$27,LCIA_Rows_B&amp;LCIA_Rows_C,0),MATCH(DA$26,LCIA_Columns,0)),0)*$AT45*$AJ45*$BN$23</f>
        <v>0</v>
      </c>
      <c r="DB45" s="1">
        <f t="array" ref="DB45">IFERROR(INDEX(LCIA_Data,MATCH($AO$15&amp;DB$27,LCIA_Rows_B&amp;LCIA_Rows_C,0),MATCH(DB$26,LCIA_Columns,0)),0)*$AT45*$AJ45*$BN$23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s="1">
        <f t="array" ref="DO45">IFERROR(INDEX(LCIA_Data,MATCH($AO$15&amp;DO$27,LCIA_Rows_B&amp;LCIA_Rows_C,0),MATCH(DO$26,LCIA_Columns,0)),0)*$AT45*$AK45*$BN$23</f>
        <v>0</v>
      </c>
      <c r="DP45" s="1">
        <f t="array" ref="DP45">IFERROR(INDEX(LCIA_Data,MATCH($AO$15&amp;DP$27,LCIA_Rows_B&amp;LCIA_Rows_C,0),MATCH(DP$26,LCIA_Columns,0)),0)*$AT45*$AK45*$BN$23</f>
        <v>0</v>
      </c>
      <c r="DQ45">
        <f t="shared" si="19"/>
        <v>0</v>
      </c>
      <c r="DR45">
        <f t="shared" si="20"/>
        <v>0</v>
      </c>
      <c r="DS45">
        <f t="shared" si="21"/>
        <v>0</v>
      </c>
      <c r="DT45">
        <f t="shared" si="22"/>
        <v>0</v>
      </c>
      <c r="DU45">
        <f t="shared" si="23"/>
        <v>0</v>
      </c>
      <c r="DV45">
        <f t="shared" si="24"/>
        <v>0</v>
      </c>
      <c r="DW45">
        <f t="shared" si="25"/>
        <v>0</v>
      </c>
      <c r="DX45">
        <f t="shared" si="26"/>
        <v>0</v>
      </c>
      <c r="DY45">
        <f t="shared" si="27"/>
        <v>0</v>
      </c>
      <c r="DZ45">
        <f t="shared" si="28"/>
        <v>0</v>
      </c>
      <c r="EA45">
        <f t="shared" si="29"/>
        <v>0</v>
      </c>
      <c r="EB45">
        <f t="shared" si="30"/>
        <v>0</v>
      </c>
      <c r="EC45">
        <f t="shared" si="30"/>
        <v>0</v>
      </c>
      <c r="ED45">
        <f t="shared" si="31"/>
        <v>0</v>
      </c>
      <c r="EE45"/>
      <c r="EF45"/>
      <c r="EG45"/>
      <c r="EH45"/>
      <c r="EI45"/>
    </row>
    <row r="46" spans="2:139" ht="15" customHeight="1">
      <c r="B46" s="53">
        <f>X46</f>
        <v>0</v>
      </c>
      <c r="C46" s="26">
        <f t="shared" si="32"/>
        <v>17</v>
      </c>
      <c r="D46" s="46" t="s">
        <v>459</v>
      </c>
      <c r="E46" s="99"/>
      <c r="F46" s="106" t="str">
        <f t="shared" si="63"/>
        <v>gallon</v>
      </c>
      <c r="G46" s="158">
        <f t="shared" si="57"/>
        <v>0</v>
      </c>
      <c r="H46" s="204" t="str">
        <f t="shared" si="8"/>
        <v>short ton</v>
      </c>
      <c r="I46" s="150">
        <f t="shared" si="48"/>
        <v>0</v>
      </c>
      <c r="J46" s="201"/>
      <c r="K46" s="201"/>
      <c r="L46" s="202"/>
      <c r="M46" s="202"/>
      <c r="N46" s="436" t="s">
        <v>630</v>
      </c>
      <c r="O46" s="408" t="str">
        <f t="shared" si="9"/>
        <v>mile</v>
      </c>
      <c r="X46" s="67">
        <f t="shared" si="49"/>
        <v>0</v>
      </c>
      <c r="Y46" s="216">
        <f t="shared" si="58"/>
        <v>0</v>
      </c>
      <c r="Z46" s="216">
        <v>2</v>
      </c>
      <c r="AA46" s="216">
        <f t="shared" si="50"/>
        <v>0</v>
      </c>
      <c r="AB46" s="216">
        <f t="shared" si="51"/>
        <v>0</v>
      </c>
      <c r="AC46" s="216">
        <f t="shared" si="52"/>
        <v>0</v>
      </c>
      <c r="AD46" s="216">
        <f t="shared" si="53"/>
        <v>0</v>
      </c>
      <c r="AE46" s="217" t="str">
        <f t="shared" si="33"/>
        <v>mile</v>
      </c>
      <c r="AF46" s="217">
        <f t="shared" si="11"/>
        <v>1.6093473468862911</v>
      </c>
      <c r="AG46" s="216" t="str">
        <f t="shared" si="34"/>
        <v>km/mile</v>
      </c>
      <c r="AH46" s="216">
        <f>AA46*$AF46</f>
        <v>0</v>
      </c>
      <c r="AI46" s="216">
        <f>AB46*$AF46</f>
        <v>0</v>
      </c>
      <c r="AJ46" s="216">
        <f>AC46*$AF46</f>
        <v>0</v>
      </c>
      <c r="AK46" s="216">
        <f>AD46*$AF46</f>
        <v>0</v>
      </c>
      <c r="AL46" s="216"/>
      <c r="AM46" s="1" t="str">
        <f t="shared" si="13"/>
        <v>Chemical Admixture - Corrosion Inhibiting</v>
      </c>
      <c r="AN46" s="12" t="s">
        <v>128</v>
      </c>
      <c r="AO46">
        <f>VLOOKUP(AM46,Material_Densities,2,FALSE)</f>
        <v>1.1982656298327359</v>
      </c>
      <c r="AP46" s="1">
        <f t="shared" si="35"/>
        <v>0</v>
      </c>
      <c r="AQ46" s="1" t="str">
        <f t="shared" si="15"/>
        <v>gallon</v>
      </c>
      <c r="AR46" s="1">
        <f t="shared" si="16"/>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IFERROR(INDEX(LCIA_Data,MATCH($AO$15&amp;CM$27,LCIA_Rows_B&amp;LCIA_Rows_C,0),MATCH(CM$26,LCIA_Columns,0)),0)*$AT46*$AI46*$BN$23</f>
        <v>0</v>
      </c>
      <c r="CN46" s="1">
        <f t="array" ref="CN46">IFERROR(INDEX(LCIA_Data,MATCH($AO$15&amp;CN$27,LCIA_Rows_B&amp;LCIA_Rows_C,0),MATCH(CN$26,LCIA_Columns,0)),0)*$AT46*$AI46*$BN$23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IFERROR(INDEX(LCIA_Data,MATCH($AO$15&amp;DA$27,LCIA_Rows_B&amp;LCIA_Rows_C,0),MATCH(DA$26,LCIA_Columns,0)),0)*$AT46*$AJ46*$BN$23</f>
        <v>0</v>
      </c>
      <c r="DB46" s="1">
        <f t="array" ref="DB46">IFERROR(INDEX(LCIA_Data,MATCH($AO$15&amp;DB$27,LCIA_Rows_B&amp;LCIA_Rows_C,0),MATCH(DB$26,LCIA_Columns,0)),0)*$AT46*$AJ46*$BN$23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s="1">
        <f t="array" ref="DO46">IFERROR(INDEX(LCIA_Data,MATCH($AO$15&amp;DO$27,LCIA_Rows_B&amp;LCIA_Rows_C,0),MATCH(DO$26,LCIA_Columns,0)),0)*$AT46*$AK46*$BN$23</f>
        <v>0</v>
      </c>
      <c r="DP46" s="1">
        <f t="array" ref="DP46">IFERROR(INDEX(LCIA_Data,MATCH($AO$15&amp;DP$27,LCIA_Rows_B&amp;LCIA_Rows_C,0),MATCH(DP$26,LCIA_Columns,0)),0)*$AT46*$AK46*$BN$23</f>
        <v>0</v>
      </c>
      <c r="DQ46">
        <f t="shared" si="19"/>
        <v>0</v>
      </c>
      <c r="DR46">
        <f t="shared" si="20"/>
        <v>0</v>
      </c>
      <c r="DS46">
        <f t="shared" si="21"/>
        <v>0</v>
      </c>
      <c r="DT46">
        <f t="shared" si="22"/>
        <v>0</v>
      </c>
      <c r="DU46">
        <f t="shared" si="23"/>
        <v>0</v>
      </c>
      <c r="DV46">
        <f t="shared" si="24"/>
        <v>0</v>
      </c>
      <c r="DW46">
        <f t="shared" si="25"/>
        <v>0</v>
      </c>
      <c r="DX46">
        <f t="shared" si="26"/>
        <v>0</v>
      </c>
      <c r="DY46">
        <f t="shared" si="27"/>
        <v>0</v>
      </c>
      <c r="DZ46">
        <f t="shared" si="28"/>
        <v>0</v>
      </c>
      <c r="EA46">
        <f t="shared" si="29"/>
        <v>0</v>
      </c>
      <c r="EB46">
        <f t="shared" ref="EB46:EC61" si="64">BX46+CL46+CZ46+DN46</f>
        <v>0</v>
      </c>
      <c r="EC46">
        <f t="shared" si="64"/>
        <v>0</v>
      </c>
      <c r="ED46">
        <f t="shared" si="31"/>
        <v>0</v>
      </c>
      <c r="EE46"/>
      <c r="EF46"/>
      <c r="EG46"/>
      <c r="EH46"/>
      <c r="EI46"/>
    </row>
    <row r="47" spans="2:139" ht="15" customHeight="1">
      <c r="B47" s="53">
        <f>X47</f>
        <v>0</v>
      </c>
      <c r="C47" s="26">
        <f t="shared" si="32"/>
        <v>18</v>
      </c>
      <c r="D47" s="46" t="s">
        <v>618</v>
      </c>
      <c r="E47" s="99"/>
      <c r="F47" s="106" t="str">
        <f t="shared" si="63"/>
        <v>gallon</v>
      </c>
      <c r="G47" s="158">
        <f t="shared" si="57"/>
        <v>0</v>
      </c>
      <c r="H47" s="204" t="str">
        <f t="shared" si="8"/>
        <v>short ton</v>
      </c>
      <c r="I47" s="150">
        <f t="shared" si="48"/>
        <v>0</v>
      </c>
      <c r="J47" s="201"/>
      <c r="K47" s="201"/>
      <c r="L47" s="202"/>
      <c r="M47" s="202"/>
      <c r="N47" s="436" t="s">
        <v>630</v>
      </c>
      <c r="O47" s="408" t="str">
        <f t="shared" si="9"/>
        <v>mile</v>
      </c>
      <c r="X47" s="67">
        <f t="shared" si="49"/>
        <v>0</v>
      </c>
      <c r="Y47" s="216">
        <f t="shared" si="58"/>
        <v>0</v>
      </c>
      <c r="Z47" s="216">
        <v>2</v>
      </c>
      <c r="AA47" s="216">
        <f t="shared" si="50"/>
        <v>0</v>
      </c>
      <c r="AB47" s="216">
        <f t="shared" si="51"/>
        <v>0</v>
      </c>
      <c r="AC47" s="216">
        <f t="shared" si="52"/>
        <v>0</v>
      </c>
      <c r="AD47" s="216">
        <f t="shared" si="53"/>
        <v>0</v>
      </c>
      <c r="AE47" s="217" t="str">
        <f t="shared" si="33"/>
        <v>mile</v>
      </c>
      <c r="AF47" s="217">
        <f t="shared" si="11"/>
        <v>1.6093473468862911</v>
      </c>
      <c r="AG47" s="216" t="str">
        <f t="shared" si="34"/>
        <v>km/mile</v>
      </c>
      <c r="AH47" s="216">
        <f t="shared" si="59"/>
        <v>0</v>
      </c>
      <c r="AI47" s="216">
        <f t="shared" si="60"/>
        <v>0</v>
      </c>
      <c r="AJ47" s="216">
        <f t="shared" si="61"/>
        <v>0</v>
      </c>
      <c r="AK47" s="216">
        <f t="shared" si="62"/>
        <v>0</v>
      </c>
      <c r="AL47" s="216"/>
      <c r="AM47" s="1" t="str">
        <f t="shared" si="13"/>
        <v>Chemical Admixture - Viscosity Modifying Admixture (VMA)</v>
      </c>
      <c r="AN47" s="12" t="s">
        <v>128</v>
      </c>
      <c r="AO47">
        <f>VLOOKUP(AM47,Material_Densities,2,FALSE)</f>
        <v>1.1982656298327359</v>
      </c>
      <c r="AP47" s="1">
        <f t="shared" si="35"/>
        <v>0</v>
      </c>
      <c r="AQ47" s="1" t="str">
        <f t="shared" si="15"/>
        <v>gallon</v>
      </c>
      <c r="AR47" s="1">
        <f t="shared" si="16"/>
        <v>4.535929094356397E-3</v>
      </c>
      <c r="AS47" s="87" t="str">
        <f>$AT$29&amp;"/"&amp;AQ47</f>
        <v>tonne/gallon</v>
      </c>
      <c r="AT47" s="87">
        <f>AP47*AR47</f>
        <v>0</v>
      </c>
      <c r="AU47" s="87">
        <f>INDEX(Conversion_Table,MATCH($AT$29,Conversion_Rows,0),MATCH($AU$29,Conversion_Columns,0))*AT47</f>
        <v>0</v>
      </c>
      <c r="AV47" s="87">
        <f t="shared" si="18"/>
        <v>0</v>
      </c>
      <c r="AW47" t="str">
        <f>AM47</f>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IFERROR(INDEX(LCIA_Data,MATCH($AO$15&amp;CM$27,LCIA_Rows_B&amp;LCIA_Rows_C,0),MATCH(CM$26,LCIA_Columns,0)),0)*$AT47*$AI47*$BN$23</f>
        <v>0</v>
      </c>
      <c r="CN47" s="1">
        <f t="array" ref="CN47">IFERROR(INDEX(LCIA_Data,MATCH($AO$15&amp;CN$27,LCIA_Rows_B&amp;LCIA_Rows_C,0),MATCH(CN$26,LCIA_Columns,0)),0)*$AT47*$AI47*$BN$23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IFERROR(INDEX(LCIA_Data,MATCH($AO$15&amp;DA$27,LCIA_Rows_B&amp;LCIA_Rows_C,0),MATCH(DA$26,LCIA_Columns,0)),0)*$AT47*$AJ47*$BN$23</f>
        <v>0</v>
      </c>
      <c r="DB47" s="1">
        <f t="array" ref="DB47">IFERROR(INDEX(LCIA_Data,MATCH($AO$15&amp;DB$27,LCIA_Rows_B&amp;LCIA_Rows_C,0),MATCH(DB$26,LCIA_Columns,0)),0)*$AT47*$AJ47*$BN$23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s="1">
        <f t="array" ref="DO47">IFERROR(INDEX(LCIA_Data,MATCH($AO$15&amp;DO$27,LCIA_Rows_B&amp;LCIA_Rows_C,0),MATCH(DO$26,LCIA_Columns,0)),0)*$AT47*$AK47*$BN$23</f>
        <v>0</v>
      </c>
      <c r="DP47" s="1">
        <f t="array" ref="DP47">IFERROR(INDEX(LCIA_Data,MATCH($AO$15&amp;DP$27,LCIA_Rows_B&amp;LCIA_Rows_C,0),MATCH(DP$26,LCIA_Columns,0)),0)*$AT47*$AK47*$BN$23</f>
        <v>0</v>
      </c>
      <c r="DQ47">
        <f t="shared" si="19"/>
        <v>0</v>
      </c>
      <c r="DR47">
        <f t="shared" si="20"/>
        <v>0</v>
      </c>
      <c r="DS47">
        <f t="shared" si="21"/>
        <v>0</v>
      </c>
      <c r="DT47">
        <f t="shared" si="22"/>
        <v>0</v>
      </c>
      <c r="DU47">
        <f t="shared" si="23"/>
        <v>0</v>
      </c>
      <c r="DV47">
        <f t="shared" si="24"/>
        <v>0</v>
      </c>
      <c r="DW47">
        <f t="shared" si="25"/>
        <v>0</v>
      </c>
      <c r="DX47">
        <f t="shared" si="26"/>
        <v>0</v>
      </c>
      <c r="DY47">
        <f t="shared" si="27"/>
        <v>0</v>
      </c>
      <c r="DZ47">
        <f t="shared" si="28"/>
        <v>0</v>
      </c>
      <c r="EA47">
        <f t="shared" si="29"/>
        <v>0</v>
      </c>
      <c r="EB47">
        <f t="shared" si="64"/>
        <v>0</v>
      </c>
      <c r="EC47">
        <f t="shared" si="64"/>
        <v>0</v>
      </c>
      <c r="ED47">
        <f t="shared" si="31"/>
        <v>0</v>
      </c>
      <c r="EE47"/>
      <c r="EF47"/>
      <c r="EG47"/>
      <c r="EH47"/>
      <c r="EI47"/>
    </row>
    <row r="48" spans="2:139" ht="15" customHeight="1" thickBot="1">
      <c r="B48" s="53">
        <f t="shared" si="7"/>
        <v>0</v>
      </c>
      <c r="C48" s="32">
        <f t="shared" si="32"/>
        <v>19</v>
      </c>
      <c r="D48" s="47" t="s">
        <v>93</v>
      </c>
      <c r="E48" s="102"/>
      <c r="F48" s="247" t="str">
        <f t="shared" si="63"/>
        <v>gallon</v>
      </c>
      <c r="G48" s="228">
        <f t="shared" si="57"/>
        <v>0</v>
      </c>
      <c r="H48" s="227" t="str">
        <f t="shared" si="8"/>
        <v>short ton</v>
      </c>
      <c r="I48" s="242">
        <f t="shared" si="48"/>
        <v>0</v>
      </c>
      <c r="J48" s="232"/>
      <c r="K48" s="232"/>
      <c r="L48" s="243"/>
      <c r="M48" s="243"/>
      <c r="N48" s="440" t="s">
        <v>630</v>
      </c>
      <c r="O48" s="412" t="str">
        <f t="shared" si="9"/>
        <v>mile</v>
      </c>
      <c r="X48" s="67">
        <f t="shared" si="49"/>
        <v>0</v>
      </c>
      <c r="Y48" s="216">
        <f t="shared" si="58"/>
        <v>0</v>
      </c>
      <c r="Z48" s="216">
        <v>1</v>
      </c>
      <c r="AA48" s="216">
        <f t="shared" si="50"/>
        <v>0</v>
      </c>
      <c r="AB48" s="216">
        <f t="shared" si="51"/>
        <v>0</v>
      </c>
      <c r="AC48" s="216">
        <f t="shared" si="52"/>
        <v>0</v>
      </c>
      <c r="AD48" s="216">
        <f t="shared" si="53"/>
        <v>0</v>
      </c>
      <c r="AE48" s="217" t="str">
        <f t="shared" si="33"/>
        <v>mile</v>
      </c>
      <c r="AF48" s="217">
        <f t="shared" si="11"/>
        <v>1.6093473468862911</v>
      </c>
      <c r="AG48" s="216" t="str">
        <f t="shared" si="34"/>
        <v>km/mile</v>
      </c>
      <c r="AH48" s="216">
        <f t="shared" si="59"/>
        <v>0</v>
      </c>
      <c r="AI48" s="216">
        <f t="shared" si="60"/>
        <v>0</v>
      </c>
      <c r="AJ48" s="216">
        <f t="shared" si="61"/>
        <v>0</v>
      </c>
      <c r="AK48" s="216">
        <f t="shared" si="62"/>
        <v>0</v>
      </c>
      <c r="AL48" s="216"/>
      <c r="AM48" s="1" t="str">
        <f t="shared" si="13"/>
        <v>Form Release Agent</v>
      </c>
      <c r="AN48" s="12" t="s">
        <v>128</v>
      </c>
      <c r="AO48">
        <f t="shared" si="14"/>
        <v>0.86599999999999999</v>
      </c>
      <c r="AP48" s="1">
        <f t="shared" si="35"/>
        <v>0</v>
      </c>
      <c r="AQ48" s="1" t="str">
        <f t="shared" si="15"/>
        <v>gallon</v>
      </c>
      <c r="AR48" s="1">
        <f t="shared" si="16"/>
        <v>3.2781667920000006E-3</v>
      </c>
      <c r="AS48" s="87" t="str">
        <f t="shared" si="54"/>
        <v>tonne/gallon</v>
      </c>
      <c r="AT48" s="87">
        <f t="shared" si="55"/>
        <v>0</v>
      </c>
      <c r="AU48" s="87">
        <f t="shared" si="17"/>
        <v>0</v>
      </c>
      <c r="AV48" s="87">
        <f t="shared" si="18"/>
        <v>0</v>
      </c>
      <c r="AW48" t="str">
        <f t="shared" si="56"/>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IFERROR(INDEX(LCIA_Data,MATCH($AO$15&amp;CM$27,LCIA_Rows_B&amp;LCIA_Rows_C,0),MATCH(CM$26,LCIA_Columns,0)),0)*$AT48*$AI48*$BN$23</f>
        <v>0</v>
      </c>
      <c r="CN48" s="1">
        <f t="array" ref="CN48">IFERROR(INDEX(LCIA_Data,MATCH($AO$15&amp;CN$27,LCIA_Rows_B&amp;LCIA_Rows_C,0),MATCH(CN$26,LCIA_Columns,0)),0)*$AT48*$AI48*$BN$23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IFERROR(INDEX(LCIA_Data,MATCH($AO$15&amp;DA$27,LCIA_Rows_B&amp;LCIA_Rows_C,0),MATCH(DA$26,LCIA_Columns,0)),0)*$AT48*$AJ48*$BN$23</f>
        <v>0</v>
      </c>
      <c r="DB48" s="1">
        <f t="array" ref="DB48">IFERROR(INDEX(LCIA_Data,MATCH($AO$15&amp;DB$27,LCIA_Rows_B&amp;LCIA_Rows_C,0),MATCH(DB$26,LCIA_Columns,0)),0)*$AT48*$AJ48*$BN$23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s="1">
        <f t="array" ref="DO48">IFERROR(INDEX(LCIA_Data,MATCH($AO$15&amp;DO$27,LCIA_Rows_B&amp;LCIA_Rows_C,0),MATCH(DO$26,LCIA_Columns,0)),0)*$AT48*$AK48*$BN$23</f>
        <v>0</v>
      </c>
      <c r="DP48" s="1">
        <f t="array" ref="DP48">IFERROR(INDEX(LCIA_Data,MATCH($AO$15&amp;DP$27,LCIA_Rows_B&amp;LCIA_Rows_C,0),MATCH(DP$26,LCIA_Columns,0)),0)*$AT48*$AK48*$BN$23</f>
        <v>0</v>
      </c>
      <c r="DQ48">
        <f t="shared" si="19"/>
        <v>0</v>
      </c>
      <c r="DR48">
        <f t="shared" si="20"/>
        <v>0</v>
      </c>
      <c r="DS48">
        <f t="shared" si="21"/>
        <v>0</v>
      </c>
      <c r="DT48">
        <f t="shared" si="22"/>
        <v>0</v>
      </c>
      <c r="DU48">
        <f t="shared" si="23"/>
        <v>0</v>
      </c>
      <c r="DV48">
        <f t="shared" si="24"/>
        <v>0</v>
      </c>
      <c r="DW48">
        <f t="shared" si="25"/>
        <v>0</v>
      </c>
      <c r="DX48">
        <f t="shared" si="26"/>
        <v>0</v>
      </c>
      <c r="DY48">
        <f t="shared" si="27"/>
        <v>0</v>
      </c>
      <c r="DZ48">
        <f t="shared" si="28"/>
        <v>0</v>
      </c>
      <c r="EA48">
        <f t="shared" si="29"/>
        <v>0</v>
      </c>
      <c r="EB48">
        <f t="shared" si="64"/>
        <v>0</v>
      </c>
      <c r="EC48">
        <f t="shared" si="64"/>
        <v>0</v>
      </c>
      <c r="ED48">
        <f t="shared" si="31"/>
        <v>0</v>
      </c>
      <c r="EE48"/>
      <c r="EF48"/>
      <c r="EG48"/>
      <c r="EH48"/>
      <c r="EI48"/>
    </row>
    <row r="49" spans="2:139" ht="15" customHeight="1">
      <c r="B49" s="53">
        <f t="shared" si="7"/>
        <v>0</v>
      </c>
      <c r="C49" s="221">
        <f t="shared" si="32"/>
        <v>20</v>
      </c>
      <c r="D49" s="222" t="s">
        <v>137</v>
      </c>
      <c r="E49" s="154"/>
      <c r="F49" s="223" t="str">
        <f t="shared" ref="F49:F58" si="65">MassDisplayUnit</f>
        <v>short ton</v>
      </c>
      <c r="G49" s="224">
        <f t="shared" si="57"/>
        <v>0</v>
      </c>
      <c r="H49" s="225" t="str">
        <f t="shared" si="8"/>
        <v>short ton</v>
      </c>
      <c r="I49" s="150">
        <f t="shared" si="48"/>
        <v>0</v>
      </c>
      <c r="J49" s="202"/>
      <c r="K49" s="202"/>
      <c r="L49" s="202"/>
      <c r="M49" s="202"/>
      <c r="N49" s="436" t="s">
        <v>386</v>
      </c>
      <c r="O49" s="408" t="str">
        <f t="shared" si="9"/>
        <v>mile</v>
      </c>
      <c r="X49" s="67">
        <f t="shared" si="49"/>
        <v>0</v>
      </c>
      <c r="Y49" s="216">
        <f t="shared" si="58"/>
        <v>0</v>
      </c>
      <c r="Z49" s="216">
        <v>1</v>
      </c>
      <c r="AA49" s="216">
        <f t="shared" si="50"/>
        <v>0</v>
      </c>
      <c r="AB49" s="216">
        <f t="shared" si="51"/>
        <v>0</v>
      </c>
      <c r="AC49" s="216">
        <f t="shared" si="52"/>
        <v>0</v>
      </c>
      <c r="AD49" s="216">
        <f t="shared" si="53"/>
        <v>0</v>
      </c>
      <c r="AE49" s="217" t="str">
        <f t="shared" si="33"/>
        <v>mile</v>
      </c>
      <c r="AF49" s="217">
        <f t="shared" si="11"/>
        <v>1.6093473468862911</v>
      </c>
      <c r="AG49" s="216" t="str">
        <f t="shared" si="34"/>
        <v>km/mile</v>
      </c>
      <c r="AH49" s="216">
        <f t="shared" si="59"/>
        <v>0</v>
      </c>
      <c r="AI49" s="216">
        <f t="shared" si="60"/>
        <v>0</v>
      </c>
      <c r="AJ49" s="216">
        <f t="shared" si="61"/>
        <v>0</v>
      </c>
      <c r="AK49" s="216">
        <f t="shared" si="62"/>
        <v>0</v>
      </c>
      <c r="AL49" s="216"/>
      <c r="AM49" s="1" t="str">
        <f t="shared" si="13"/>
        <v>Rebar</v>
      </c>
      <c r="AN49" t="s">
        <v>127</v>
      </c>
      <c r="AO49">
        <f t="shared" si="14"/>
        <v>0</v>
      </c>
      <c r="AP49" s="1">
        <f t="shared" si="35"/>
        <v>0</v>
      </c>
      <c r="AQ49" s="1" t="str">
        <f t="shared" si="15"/>
        <v>short ton</v>
      </c>
      <c r="AR49" s="1">
        <f t="shared" si="16"/>
        <v>0.90718499588591606</v>
      </c>
      <c r="AS49" s="87" t="str">
        <f t="shared" si="54"/>
        <v>tonne/short ton</v>
      </c>
      <c r="AT49" s="87">
        <f t="shared" si="55"/>
        <v>0</v>
      </c>
      <c r="AU49" s="87">
        <f t="shared" si="17"/>
        <v>0</v>
      </c>
      <c r="AV49" s="87">
        <f t="shared" si="18"/>
        <v>0</v>
      </c>
      <c r="AW49" t="str">
        <f t="shared" si="56"/>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IFERROR(INDEX(LCIA_Data,MATCH($AO$15&amp;CM$27,LCIA_Rows_B&amp;LCIA_Rows_C,0),MATCH(CM$26,LCIA_Columns,0)),0)*$AT49*$AI49*$BN$23</f>
        <v>0</v>
      </c>
      <c r="CN49" s="1">
        <f t="array" ref="CN49">IFERROR(INDEX(LCIA_Data,MATCH($AO$15&amp;CN$27,LCIA_Rows_B&amp;LCIA_Rows_C,0),MATCH(CN$26,LCIA_Columns,0)),0)*$AT49*$AI49*$BN$23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IFERROR(INDEX(LCIA_Data,MATCH($AO$15&amp;DA$27,LCIA_Rows_B&amp;LCIA_Rows_C,0),MATCH(DA$26,LCIA_Columns,0)),0)*$AT49*$AJ49*$BN$23</f>
        <v>0</v>
      </c>
      <c r="DB49" s="1">
        <f t="array" ref="DB49">IFERROR(INDEX(LCIA_Data,MATCH($AO$15&amp;DB$27,LCIA_Rows_B&amp;LCIA_Rows_C,0),MATCH(DB$26,LCIA_Columns,0)),0)*$AT49*$AJ49*$BN$23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s="1">
        <f t="array" ref="DO49">IFERROR(INDEX(LCIA_Data,MATCH($AO$15&amp;DO$27,LCIA_Rows_B&amp;LCIA_Rows_C,0),MATCH(DO$26,LCIA_Columns,0)),0)*$AT49*$AK49*$BN$23</f>
        <v>0</v>
      </c>
      <c r="DP49" s="1">
        <f t="array" ref="DP49">IFERROR(INDEX(LCIA_Data,MATCH($AO$15&amp;DP$27,LCIA_Rows_B&amp;LCIA_Rows_C,0),MATCH(DP$26,LCIA_Columns,0)),0)*$AT49*$AK49*$BN$23</f>
        <v>0</v>
      </c>
      <c r="DQ49">
        <f t="shared" si="19"/>
        <v>0</v>
      </c>
      <c r="DR49">
        <f t="shared" si="20"/>
        <v>0</v>
      </c>
      <c r="DS49">
        <f t="shared" si="21"/>
        <v>0</v>
      </c>
      <c r="DT49">
        <f t="shared" si="22"/>
        <v>0</v>
      </c>
      <c r="DU49">
        <f t="shared" si="23"/>
        <v>0</v>
      </c>
      <c r="DV49">
        <f t="shared" si="24"/>
        <v>0</v>
      </c>
      <c r="DW49">
        <f t="shared" si="25"/>
        <v>0</v>
      </c>
      <c r="DX49">
        <f t="shared" si="26"/>
        <v>0</v>
      </c>
      <c r="DY49">
        <f t="shared" si="27"/>
        <v>0</v>
      </c>
      <c r="DZ49">
        <f t="shared" si="28"/>
        <v>0</v>
      </c>
      <c r="EA49">
        <f t="shared" si="29"/>
        <v>0</v>
      </c>
      <c r="EB49">
        <f t="shared" si="64"/>
        <v>0</v>
      </c>
      <c r="EC49">
        <f t="shared" si="64"/>
        <v>0</v>
      </c>
      <c r="ED49">
        <f t="shared" si="31"/>
        <v>0</v>
      </c>
      <c r="EE49"/>
      <c r="EF49"/>
      <c r="EG49"/>
      <c r="EH49"/>
      <c r="EI49"/>
    </row>
    <row r="50" spans="2:139" ht="15" customHeight="1">
      <c r="B50" s="53">
        <f>X50</f>
        <v>0</v>
      </c>
      <c r="C50" s="26">
        <f t="shared" si="32"/>
        <v>21</v>
      </c>
      <c r="D50" s="46" t="s">
        <v>619</v>
      </c>
      <c r="E50" s="99"/>
      <c r="F50" s="119" t="str">
        <f t="shared" si="65"/>
        <v>short ton</v>
      </c>
      <c r="G50" s="158">
        <f t="shared" si="57"/>
        <v>0</v>
      </c>
      <c r="H50" s="204" t="str">
        <f t="shared" si="8"/>
        <v>short ton</v>
      </c>
      <c r="I50" s="150">
        <f t="shared" si="48"/>
        <v>0</v>
      </c>
      <c r="J50" s="201"/>
      <c r="K50" s="201"/>
      <c r="L50" s="202"/>
      <c r="M50" s="202"/>
      <c r="N50" s="436" t="s">
        <v>386</v>
      </c>
      <c r="O50" s="408" t="str">
        <f t="shared" si="9"/>
        <v>mile</v>
      </c>
      <c r="X50" s="67">
        <f t="shared" si="49"/>
        <v>0</v>
      </c>
      <c r="Y50" s="216">
        <f t="shared" si="58"/>
        <v>0</v>
      </c>
      <c r="Z50" s="216">
        <v>2</v>
      </c>
      <c r="AA50" s="216">
        <f t="shared" si="50"/>
        <v>0</v>
      </c>
      <c r="AB50" s="216">
        <f t="shared" si="51"/>
        <v>0</v>
      </c>
      <c r="AC50" s="216">
        <f t="shared" si="52"/>
        <v>0</v>
      </c>
      <c r="AD50" s="216">
        <f t="shared" si="53"/>
        <v>0</v>
      </c>
      <c r="AE50" s="217" t="str">
        <f t="shared" si="33"/>
        <v>mile</v>
      </c>
      <c r="AF50" s="217">
        <f t="shared" si="11"/>
        <v>1.6093473468862911</v>
      </c>
      <c r="AG50" s="216" t="str">
        <f t="shared" si="34"/>
        <v>km/mile</v>
      </c>
      <c r="AH50" s="216">
        <f t="shared" si="59"/>
        <v>0</v>
      </c>
      <c r="AI50" s="216">
        <f t="shared" si="60"/>
        <v>0</v>
      </c>
      <c r="AJ50" s="216">
        <f t="shared" si="61"/>
        <v>0</v>
      </c>
      <c r="AK50" s="216">
        <f t="shared" si="62"/>
        <v>0</v>
      </c>
      <c r="AL50" s="216"/>
      <c r="AM50" s="1" t="str">
        <f t="shared" si="13"/>
        <v>Welded Wire Reinforcement (WWR)</v>
      </c>
      <c r="AN50" t="s">
        <v>127</v>
      </c>
      <c r="AO50">
        <f>VLOOKUP(AM50,Material_Densities,2,FALSE)</f>
        <v>0</v>
      </c>
      <c r="AP50" s="1">
        <f t="shared" si="35"/>
        <v>0</v>
      </c>
      <c r="AQ50" s="1" t="str">
        <f t="shared" si="15"/>
        <v>short ton</v>
      </c>
      <c r="AR50" s="1">
        <f t="shared" si="16"/>
        <v>0.90718499588591606</v>
      </c>
      <c r="AS50" s="87" t="str">
        <f>$AT$29&amp;"/"&amp;AQ50</f>
        <v>tonne/short ton</v>
      </c>
      <c r="AT50" s="87">
        <f>AP50*AR50</f>
        <v>0</v>
      </c>
      <c r="AU50" s="87">
        <f>INDEX(Conversion_Table,MATCH($AT$29,Conversion_Rows,0),MATCH($AU$29,Conversion_Columns,0))*AT50</f>
        <v>0</v>
      </c>
      <c r="AV50" s="87">
        <f t="shared" si="18"/>
        <v>0</v>
      </c>
      <c r="AW50" t="str">
        <f>AM50</f>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IFERROR(INDEX(LCIA_Data,MATCH($AO$15&amp;CM$27,LCIA_Rows_B&amp;LCIA_Rows_C,0),MATCH(CM$26,LCIA_Columns,0)),0)*$AT50*$AI50*$BN$23</f>
        <v>0</v>
      </c>
      <c r="CN50" s="1">
        <f t="array" ref="CN50">IFERROR(INDEX(LCIA_Data,MATCH($AO$15&amp;CN$27,LCIA_Rows_B&amp;LCIA_Rows_C,0),MATCH(CN$26,LCIA_Columns,0)),0)*$AT50*$AI50*$BN$23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IFERROR(INDEX(LCIA_Data,MATCH($AO$15&amp;DA$27,LCIA_Rows_B&amp;LCIA_Rows_C,0),MATCH(DA$26,LCIA_Columns,0)),0)*$AT50*$AJ50*$BN$23</f>
        <v>0</v>
      </c>
      <c r="DB50" s="1">
        <f t="array" ref="DB50">IFERROR(INDEX(LCIA_Data,MATCH($AO$15&amp;DB$27,LCIA_Rows_B&amp;LCIA_Rows_C,0),MATCH(DB$26,LCIA_Columns,0)),0)*$AT50*$AJ50*$BN$23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s="1">
        <f t="array" ref="DO50">IFERROR(INDEX(LCIA_Data,MATCH($AO$15&amp;DO$27,LCIA_Rows_B&amp;LCIA_Rows_C,0),MATCH(DO$26,LCIA_Columns,0)),0)*$AT50*$AK50*$BN$23</f>
        <v>0</v>
      </c>
      <c r="DP50" s="1">
        <f t="array" ref="DP50">IFERROR(INDEX(LCIA_Data,MATCH($AO$15&amp;DP$27,LCIA_Rows_B&amp;LCIA_Rows_C,0),MATCH(DP$26,LCIA_Columns,0)),0)*$AT50*$AK50*$BN$23</f>
        <v>0</v>
      </c>
      <c r="DQ50">
        <f t="shared" si="19"/>
        <v>0</v>
      </c>
      <c r="DR50">
        <f t="shared" si="20"/>
        <v>0</v>
      </c>
      <c r="DS50">
        <f t="shared" si="21"/>
        <v>0</v>
      </c>
      <c r="DT50">
        <f t="shared" si="22"/>
        <v>0</v>
      </c>
      <c r="DU50">
        <f t="shared" si="23"/>
        <v>0</v>
      </c>
      <c r="DV50">
        <f t="shared" si="24"/>
        <v>0</v>
      </c>
      <c r="DW50">
        <f t="shared" si="25"/>
        <v>0</v>
      </c>
      <c r="DX50">
        <f t="shared" si="26"/>
        <v>0</v>
      </c>
      <c r="DY50">
        <f t="shared" si="27"/>
        <v>0</v>
      </c>
      <c r="DZ50">
        <f t="shared" si="28"/>
        <v>0</v>
      </c>
      <c r="EA50">
        <f t="shared" si="29"/>
        <v>0</v>
      </c>
      <c r="EB50">
        <f t="shared" si="64"/>
        <v>0</v>
      </c>
      <c r="EC50">
        <f t="shared" si="64"/>
        <v>0</v>
      </c>
      <c r="ED50">
        <f t="shared" si="31"/>
        <v>0</v>
      </c>
      <c r="EE50"/>
      <c r="EF50"/>
      <c r="EG50"/>
      <c r="EH50"/>
      <c r="EI50"/>
    </row>
    <row r="51" spans="2:139" ht="15" customHeight="1" thickBot="1">
      <c r="B51" s="53">
        <f>X51</f>
        <v>0</v>
      </c>
      <c r="C51" s="32">
        <f t="shared" si="32"/>
        <v>22</v>
      </c>
      <c r="D51" s="47" t="s">
        <v>454</v>
      </c>
      <c r="E51" s="102"/>
      <c r="F51" s="231" t="str">
        <f t="shared" si="65"/>
        <v>short ton</v>
      </c>
      <c r="G51" s="228">
        <f t="shared" si="57"/>
        <v>0</v>
      </c>
      <c r="H51" s="227" t="str">
        <f t="shared" si="8"/>
        <v>short ton</v>
      </c>
      <c r="I51" s="229">
        <f t="shared" si="48"/>
        <v>0</v>
      </c>
      <c r="J51" s="232"/>
      <c r="K51" s="232"/>
      <c r="L51" s="232"/>
      <c r="M51" s="232"/>
      <c r="N51" s="437" t="s">
        <v>386</v>
      </c>
      <c r="O51" s="411" t="str">
        <f t="shared" si="9"/>
        <v>mile</v>
      </c>
      <c r="X51" s="67">
        <f t="shared" si="49"/>
        <v>0</v>
      </c>
      <c r="Y51" s="216">
        <f t="shared" si="58"/>
        <v>0</v>
      </c>
      <c r="Z51" s="216">
        <v>2</v>
      </c>
      <c r="AA51" s="216">
        <f t="shared" si="50"/>
        <v>0</v>
      </c>
      <c r="AB51" s="216">
        <f t="shared" si="51"/>
        <v>0</v>
      </c>
      <c r="AC51" s="216">
        <f t="shared" si="52"/>
        <v>0</v>
      </c>
      <c r="AD51" s="216">
        <f t="shared" si="53"/>
        <v>0</v>
      </c>
      <c r="AE51" s="217" t="str">
        <f t="shared" si="33"/>
        <v>mile</v>
      </c>
      <c r="AF51" s="217">
        <f t="shared" si="11"/>
        <v>1.6093473468862911</v>
      </c>
      <c r="AG51" s="216" t="str">
        <f t="shared" si="34"/>
        <v>km/mile</v>
      </c>
      <c r="AH51" s="216">
        <f t="shared" si="59"/>
        <v>0</v>
      </c>
      <c r="AI51" s="216">
        <f t="shared" si="60"/>
        <v>0</v>
      </c>
      <c r="AJ51" s="216">
        <f t="shared" si="61"/>
        <v>0</v>
      </c>
      <c r="AK51" s="216">
        <f t="shared" si="62"/>
        <v>0</v>
      </c>
      <c r="AL51" s="216"/>
      <c r="AM51" s="1" t="str">
        <f t="shared" si="13"/>
        <v>Steel Anchors</v>
      </c>
      <c r="AN51" t="s">
        <v>127</v>
      </c>
      <c r="AO51">
        <f>VLOOKUP(AM51,Material_Densities,2,FALSE)</f>
        <v>0</v>
      </c>
      <c r="AP51" s="1">
        <f t="shared" si="35"/>
        <v>0</v>
      </c>
      <c r="AQ51" s="1" t="str">
        <f t="shared" si="15"/>
        <v>short ton</v>
      </c>
      <c r="AR51" s="1">
        <f t="shared" si="16"/>
        <v>0.90718499588591606</v>
      </c>
      <c r="AS51" s="87" t="str">
        <f>$AT$29&amp;"/"&amp;AQ51</f>
        <v>tonne/short ton</v>
      </c>
      <c r="AT51" s="87">
        <f>AP51*AR51</f>
        <v>0</v>
      </c>
      <c r="AU51" s="87">
        <f>INDEX(Conversion_Table,MATCH($AT$29,Conversion_Rows,0),MATCH($AU$29,Conversion_Columns,0))*AT51</f>
        <v>0</v>
      </c>
      <c r="AV51" s="87">
        <f t="shared" si="18"/>
        <v>0</v>
      </c>
      <c r="AW51" t="str">
        <f>AM51</f>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IFERROR(INDEX(LCIA_Data,MATCH($AO$15&amp;CM$27,LCIA_Rows_B&amp;LCIA_Rows_C,0),MATCH(CM$26,LCIA_Columns,0)),0)*$AT51*$AI51*$BN$23</f>
        <v>0</v>
      </c>
      <c r="CN51" s="1">
        <f t="array" ref="CN51">IFERROR(INDEX(LCIA_Data,MATCH($AO$15&amp;CN$27,LCIA_Rows_B&amp;LCIA_Rows_C,0),MATCH(CN$26,LCIA_Columns,0)),0)*$AT51*$AI51*$BN$23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IFERROR(INDEX(LCIA_Data,MATCH($AO$15&amp;DA$27,LCIA_Rows_B&amp;LCIA_Rows_C,0),MATCH(DA$26,LCIA_Columns,0)),0)*$AT51*$AJ51*$BN$23</f>
        <v>0</v>
      </c>
      <c r="DB51" s="1">
        <f t="array" ref="DB51">IFERROR(INDEX(LCIA_Data,MATCH($AO$15&amp;DB$27,LCIA_Rows_B&amp;LCIA_Rows_C,0),MATCH(DB$26,LCIA_Columns,0)),0)*$AT51*$AJ51*$BN$23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s="1">
        <f t="array" ref="DO51">IFERROR(INDEX(LCIA_Data,MATCH($AO$15&amp;DO$27,LCIA_Rows_B&amp;LCIA_Rows_C,0),MATCH(DO$26,LCIA_Columns,0)),0)*$AT51*$AK51*$BN$23</f>
        <v>0</v>
      </c>
      <c r="DP51" s="1">
        <f t="array" ref="DP51">IFERROR(INDEX(LCIA_Data,MATCH($AO$15&amp;DP$27,LCIA_Rows_B&amp;LCIA_Rows_C,0),MATCH(DP$26,LCIA_Columns,0)),0)*$AT51*$AK51*$BN$23</f>
        <v>0</v>
      </c>
      <c r="DQ51">
        <f t="shared" si="19"/>
        <v>0</v>
      </c>
      <c r="DR51">
        <f t="shared" si="20"/>
        <v>0</v>
      </c>
      <c r="DS51">
        <f t="shared" si="21"/>
        <v>0</v>
      </c>
      <c r="DT51">
        <f t="shared" si="22"/>
        <v>0</v>
      </c>
      <c r="DU51">
        <f t="shared" si="23"/>
        <v>0</v>
      </c>
      <c r="DV51">
        <f t="shared" si="24"/>
        <v>0</v>
      </c>
      <c r="DW51">
        <f t="shared" si="25"/>
        <v>0</v>
      </c>
      <c r="DX51">
        <f t="shared" si="26"/>
        <v>0</v>
      </c>
      <c r="DY51">
        <f t="shared" si="27"/>
        <v>0</v>
      </c>
      <c r="DZ51">
        <f t="shared" si="28"/>
        <v>0</v>
      </c>
      <c r="EA51">
        <f t="shared" si="29"/>
        <v>0</v>
      </c>
      <c r="EB51">
        <f t="shared" si="64"/>
        <v>0</v>
      </c>
      <c r="EC51">
        <f t="shared" si="64"/>
        <v>0</v>
      </c>
      <c r="ED51">
        <f t="shared" si="31"/>
        <v>0</v>
      </c>
      <c r="EE51"/>
      <c r="EF51"/>
      <c r="EG51"/>
      <c r="EH51"/>
      <c r="EI51"/>
    </row>
    <row r="52" spans="2:139" ht="15" customHeight="1">
      <c r="B52" s="53">
        <f t="shared" si="7"/>
        <v>0</v>
      </c>
      <c r="C52" s="221">
        <f t="shared" si="32"/>
        <v>23</v>
      </c>
      <c r="D52" s="222" t="s">
        <v>620</v>
      </c>
      <c r="E52" s="154"/>
      <c r="F52" s="223" t="str">
        <f t="shared" si="65"/>
        <v>short ton</v>
      </c>
      <c r="G52" s="224">
        <f t="shared" si="57"/>
        <v>0</v>
      </c>
      <c r="H52" s="225" t="str">
        <f t="shared" si="8"/>
        <v>short ton</v>
      </c>
      <c r="I52" s="150">
        <f t="shared" si="48"/>
        <v>0</v>
      </c>
      <c r="J52" s="202"/>
      <c r="K52" s="202"/>
      <c r="L52" s="202"/>
      <c r="M52" s="202"/>
      <c r="N52" s="436" t="s">
        <v>386</v>
      </c>
      <c r="O52" s="408" t="str">
        <f t="shared" si="9"/>
        <v>mile</v>
      </c>
      <c r="X52" s="67">
        <f t="shared" si="49"/>
        <v>0</v>
      </c>
      <c r="Y52" s="216">
        <f t="shared" si="58"/>
        <v>0</v>
      </c>
      <c r="Z52" s="216">
        <v>1</v>
      </c>
      <c r="AA52" s="216">
        <f t="shared" si="50"/>
        <v>0</v>
      </c>
      <c r="AB52" s="216">
        <f t="shared" si="51"/>
        <v>0</v>
      </c>
      <c r="AC52" s="216">
        <f t="shared" si="52"/>
        <v>0</v>
      </c>
      <c r="AD52" s="216">
        <f t="shared" si="53"/>
        <v>0</v>
      </c>
      <c r="AE52" s="217" t="str">
        <f t="shared" si="33"/>
        <v>mile</v>
      </c>
      <c r="AF52" s="217">
        <f t="shared" si="11"/>
        <v>1.6093473468862911</v>
      </c>
      <c r="AG52" s="216" t="str">
        <f t="shared" si="34"/>
        <v>km/mile</v>
      </c>
      <c r="AH52" s="216">
        <f t="shared" si="59"/>
        <v>0</v>
      </c>
      <c r="AI52" s="216">
        <f t="shared" si="60"/>
        <v>0</v>
      </c>
      <c r="AJ52" s="216">
        <f t="shared" si="61"/>
        <v>0</v>
      </c>
      <c r="AK52" s="216">
        <f t="shared" si="62"/>
        <v>0</v>
      </c>
      <c r="AL52" s="216"/>
      <c r="AM52" s="1" t="str">
        <f t="shared" si="13"/>
        <v>Steel Stressing Strand</v>
      </c>
      <c r="AN52" t="s">
        <v>127</v>
      </c>
      <c r="AO52">
        <f t="shared" si="14"/>
        <v>0</v>
      </c>
      <c r="AP52" s="1">
        <f t="shared" si="35"/>
        <v>0</v>
      </c>
      <c r="AQ52" s="1" t="str">
        <f t="shared" si="15"/>
        <v>short ton</v>
      </c>
      <c r="AR52" s="1">
        <f t="shared" si="16"/>
        <v>0.90718499588591606</v>
      </c>
      <c r="AS52" s="87" t="str">
        <f t="shared" si="54"/>
        <v>tonne/short ton</v>
      </c>
      <c r="AT52" s="87">
        <f t="shared" si="55"/>
        <v>0</v>
      </c>
      <c r="AU52" s="87">
        <f t="shared" si="17"/>
        <v>0</v>
      </c>
      <c r="AV52" s="87">
        <f t="shared" si="18"/>
        <v>0</v>
      </c>
      <c r="AW52" t="str">
        <f t="shared" si="56"/>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IFERROR(INDEX(LCIA_Data,MATCH($AO$15&amp;CM$27,LCIA_Rows_B&amp;LCIA_Rows_C,0),MATCH(CM$26,LCIA_Columns,0)),0)*$AT52*$AI52*$BN$23</f>
        <v>0</v>
      </c>
      <c r="CN52" s="1">
        <f t="array" ref="CN52">IFERROR(INDEX(LCIA_Data,MATCH($AO$15&amp;CN$27,LCIA_Rows_B&amp;LCIA_Rows_C,0),MATCH(CN$26,LCIA_Columns,0)),0)*$AT52*$AI52*$BN$23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IFERROR(INDEX(LCIA_Data,MATCH($AO$15&amp;DA$27,LCIA_Rows_B&amp;LCIA_Rows_C,0),MATCH(DA$26,LCIA_Columns,0)),0)*$AT52*$AJ52*$BN$23</f>
        <v>0</v>
      </c>
      <c r="DB52" s="1">
        <f t="array" ref="DB52">IFERROR(INDEX(LCIA_Data,MATCH($AO$15&amp;DB$27,LCIA_Rows_B&amp;LCIA_Rows_C,0),MATCH(DB$26,LCIA_Columns,0)),0)*$AT52*$AJ52*$BN$23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s="1">
        <f t="array" ref="DO52">IFERROR(INDEX(LCIA_Data,MATCH($AO$15&amp;DO$27,LCIA_Rows_B&amp;LCIA_Rows_C,0),MATCH(DO$26,LCIA_Columns,0)),0)*$AT52*$AK52*$BN$23</f>
        <v>0</v>
      </c>
      <c r="DP52" s="1">
        <f t="array" ref="DP52">IFERROR(INDEX(LCIA_Data,MATCH($AO$15&amp;DP$27,LCIA_Rows_B&amp;LCIA_Rows_C,0),MATCH(DP$26,LCIA_Columns,0)),0)*$AT52*$AK52*$BN$23</f>
        <v>0</v>
      </c>
      <c r="DQ52">
        <f t="shared" si="19"/>
        <v>0</v>
      </c>
      <c r="DR52">
        <f t="shared" si="20"/>
        <v>0</v>
      </c>
      <c r="DS52">
        <f t="shared" si="21"/>
        <v>0</v>
      </c>
      <c r="DT52">
        <f t="shared" si="22"/>
        <v>0</v>
      </c>
      <c r="DU52">
        <f t="shared" si="23"/>
        <v>0</v>
      </c>
      <c r="DV52">
        <f t="shared" si="24"/>
        <v>0</v>
      </c>
      <c r="DW52">
        <f t="shared" si="25"/>
        <v>0</v>
      </c>
      <c r="DX52">
        <f t="shared" si="26"/>
        <v>0</v>
      </c>
      <c r="DY52">
        <f t="shared" si="27"/>
        <v>0</v>
      </c>
      <c r="DZ52">
        <f t="shared" si="28"/>
        <v>0</v>
      </c>
      <c r="EA52">
        <f t="shared" si="29"/>
        <v>0</v>
      </c>
      <c r="EB52">
        <f t="shared" si="64"/>
        <v>0</v>
      </c>
      <c r="EC52">
        <f t="shared" si="64"/>
        <v>0</v>
      </c>
      <c r="ED52">
        <f t="shared" si="31"/>
        <v>0</v>
      </c>
      <c r="EE52"/>
      <c r="EF52"/>
      <c r="EG52"/>
      <c r="EH52"/>
      <c r="EI52"/>
    </row>
    <row r="53" spans="2:139" ht="15" customHeight="1">
      <c r="B53" s="53">
        <f>X53</f>
        <v>0</v>
      </c>
      <c r="C53" s="233">
        <f t="shared" si="32"/>
        <v>24</v>
      </c>
      <c r="D53" s="244" t="s">
        <v>624</v>
      </c>
      <c r="E53" s="101"/>
      <c r="F53" s="235" t="str">
        <f t="shared" si="65"/>
        <v>short ton</v>
      </c>
      <c r="G53" s="236">
        <f t="shared" si="57"/>
        <v>0</v>
      </c>
      <c r="H53" s="237" t="str">
        <f t="shared" si="8"/>
        <v>short ton</v>
      </c>
      <c r="I53" s="238">
        <f t="shared" si="48"/>
        <v>0</v>
      </c>
      <c r="J53" s="239"/>
      <c r="K53" s="239"/>
      <c r="L53" s="239"/>
      <c r="M53" s="239"/>
      <c r="N53" s="438" t="s">
        <v>386</v>
      </c>
      <c r="O53" s="409" t="str">
        <f t="shared" si="9"/>
        <v>mile</v>
      </c>
      <c r="X53" s="67">
        <f t="shared" si="49"/>
        <v>0</v>
      </c>
      <c r="Y53" s="216">
        <f t="shared" si="58"/>
        <v>0</v>
      </c>
      <c r="Z53" s="216">
        <v>2</v>
      </c>
      <c r="AA53" s="216">
        <f t="shared" si="50"/>
        <v>0</v>
      </c>
      <c r="AB53" s="216">
        <f t="shared" si="51"/>
        <v>0</v>
      </c>
      <c r="AC53" s="216">
        <f t="shared" si="52"/>
        <v>0</v>
      </c>
      <c r="AD53" s="216">
        <f t="shared" si="53"/>
        <v>0</v>
      </c>
      <c r="AE53" s="217" t="str">
        <f t="shared" si="33"/>
        <v>mile</v>
      </c>
      <c r="AF53" s="217">
        <f t="shared" si="11"/>
        <v>1.6093473468862911</v>
      </c>
      <c r="AG53" s="216" t="str">
        <f t="shared" si="34"/>
        <v>km/mile</v>
      </c>
      <c r="AH53" s="216">
        <f>AA53*$AF53</f>
        <v>0</v>
      </c>
      <c r="AI53" s="216">
        <f>AB53*$AF53</f>
        <v>0</v>
      </c>
      <c r="AJ53" s="216">
        <f>AC53*$AF53</f>
        <v>0</v>
      </c>
      <c r="AK53" s="216">
        <f>AD53*$AF53</f>
        <v>0</v>
      </c>
      <c r="AL53" s="216"/>
      <c r="AM53" s="1" t="str">
        <f t="shared" si="13"/>
        <v>Carbon Fibre Reinforced Polymer (CFRP) strand</v>
      </c>
      <c r="AN53" s="12" t="s">
        <v>127</v>
      </c>
      <c r="AO53">
        <f>VLOOKUP(AM53,Material_Densities,2,FALSE)</f>
        <v>0</v>
      </c>
      <c r="AP53" s="1">
        <f t="shared" si="35"/>
        <v>0</v>
      </c>
      <c r="AQ53" s="1" t="str">
        <f t="shared" si="15"/>
        <v>short ton</v>
      </c>
      <c r="AR53" s="1">
        <f t="shared" si="16"/>
        <v>0.90718499588591606</v>
      </c>
      <c r="AS53" s="87" t="str">
        <f>$AT$29&amp;"/"&amp;AQ53</f>
        <v>tonne/short ton</v>
      </c>
      <c r="AT53" s="87">
        <f>AP53*AR53</f>
        <v>0</v>
      </c>
      <c r="AU53" s="87">
        <f>INDEX(Conversion_Table,MATCH($AT$29,Conversion_Rows,0),MATCH($AU$29,Conversion_Columns,0))*AT53</f>
        <v>0</v>
      </c>
      <c r="AV53" s="87">
        <f t="shared" si="18"/>
        <v>0</v>
      </c>
      <c r="AW53" t="str">
        <f>AM53</f>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IFERROR(INDEX(LCIA_Data,MATCH($AO$15&amp;CM$27,LCIA_Rows_B&amp;LCIA_Rows_C,0),MATCH(CM$26,LCIA_Columns,0)),0)*$AT53*$AI53*$BN$23</f>
        <v>0</v>
      </c>
      <c r="CN53" s="1">
        <f t="array" ref="CN53">IFERROR(INDEX(LCIA_Data,MATCH($AO$15&amp;CN$27,LCIA_Rows_B&amp;LCIA_Rows_C,0),MATCH(CN$26,LCIA_Columns,0)),0)*$AT53*$AI53*$BN$23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IFERROR(INDEX(LCIA_Data,MATCH($AO$15&amp;DA$27,LCIA_Rows_B&amp;LCIA_Rows_C,0),MATCH(DA$26,LCIA_Columns,0)),0)*$AT53*$AJ53*$BN$23</f>
        <v>0</v>
      </c>
      <c r="DB53" s="1">
        <f t="array" ref="DB53">IFERROR(INDEX(LCIA_Data,MATCH($AO$15&amp;DB$27,LCIA_Rows_B&amp;LCIA_Rows_C,0),MATCH(DB$26,LCIA_Columns,0)),0)*$AT53*$AJ53*$BN$23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s="1">
        <f t="array" ref="DO53">IFERROR(INDEX(LCIA_Data,MATCH($AO$15&amp;DO$27,LCIA_Rows_B&amp;LCIA_Rows_C,0),MATCH(DO$26,LCIA_Columns,0)),0)*$AT53*$AK53*$BN$23</f>
        <v>0</v>
      </c>
      <c r="DP53" s="1">
        <f t="array" ref="DP53">IFERROR(INDEX(LCIA_Data,MATCH($AO$15&amp;DP$27,LCIA_Rows_B&amp;LCIA_Rows_C,0),MATCH(DP$26,LCIA_Columns,0)),0)*$AT53*$AK53*$BN$23</f>
        <v>0</v>
      </c>
      <c r="DQ53">
        <f t="shared" si="19"/>
        <v>0</v>
      </c>
      <c r="DR53">
        <f t="shared" si="20"/>
        <v>0</v>
      </c>
      <c r="DS53">
        <f t="shared" si="21"/>
        <v>0</v>
      </c>
      <c r="DT53">
        <f t="shared" si="22"/>
        <v>0</v>
      </c>
      <c r="DU53">
        <f t="shared" si="23"/>
        <v>0</v>
      </c>
      <c r="DV53">
        <f t="shared" si="24"/>
        <v>0</v>
      </c>
      <c r="DW53">
        <f t="shared" si="25"/>
        <v>0</v>
      </c>
      <c r="DX53">
        <f t="shared" si="26"/>
        <v>0</v>
      </c>
      <c r="DY53">
        <f t="shared" si="27"/>
        <v>0</v>
      </c>
      <c r="DZ53">
        <f t="shared" si="28"/>
        <v>0</v>
      </c>
      <c r="EA53">
        <f t="shared" si="29"/>
        <v>0</v>
      </c>
      <c r="EB53">
        <f t="shared" si="64"/>
        <v>0</v>
      </c>
      <c r="EC53">
        <f t="shared" si="64"/>
        <v>0</v>
      </c>
      <c r="ED53">
        <f t="shared" si="31"/>
        <v>0</v>
      </c>
      <c r="EE53"/>
      <c r="EF53"/>
      <c r="EG53"/>
      <c r="EH53"/>
      <c r="EI53"/>
    </row>
    <row r="54" spans="2:139" ht="15" customHeight="1">
      <c r="B54" s="53">
        <f t="shared" si="7"/>
        <v>0</v>
      </c>
      <c r="C54" s="26">
        <f t="shared" si="32"/>
        <v>25</v>
      </c>
      <c r="D54" s="46" t="s">
        <v>455</v>
      </c>
      <c r="E54" s="99"/>
      <c r="F54" s="119" t="str">
        <f t="shared" si="65"/>
        <v>short ton</v>
      </c>
      <c r="G54" s="158">
        <f t="shared" si="57"/>
        <v>0</v>
      </c>
      <c r="H54" s="204" t="str">
        <f t="shared" si="8"/>
        <v>short ton</v>
      </c>
      <c r="I54" s="241">
        <f t="shared" si="48"/>
        <v>0</v>
      </c>
      <c r="J54" s="201"/>
      <c r="K54" s="201"/>
      <c r="L54" s="201"/>
      <c r="M54" s="201"/>
      <c r="N54" s="439" t="s">
        <v>386</v>
      </c>
      <c r="O54" s="410" t="str">
        <f t="shared" si="9"/>
        <v>mile</v>
      </c>
      <c r="X54" s="67">
        <f t="shared" si="49"/>
        <v>0</v>
      </c>
      <c r="Y54" s="216">
        <f t="shared" si="58"/>
        <v>0</v>
      </c>
      <c r="Z54" s="216">
        <v>2</v>
      </c>
      <c r="AA54" s="216">
        <f t="shared" si="50"/>
        <v>0</v>
      </c>
      <c r="AB54" s="216">
        <f t="shared" si="51"/>
        <v>0</v>
      </c>
      <c r="AC54" s="216">
        <f t="shared" si="52"/>
        <v>0</v>
      </c>
      <c r="AD54" s="216">
        <f t="shared" si="53"/>
        <v>0</v>
      </c>
      <c r="AE54" s="217" t="str">
        <f t="shared" si="33"/>
        <v>mile</v>
      </c>
      <c r="AF54" s="217">
        <f t="shared" si="11"/>
        <v>1.6093473468862911</v>
      </c>
      <c r="AG54" s="216" t="str">
        <f t="shared" si="34"/>
        <v>km/mile</v>
      </c>
      <c r="AH54" s="216">
        <f t="shared" si="59"/>
        <v>0</v>
      </c>
      <c r="AI54" s="216">
        <f t="shared" si="60"/>
        <v>0</v>
      </c>
      <c r="AJ54" s="216">
        <f t="shared" si="61"/>
        <v>0</v>
      </c>
      <c r="AK54" s="216">
        <f t="shared" si="62"/>
        <v>0</v>
      </c>
      <c r="AL54" s="216"/>
      <c r="AM54" s="1" t="str">
        <f t="shared" si="13"/>
        <v>Polypropylene Fibers</v>
      </c>
      <c r="AN54" s="12" t="s">
        <v>127</v>
      </c>
      <c r="AO54">
        <f t="shared" si="14"/>
        <v>0</v>
      </c>
      <c r="AP54" s="1">
        <f t="shared" si="35"/>
        <v>0</v>
      </c>
      <c r="AQ54" s="1" t="str">
        <f t="shared" si="15"/>
        <v>short ton</v>
      </c>
      <c r="AR54" s="1">
        <f t="shared" si="16"/>
        <v>0.90718499588591606</v>
      </c>
      <c r="AS54" s="87" t="str">
        <f t="shared" si="54"/>
        <v>tonne/short ton</v>
      </c>
      <c r="AT54" s="87">
        <f t="shared" si="55"/>
        <v>0</v>
      </c>
      <c r="AU54" s="87">
        <f t="shared" si="17"/>
        <v>0</v>
      </c>
      <c r="AV54" s="87">
        <f t="shared" si="18"/>
        <v>0</v>
      </c>
      <c r="AW54" t="str">
        <f t="shared" si="56"/>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IFERROR(INDEX(LCIA_Data,MATCH($AO$15&amp;CM$27,LCIA_Rows_B&amp;LCIA_Rows_C,0),MATCH(CM$26,LCIA_Columns,0)),0)*$AT54*$AI54*$BN$23</f>
        <v>0</v>
      </c>
      <c r="CN54" s="1">
        <f t="array" ref="CN54">IFERROR(INDEX(LCIA_Data,MATCH($AO$15&amp;CN$27,LCIA_Rows_B&amp;LCIA_Rows_C,0),MATCH(CN$26,LCIA_Columns,0)),0)*$AT54*$AI54*$BN$23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IFERROR(INDEX(LCIA_Data,MATCH($AO$15&amp;DA$27,LCIA_Rows_B&amp;LCIA_Rows_C,0),MATCH(DA$26,LCIA_Columns,0)),0)*$AT54*$AJ54*$BN$23</f>
        <v>0</v>
      </c>
      <c r="DB54" s="1">
        <f t="array" ref="DB54">IFERROR(INDEX(LCIA_Data,MATCH($AO$15&amp;DB$27,LCIA_Rows_B&amp;LCIA_Rows_C,0),MATCH(DB$26,LCIA_Columns,0)),0)*$AT54*$AJ54*$BN$23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s="1">
        <f t="array" ref="DO54">IFERROR(INDEX(LCIA_Data,MATCH($AO$15&amp;DO$27,LCIA_Rows_B&amp;LCIA_Rows_C,0),MATCH(DO$26,LCIA_Columns,0)),0)*$AT54*$AK54*$BN$23</f>
        <v>0</v>
      </c>
      <c r="DP54" s="1">
        <f t="array" ref="DP54">IFERROR(INDEX(LCIA_Data,MATCH($AO$15&amp;DP$27,LCIA_Rows_B&amp;LCIA_Rows_C,0),MATCH(DP$26,LCIA_Columns,0)),0)*$AT54*$AK54*$BN$23</f>
        <v>0</v>
      </c>
      <c r="DQ54">
        <f t="shared" si="19"/>
        <v>0</v>
      </c>
      <c r="DR54">
        <f t="shared" si="20"/>
        <v>0</v>
      </c>
      <c r="DS54">
        <f t="shared" si="21"/>
        <v>0</v>
      </c>
      <c r="DT54">
        <f t="shared" si="22"/>
        <v>0</v>
      </c>
      <c r="DU54">
        <f t="shared" si="23"/>
        <v>0</v>
      </c>
      <c r="DV54">
        <f t="shared" si="24"/>
        <v>0</v>
      </c>
      <c r="DW54">
        <f t="shared" si="25"/>
        <v>0</v>
      </c>
      <c r="DX54">
        <f t="shared" si="26"/>
        <v>0</v>
      </c>
      <c r="DY54">
        <f t="shared" si="27"/>
        <v>0</v>
      </c>
      <c r="DZ54">
        <f t="shared" si="28"/>
        <v>0</v>
      </c>
      <c r="EA54">
        <f t="shared" si="29"/>
        <v>0</v>
      </c>
      <c r="EB54">
        <f t="shared" si="64"/>
        <v>0</v>
      </c>
      <c r="EC54">
        <f t="shared" si="64"/>
        <v>0</v>
      </c>
      <c r="ED54">
        <f t="shared" si="31"/>
        <v>0</v>
      </c>
      <c r="EE54"/>
      <c r="EF54"/>
      <c r="EG54"/>
      <c r="EH54"/>
      <c r="EI54"/>
    </row>
    <row r="55" spans="2:139" ht="15" customHeight="1">
      <c r="B55" s="53">
        <f>X55</f>
        <v>0</v>
      </c>
      <c r="C55" s="26">
        <f t="shared" si="32"/>
        <v>26</v>
      </c>
      <c r="D55" s="46" t="s">
        <v>456</v>
      </c>
      <c r="E55" s="99"/>
      <c r="F55" s="119" t="str">
        <f t="shared" si="65"/>
        <v>short ton</v>
      </c>
      <c r="G55" s="158">
        <f t="shared" si="57"/>
        <v>0</v>
      </c>
      <c r="H55" s="204" t="str">
        <f t="shared" si="8"/>
        <v>short ton</v>
      </c>
      <c r="I55" s="150">
        <f t="shared" si="48"/>
        <v>0</v>
      </c>
      <c r="J55" s="201"/>
      <c r="K55" s="201"/>
      <c r="L55" s="202"/>
      <c r="M55" s="202"/>
      <c r="N55" s="436" t="s">
        <v>386</v>
      </c>
      <c r="O55" s="408" t="str">
        <f t="shared" si="9"/>
        <v>mile</v>
      </c>
      <c r="X55" s="67">
        <f t="shared" si="49"/>
        <v>0</v>
      </c>
      <c r="Y55" s="216">
        <f t="shared" si="58"/>
        <v>0</v>
      </c>
      <c r="Z55" s="216">
        <v>2</v>
      </c>
      <c r="AA55" s="216">
        <f t="shared" si="50"/>
        <v>0</v>
      </c>
      <c r="AB55" s="216">
        <f t="shared" si="51"/>
        <v>0</v>
      </c>
      <c r="AC55" s="216">
        <f t="shared" si="52"/>
        <v>0</v>
      </c>
      <c r="AD55" s="216">
        <f t="shared" si="53"/>
        <v>0</v>
      </c>
      <c r="AE55" s="217" t="str">
        <f t="shared" si="33"/>
        <v>mile</v>
      </c>
      <c r="AF55" s="217">
        <f t="shared" si="11"/>
        <v>1.6093473468862911</v>
      </c>
      <c r="AG55" s="216" t="str">
        <f t="shared" si="34"/>
        <v>km/mile</v>
      </c>
      <c r="AH55" s="216">
        <f t="shared" si="59"/>
        <v>0</v>
      </c>
      <c r="AI55" s="216">
        <f t="shared" si="60"/>
        <v>0</v>
      </c>
      <c r="AJ55" s="216">
        <f t="shared" si="61"/>
        <v>0</v>
      </c>
      <c r="AK55" s="216">
        <f t="shared" si="62"/>
        <v>0</v>
      </c>
      <c r="AL55" s="216"/>
      <c r="AM55" s="1" t="str">
        <f t="shared" si="13"/>
        <v>Steel Fibers</v>
      </c>
      <c r="AN55" s="12" t="s">
        <v>127</v>
      </c>
      <c r="AO55">
        <f>VLOOKUP(AM55,Material_Densities,2,FALSE)</f>
        <v>0</v>
      </c>
      <c r="AP55" s="1">
        <f t="shared" si="35"/>
        <v>0</v>
      </c>
      <c r="AQ55" s="1" t="str">
        <f t="shared" si="15"/>
        <v>short ton</v>
      </c>
      <c r="AR55" s="1">
        <f t="shared" si="16"/>
        <v>0.90718499588591606</v>
      </c>
      <c r="AS55" s="87" t="str">
        <f>$AT$29&amp;"/"&amp;AQ55</f>
        <v>tonne/short ton</v>
      </c>
      <c r="AT55" s="87">
        <f>AP55*AR55</f>
        <v>0</v>
      </c>
      <c r="AU55" s="87">
        <f>INDEX(Conversion_Table,MATCH($AT$29,Conversion_Rows,0),MATCH($AU$29,Conversion_Columns,0))*AT55</f>
        <v>0</v>
      </c>
      <c r="AV55" s="87">
        <f t="shared" si="18"/>
        <v>0</v>
      </c>
      <c r="AW55" t="str">
        <f>AM55</f>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IFERROR(INDEX(LCIA_Data,MATCH($AO$15&amp;CM$27,LCIA_Rows_B&amp;LCIA_Rows_C,0),MATCH(CM$26,LCIA_Columns,0)),0)*$AT55*$AI55*$BN$23</f>
        <v>0</v>
      </c>
      <c r="CN55" s="1">
        <f t="array" ref="CN55">IFERROR(INDEX(LCIA_Data,MATCH($AO$15&amp;CN$27,LCIA_Rows_B&amp;LCIA_Rows_C,0),MATCH(CN$26,LCIA_Columns,0)),0)*$AT55*$AI55*$BN$23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IFERROR(INDEX(LCIA_Data,MATCH($AO$15&amp;DA$27,LCIA_Rows_B&amp;LCIA_Rows_C,0),MATCH(DA$26,LCIA_Columns,0)),0)*$AT55*$AJ55*$BN$23</f>
        <v>0</v>
      </c>
      <c r="DB55" s="1">
        <f t="array" ref="DB55">IFERROR(INDEX(LCIA_Data,MATCH($AO$15&amp;DB$27,LCIA_Rows_B&amp;LCIA_Rows_C,0),MATCH(DB$26,LCIA_Columns,0)),0)*$AT55*$AJ55*$BN$23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s="1">
        <f t="array" ref="DO55">IFERROR(INDEX(LCIA_Data,MATCH($AO$15&amp;DO$27,LCIA_Rows_B&amp;LCIA_Rows_C,0),MATCH(DO$26,LCIA_Columns,0)),0)*$AT55*$AK55*$BN$23</f>
        <v>0</v>
      </c>
      <c r="DP55" s="1">
        <f t="array" ref="DP55">IFERROR(INDEX(LCIA_Data,MATCH($AO$15&amp;DP$27,LCIA_Rows_B&amp;LCIA_Rows_C,0),MATCH(DP$26,LCIA_Columns,0)),0)*$AT55*$AK55*$BN$23</f>
        <v>0</v>
      </c>
      <c r="DQ55">
        <f t="shared" si="19"/>
        <v>0</v>
      </c>
      <c r="DR55">
        <f t="shared" si="20"/>
        <v>0</v>
      </c>
      <c r="DS55">
        <f t="shared" si="21"/>
        <v>0</v>
      </c>
      <c r="DT55">
        <f t="shared" si="22"/>
        <v>0</v>
      </c>
      <c r="DU55">
        <f t="shared" si="23"/>
        <v>0</v>
      </c>
      <c r="DV55">
        <f t="shared" si="24"/>
        <v>0</v>
      </c>
      <c r="DW55">
        <f t="shared" si="25"/>
        <v>0</v>
      </c>
      <c r="DX55">
        <f t="shared" si="26"/>
        <v>0</v>
      </c>
      <c r="DY55">
        <f t="shared" si="27"/>
        <v>0</v>
      </c>
      <c r="DZ55">
        <f t="shared" si="28"/>
        <v>0</v>
      </c>
      <c r="EA55">
        <f t="shared" si="29"/>
        <v>0</v>
      </c>
      <c r="EB55">
        <f t="shared" si="64"/>
        <v>0</v>
      </c>
      <c r="EC55">
        <f t="shared" si="64"/>
        <v>0</v>
      </c>
      <c r="ED55">
        <f t="shared" si="31"/>
        <v>0</v>
      </c>
      <c r="EE55"/>
      <c r="EF55"/>
      <c r="EG55"/>
      <c r="EH55"/>
      <c r="EI55"/>
    </row>
    <row r="56" spans="2:139" ht="15" customHeight="1">
      <c r="B56" s="53">
        <f t="shared" si="7"/>
        <v>0</v>
      </c>
      <c r="C56" s="26">
        <f t="shared" si="32"/>
        <v>27</v>
      </c>
      <c r="D56" s="46" t="s">
        <v>621</v>
      </c>
      <c r="E56" s="99"/>
      <c r="F56" s="119" t="str">
        <f t="shared" si="65"/>
        <v>short ton</v>
      </c>
      <c r="G56" s="158">
        <f t="shared" si="57"/>
        <v>0</v>
      </c>
      <c r="H56" s="204" t="str">
        <f t="shared" si="8"/>
        <v>short ton</v>
      </c>
      <c r="I56" s="150">
        <f t="shared" si="48"/>
        <v>0</v>
      </c>
      <c r="J56" s="201"/>
      <c r="K56" s="201"/>
      <c r="L56" s="202"/>
      <c r="M56" s="202"/>
      <c r="N56" s="436" t="s">
        <v>630</v>
      </c>
      <c r="O56" s="408" t="str">
        <f t="shared" si="9"/>
        <v>mile</v>
      </c>
      <c r="X56" s="67">
        <f t="shared" si="49"/>
        <v>0</v>
      </c>
      <c r="Y56" s="216">
        <f t="shared" si="58"/>
        <v>0</v>
      </c>
      <c r="Z56" s="216">
        <v>2</v>
      </c>
      <c r="AA56" s="216">
        <f t="shared" si="50"/>
        <v>0</v>
      </c>
      <c r="AB56" s="216">
        <f t="shared" si="51"/>
        <v>0</v>
      </c>
      <c r="AC56" s="216">
        <f t="shared" si="52"/>
        <v>0</v>
      </c>
      <c r="AD56" s="216">
        <f t="shared" si="53"/>
        <v>0</v>
      </c>
      <c r="AE56" s="217" t="str">
        <f t="shared" si="33"/>
        <v>mile</v>
      </c>
      <c r="AF56" s="217">
        <f t="shared" si="11"/>
        <v>1.6093473468862911</v>
      </c>
      <c r="AG56" s="216" t="str">
        <f t="shared" si="34"/>
        <v>km/mile</v>
      </c>
      <c r="AH56" s="216">
        <f t="shared" si="59"/>
        <v>0</v>
      </c>
      <c r="AI56" s="216">
        <f t="shared" si="60"/>
        <v>0</v>
      </c>
      <c r="AJ56" s="216">
        <f t="shared" si="61"/>
        <v>0</v>
      </c>
      <c r="AK56" s="216">
        <f t="shared" si="62"/>
        <v>0</v>
      </c>
      <c r="AL56" s="216"/>
      <c r="AM56" s="1" t="str">
        <f t="shared" si="13"/>
        <v>Glass Fibre Reinforced Polymer (GFRP) reinforcing bars</v>
      </c>
      <c r="AN56" s="12" t="s">
        <v>127</v>
      </c>
      <c r="AO56">
        <f t="shared" si="14"/>
        <v>0</v>
      </c>
      <c r="AP56" s="1">
        <f t="shared" si="35"/>
        <v>0</v>
      </c>
      <c r="AQ56" s="1" t="str">
        <f t="shared" si="15"/>
        <v>short ton</v>
      </c>
      <c r="AR56" s="1">
        <f t="shared" si="16"/>
        <v>0.90718499588591606</v>
      </c>
      <c r="AS56" s="87" t="str">
        <f t="shared" si="54"/>
        <v>tonne/short ton</v>
      </c>
      <c r="AT56" s="87">
        <f t="shared" si="55"/>
        <v>0</v>
      </c>
      <c r="AU56" s="87">
        <f t="shared" si="17"/>
        <v>0</v>
      </c>
      <c r="AV56" s="87">
        <f t="shared" si="18"/>
        <v>0</v>
      </c>
      <c r="AW56" t="str">
        <f t="shared" si="56"/>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IFERROR(INDEX(LCIA_Data,MATCH($AO$15&amp;CM$27,LCIA_Rows_B&amp;LCIA_Rows_C,0),MATCH(CM$26,LCIA_Columns,0)),0)*$AT56*$AI56*$BN$23</f>
        <v>0</v>
      </c>
      <c r="CN56" s="1">
        <f t="array" ref="CN56">IFERROR(INDEX(LCIA_Data,MATCH($AO$15&amp;CN$27,LCIA_Rows_B&amp;LCIA_Rows_C,0),MATCH(CN$26,LCIA_Columns,0)),0)*$AT56*$AI56*$BN$23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IFERROR(INDEX(LCIA_Data,MATCH($AO$15&amp;DA$27,LCIA_Rows_B&amp;LCIA_Rows_C,0),MATCH(DA$26,LCIA_Columns,0)),0)*$AT56*$AJ56*$BN$23</f>
        <v>0</v>
      </c>
      <c r="DB56" s="1">
        <f t="array" ref="DB56">IFERROR(INDEX(LCIA_Data,MATCH($AO$15&amp;DB$27,LCIA_Rows_B&amp;LCIA_Rows_C,0),MATCH(DB$26,LCIA_Columns,0)),0)*$AT56*$AJ56*$BN$23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s="1">
        <f t="array" ref="DO56">IFERROR(INDEX(LCIA_Data,MATCH($AO$15&amp;DO$27,LCIA_Rows_B&amp;LCIA_Rows_C,0),MATCH(DO$26,LCIA_Columns,0)),0)*$AT56*$AK56*$BN$23</f>
        <v>0</v>
      </c>
      <c r="DP56" s="1">
        <f t="array" ref="DP56">IFERROR(INDEX(LCIA_Data,MATCH($AO$15&amp;DP$27,LCIA_Rows_B&amp;LCIA_Rows_C,0),MATCH(DP$26,LCIA_Columns,0)),0)*$AT56*$AK56*$BN$23</f>
        <v>0</v>
      </c>
      <c r="DQ56">
        <f t="shared" si="19"/>
        <v>0</v>
      </c>
      <c r="DR56">
        <f t="shared" si="20"/>
        <v>0</v>
      </c>
      <c r="DS56">
        <f t="shared" si="21"/>
        <v>0</v>
      </c>
      <c r="DT56">
        <f t="shared" si="22"/>
        <v>0</v>
      </c>
      <c r="DU56">
        <f t="shared" si="23"/>
        <v>0</v>
      </c>
      <c r="DV56">
        <f t="shared" si="24"/>
        <v>0</v>
      </c>
      <c r="DW56">
        <f t="shared" si="25"/>
        <v>0</v>
      </c>
      <c r="DX56">
        <f t="shared" si="26"/>
        <v>0</v>
      </c>
      <c r="DY56">
        <f t="shared" si="27"/>
        <v>0</v>
      </c>
      <c r="DZ56">
        <f t="shared" si="28"/>
        <v>0</v>
      </c>
      <c r="EA56">
        <f t="shared" si="29"/>
        <v>0</v>
      </c>
      <c r="EB56">
        <f t="shared" si="64"/>
        <v>0</v>
      </c>
      <c r="EC56">
        <f t="shared" si="64"/>
        <v>0</v>
      </c>
      <c r="ED56">
        <f t="shared" si="31"/>
        <v>0</v>
      </c>
      <c r="EE56"/>
      <c r="EF56"/>
      <c r="EG56"/>
      <c r="EH56"/>
      <c r="EI56"/>
    </row>
    <row r="57" spans="2:139" ht="15" customHeight="1">
      <c r="B57" s="53">
        <f>X57</f>
        <v>0</v>
      </c>
      <c r="C57" s="26">
        <f t="shared" si="32"/>
        <v>28</v>
      </c>
      <c r="D57" s="46" t="s">
        <v>622</v>
      </c>
      <c r="E57" s="99"/>
      <c r="F57" s="119" t="str">
        <f t="shared" si="65"/>
        <v>short ton</v>
      </c>
      <c r="G57" s="158">
        <f t="shared" si="57"/>
        <v>0</v>
      </c>
      <c r="H57" s="204" t="str">
        <f t="shared" si="8"/>
        <v>short ton</v>
      </c>
      <c r="I57" s="150">
        <f t="shared" si="48"/>
        <v>0</v>
      </c>
      <c r="J57" s="201"/>
      <c r="K57" s="201"/>
      <c r="L57" s="202"/>
      <c r="M57" s="202"/>
      <c r="N57" s="436" t="s">
        <v>630</v>
      </c>
      <c r="O57" s="408" t="str">
        <f t="shared" si="9"/>
        <v>mile</v>
      </c>
      <c r="X57" s="67">
        <f t="shared" si="49"/>
        <v>0</v>
      </c>
      <c r="Y57" s="216">
        <f t="shared" si="58"/>
        <v>0</v>
      </c>
      <c r="Z57" s="216">
        <v>2</v>
      </c>
      <c r="AA57" s="216">
        <f t="shared" si="50"/>
        <v>0</v>
      </c>
      <c r="AB57" s="216">
        <f t="shared" si="51"/>
        <v>0</v>
      </c>
      <c r="AC57" s="216">
        <f t="shared" si="52"/>
        <v>0</v>
      </c>
      <c r="AD57" s="216">
        <f t="shared" si="53"/>
        <v>0</v>
      </c>
      <c r="AE57" s="217" t="str">
        <f t="shared" si="33"/>
        <v>mile</v>
      </c>
      <c r="AF57" s="217">
        <f t="shared" si="11"/>
        <v>1.6093473468862911</v>
      </c>
      <c r="AG57" s="216" t="str">
        <f t="shared" si="34"/>
        <v>km/mile</v>
      </c>
      <c r="AH57" s="216">
        <f t="shared" si="59"/>
        <v>0</v>
      </c>
      <c r="AI57" s="216">
        <f t="shared" si="60"/>
        <v>0</v>
      </c>
      <c r="AJ57" s="216">
        <f t="shared" si="61"/>
        <v>0</v>
      </c>
      <c r="AK57" s="216">
        <f t="shared" si="62"/>
        <v>0</v>
      </c>
      <c r="AL57" s="216"/>
      <c r="AM57" s="1" t="str">
        <f t="shared" si="13"/>
        <v>Carbon Fibre Reinforced Polymer (CFRP) reinforcing bars</v>
      </c>
      <c r="AN57" s="12" t="s">
        <v>127</v>
      </c>
      <c r="AO57">
        <f>VLOOKUP(AM57,Material_Densities,2,FALSE)</f>
        <v>0</v>
      </c>
      <c r="AP57" s="1">
        <f t="shared" si="35"/>
        <v>0</v>
      </c>
      <c r="AQ57" s="1" t="str">
        <f t="shared" si="15"/>
        <v>short ton</v>
      </c>
      <c r="AR57" s="1">
        <f t="shared" si="16"/>
        <v>0.90718499588591606</v>
      </c>
      <c r="AS57" s="87" t="str">
        <f>$AT$29&amp;"/"&amp;AQ57</f>
        <v>tonne/short ton</v>
      </c>
      <c r="AT57" s="87">
        <f>AP57*AR57</f>
        <v>0</v>
      </c>
      <c r="AU57" s="87">
        <f>INDEX(Conversion_Table,MATCH($AT$29,Conversion_Rows,0),MATCH($AU$29,Conversion_Columns,0))*AT57</f>
        <v>0</v>
      </c>
      <c r="AV57" s="87">
        <f t="shared" si="18"/>
        <v>0</v>
      </c>
      <c r="AW57" t="str">
        <f>AM57</f>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IFERROR(INDEX(LCIA_Data,MATCH($AO$15&amp;CM$27,LCIA_Rows_B&amp;LCIA_Rows_C,0),MATCH(CM$26,LCIA_Columns,0)),0)*$AT57*$AI57*$BN$23</f>
        <v>0</v>
      </c>
      <c r="CN57" s="1">
        <f t="array" ref="CN57">IFERROR(INDEX(LCIA_Data,MATCH($AO$15&amp;CN$27,LCIA_Rows_B&amp;LCIA_Rows_C,0),MATCH(CN$26,LCIA_Columns,0)),0)*$AT57*$AI57*$BN$23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IFERROR(INDEX(LCIA_Data,MATCH($AO$15&amp;DA$27,LCIA_Rows_B&amp;LCIA_Rows_C,0),MATCH(DA$26,LCIA_Columns,0)),0)*$AT57*$AJ57*$BN$23</f>
        <v>0</v>
      </c>
      <c r="DB57" s="1">
        <f t="array" ref="DB57">IFERROR(INDEX(LCIA_Data,MATCH($AO$15&amp;DB$27,LCIA_Rows_B&amp;LCIA_Rows_C,0),MATCH(DB$26,LCIA_Columns,0)),0)*$AT57*$AJ57*$BN$23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s="1">
        <f t="array" ref="DO57">IFERROR(INDEX(LCIA_Data,MATCH($AO$15&amp;DO$27,LCIA_Rows_B&amp;LCIA_Rows_C,0),MATCH(DO$26,LCIA_Columns,0)),0)*$AT57*$AK57*$BN$23</f>
        <v>0</v>
      </c>
      <c r="DP57" s="1">
        <f t="array" ref="DP57">IFERROR(INDEX(LCIA_Data,MATCH($AO$15&amp;DP$27,LCIA_Rows_B&amp;LCIA_Rows_C,0),MATCH(DP$26,LCIA_Columns,0)),0)*$AT57*$AK57*$BN$23</f>
        <v>0</v>
      </c>
      <c r="DQ57">
        <f t="shared" si="19"/>
        <v>0</v>
      </c>
      <c r="DR57">
        <f t="shared" si="20"/>
        <v>0</v>
      </c>
      <c r="DS57">
        <f t="shared" si="21"/>
        <v>0</v>
      </c>
      <c r="DT57">
        <f t="shared" si="22"/>
        <v>0</v>
      </c>
      <c r="DU57">
        <f t="shared" si="23"/>
        <v>0</v>
      </c>
      <c r="DV57">
        <f t="shared" si="24"/>
        <v>0</v>
      </c>
      <c r="DW57">
        <f t="shared" si="25"/>
        <v>0</v>
      </c>
      <c r="DX57">
        <f t="shared" si="26"/>
        <v>0</v>
      </c>
      <c r="DY57">
        <f t="shared" si="27"/>
        <v>0</v>
      </c>
      <c r="DZ57">
        <f t="shared" si="28"/>
        <v>0</v>
      </c>
      <c r="EA57">
        <f t="shared" si="29"/>
        <v>0</v>
      </c>
      <c r="EB57">
        <f t="shared" si="64"/>
        <v>0</v>
      </c>
      <c r="EC57">
        <f t="shared" si="64"/>
        <v>0</v>
      </c>
      <c r="ED57">
        <f t="shared" si="31"/>
        <v>0</v>
      </c>
      <c r="EE57"/>
      <c r="EF57"/>
      <c r="EG57"/>
      <c r="EH57"/>
      <c r="EI57"/>
    </row>
    <row r="58" spans="2:139" ht="15" customHeight="1">
      <c r="B58" s="53">
        <f t="shared" si="7"/>
        <v>0</v>
      </c>
      <c r="C58" s="233">
        <f t="shared" si="32"/>
        <v>29</v>
      </c>
      <c r="D58" s="244" t="s">
        <v>623</v>
      </c>
      <c r="E58" s="101"/>
      <c r="F58" s="235" t="str">
        <f t="shared" si="65"/>
        <v>short ton</v>
      </c>
      <c r="G58" s="236">
        <f t="shared" si="57"/>
        <v>0</v>
      </c>
      <c r="H58" s="237" t="str">
        <f t="shared" si="8"/>
        <v>short ton</v>
      </c>
      <c r="I58" s="245">
        <f t="shared" si="48"/>
        <v>0</v>
      </c>
      <c r="J58" s="239"/>
      <c r="K58" s="239"/>
      <c r="L58" s="246"/>
      <c r="M58" s="246"/>
      <c r="N58" s="441" t="s">
        <v>630</v>
      </c>
      <c r="O58" s="413" t="str">
        <f t="shared" si="9"/>
        <v>mile</v>
      </c>
      <c r="X58" s="67">
        <f t="shared" si="49"/>
        <v>0</v>
      </c>
      <c r="Y58" s="216">
        <f t="shared" si="58"/>
        <v>0</v>
      </c>
      <c r="Z58" s="216">
        <v>1</v>
      </c>
      <c r="AA58" s="216">
        <f t="shared" si="50"/>
        <v>0</v>
      </c>
      <c r="AB58" s="216">
        <f t="shared" si="51"/>
        <v>0</v>
      </c>
      <c r="AC58" s="216">
        <f t="shared" si="52"/>
        <v>0</v>
      </c>
      <c r="AD58" s="216">
        <f t="shared" si="53"/>
        <v>0</v>
      </c>
      <c r="AE58" s="217" t="str">
        <f t="shared" si="33"/>
        <v>mile</v>
      </c>
      <c r="AF58" s="217">
        <f t="shared" si="11"/>
        <v>1.6093473468862911</v>
      </c>
      <c r="AG58" s="216" t="str">
        <f t="shared" si="34"/>
        <v>km/mile</v>
      </c>
      <c r="AH58" s="216">
        <f t="shared" si="59"/>
        <v>0</v>
      </c>
      <c r="AI58" s="216">
        <f t="shared" si="60"/>
        <v>0</v>
      </c>
      <c r="AJ58" s="216">
        <f t="shared" si="61"/>
        <v>0</v>
      </c>
      <c r="AK58" s="216">
        <f t="shared" si="62"/>
        <v>0</v>
      </c>
      <c r="AL58" s="216"/>
      <c r="AM58" s="1" t="str">
        <f t="shared" si="13"/>
        <v>Fibre Reinforced Polymer (FRP) wrap</v>
      </c>
      <c r="AN58" s="12" t="s">
        <v>127</v>
      </c>
      <c r="AO58">
        <f t="shared" si="14"/>
        <v>0</v>
      </c>
      <c r="AP58" s="1">
        <f t="shared" si="35"/>
        <v>0</v>
      </c>
      <c r="AQ58" s="1" t="str">
        <f t="shared" si="15"/>
        <v>short ton</v>
      </c>
      <c r="AR58" s="1">
        <f t="shared" si="16"/>
        <v>0.90718499588591606</v>
      </c>
      <c r="AS58" s="87" t="str">
        <f t="shared" si="54"/>
        <v>tonne/short ton</v>
      </c>
      <c r="AT58" s="87">
        <f t="shared" si="55"/>
        <v>0</v>
      </c>
      <c r="AU58" s="87">
        <f t="shared" si="17"/>
        <v>0</v>
      </c>
      <c r="AV58" s="87">
        <f t="shared" si="18"/>
        <v>0</v>
      </c>
      <c r="AW58" t="str">
        <f t="shared" si="56"/>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IFERROR(INDEX(LCIA_Data,MATCH($AO$15&amp;CM$27,LCIA_Rows_B&amp;LCIA_Rows_C,0),MATCH(CM$26,LCIA_Columns,0)),0)*$AT58*$AI58*$BN$23</f>
        <v>0</v>
      </c>
      <c r="CN58" s="1">
        <f t="array" ref="CN58">IFERROR(INDEX(LCIA_Data,MATCH($AO$15&amp;CN$27,LCIA_Rows_B&amp;LCIA_Rows_C,0),MATCH(CN$26,LCIA_Columns,0)),0)*$AT58*$AI58*$BN$23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IFERROR(INDEX(LCIA_Data,MATCH($AO$15&amp;DA$27,LCIA_Rows_B&amp;LCIA_Rows_C,0),MATCH(DA$26,LCIA_Columns,0)),0)*$AT58*$AJ58*$BN$23</f>
        <v>0</v>
      </c>
      <c r="DB58" s="1">
        <f t="array" ref="DB58">IFERROR(INDEX(LCIA_Data,MATCH($AO$15&amp;DB$27,LCIA_Rows_B&amp;LCIA_Rows_C,0),MATCH(DB$26,LCIA_Columns,0)),0)*$AT58*$AJ58*$BN$23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s="1">
        <f t="array" ref="DO58">IFERROR(INDEX(LCIA_Data,MATCH($AO$15&amp;DO$27,LCIA_Rows_B&amp;LCIA_Rows_C,0),MATCH(DO$26,LCIA_Columns,0)),0)*$AT58*$AK58*$BN$23</f>
        <v>0</v>
      </c>
      <c r="DP58" s="1">
        <f t="array" ref="DP58">IFERROR(INDEX(LCIA_Data,MATCH($AO$15&amp;DP$27,LCIA_Rows_B&amp;LCIA_Rows_C,0),MATCH(DP$26,LCIA_Columns,0)),0)*$AT58*$AK58*$BN$23</f>
        <v>0</v>
      </c>
      <c r="DQ58">
        <f t="shared" si="19"/>
        <v>0</v>
      </c>
      <c r="DR58">
        <f t="shared" si="20"/>
        <v>0</v>
      </c>
      <c r="DS58">
        <f t="shared" si="21"/>
        <v>0</v>
      </c>
      <c r="DT58">
        <f t="shared" si="22"/>
        <v>0</v>
      </c>
      <c r="DU58">
        <f t="shared" si="23"/>
        <v>0</v>
      </c>
      <c r="DV58">
        <f t="shared" si="24"/>
        <v>0</v>
      </c>
      <c r="DW58">
        <f t="shared" si="25"/>
        <v>0</v>
      </c>
      <c r="DX58">
        <f t="shared" si="26"/>
        <v>0</v>
      </c>
      <c r="DY58">
        <f t="shared" si="27"/>
        <v>0</v>
      </c>
      <c r="DZ58">
        <f t="shared" si="28"/>
        <v>0</v>
      </c>
      <c r="EA58">
        <f t="shared" si="29"/>
        <v>0</v>
      </c>
      <c r="EB58">
        <f t="shared" si="64"/>
        <v>0</v>
      </c>
      <c r="EC58">
        <f t="shared" si="64"/>
        <v>0</v>
      </c>
      <c r="ED58">
        <f t="shared" si="31"/>
        <v>0</v>
      </c>
      <c r="EE58"/>
      <c r="EF58"/>
      <c r="EG58"/>
      <c r="EH58"/>
      <c r="EI58"/>
    </row>
    <row r="59" spans="2:139" ht="15" customHeight="1">
      <c r="B59" s="53">
        <f t="shared" si="7"/>
        <v>0</v>
      </c>
      <c r="C59" s="26">
        <f t="shared" si="32"/>
        <v>30</v>
      </c>
      <c r="D59" s="46" t="s">
        <v>138</v>
      </c>
      <c r="E59" s="99"/>
      <c r="F59" s="106" t="s">
        <v>247</v>
      </c>
      <c r="G59" s="158">
        <f t="shared" si="57"/>
        <v>0</v>
      </c>
      <c r="H59" s="204" t="str">
        <f t="shared" si="8"/>
        <v>short ton</v>
      </c>
      <c r="I59" s="241">
        <f t="shared" si="48"/>
        <v>0</v>
      </c>
      <c r="J59" s="201"/>
      <c r="K59" s="201"/>
      <c r="L59" s="201"/>
      <c r="M59" s="201"/>
      <c r="N59" s="439" t="s">
        <v>630</v>
      </c>
      <c r="O59" s="410" t="str">
        <f t="shared" si="9"/>
        <v>mile</v>
      </c>
      <c r="X59" s="67">
        <f t="shared" si="49"/>
        <v>0</v>
      </c>
      <c r="Y59" s="216">
        <f t="shared" si="58"/>
        <v>0</v>
      </c>
      <c r="Z59" s="216">
        <v>1</v>
      </c>
      <c r="AA59" s="216">
        <f t="shared" si="50"/>
        <v>0</v>
      </c>
      <c r="AB59" s="216">
        <f t="shared" si="51"/>
        <v>0</v>
      </c>
      <c r="AC59" s="216">
        <f t="shared" si="52"/>
        <v>0</v>
      </c>
      <c r="AD59" s="216">
        <f t="shared" si="53"/>
        <v>0</v>
      </c>
      <c r="AE59" s="217" t="str">
        <f t="shared" si="33"/>
        <v>mile</v>
      </c>
      <c r="AF59" s="217">
        <f t="shared" si="11"/>
        <v>1.6093473468862911</v>
      </c>
      <c r="AG59" s="216" t="str">
        <f t="shared" si="34"/>
        <v>km/mile</v>
      </c>
      <c r="AH59" s="216">
        <f t="shared" si="59"/>
        <v>0</v>
      </c>
      <c r="AI59" s="216">
        <f t="shared" si="60"/>
        <v>0</v>
      </c>
      <c r="AJ59" s="216">
        <f t="shared" si="61"/>
        <v>0</v>
      </c>
      <c r="AK59" s="216">
        <f t="shared" si="62"/>
        <v>0</v>
      </c>
      <c r="AL59" s="216"/>
      <c r="AM59" s="1" t="str">
        <f t="shared" si="13"/>
        <v>Expanded Polystyrene</v>
      </c>
      <c r="AN59" t="s">
        <v>128</v>
      </c>
      <c r="AO59">
        <f t="shared" si="14"/>
        <v>1.6E-2</v>
      </c>
      <c r="AP59" s="1">
        <f t="shared" si="35"/>
        <v>0</v>
      </c>
      <c r="AQ59" s="1" t="str">
        <f t="shared" si="15"/>
        <v>board feet</v>
      </c>
      <c r="AR59" s="1">
        <f t="shared" si="16"/>
        <v>3.7755795455999999E-5</v>
      </c>
      <c r="AS59" s="87" t="str">
        <f t="shared" si="54"/>
        <v>tonne/board feet</v>
      </c>
      <c r="AT59" s="87">
        <f t="shared" si="55"/>
        <v>0</v>
      </c>
      <c r="AU59" s="87">
        <f t="shared" si="17"/>
        <v>0</v>
      </c>
      <c r="AV59" s="87">
        <f t="shared" si="18"/>
        <v>0</v>
      </c>
      <c r="AW59" t="str">
        <f t="shared" si="56"/>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IFERROR(INDEX(LCIA_Data,MATCH($AO$15&amp;CM$27,LCIA_Rows_B&amp;LCIA_Rows_C,0),MATCH(CM$26,LCIA_Columns,0)),0)*$AT59*$AI59*$BN$23</f>
        <v>0</v>
      </c>
      <c r="CN59" s="1">
        <f t="array" ref="CN59">IFERROR(INDEX(LCIA_Data,MATCH($AO$15&amp;CN$27,LCIA_Rows_B&amp;LCIA_Rows_C,0),MATCH(CN$26,LCIA_Columns,0)),0)*$AT59*$AI59*$BN$23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IFERROR(INDEX(LCIA_Data,MATCH($AO$15&amp;DA$27,LCIA_Rows_B&amp;LCIA_Rows_C,0),MATCH(DA$26,LCIA_Columns,0)),0)*$AT59*$AJ59*$BN$23</f>
        <v>0</v>
      </c>
      <c r="DB59" s="1">
        <f t="array" ref="DB59">IFERROR(INDEX(LCIA_Data,MATCH($AO$15&amp;DB$27,LCIA_Rows_B&amp;LCIA_Rows_C,0),MATCH(DB$26,LCIA_Columns,0)),0)*$AT59*$AJ59*$BN$23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s="1">
        <f t="array" ref="DO59">IFERROR(INDEX(LCIA_Data,MATCH($AO$15&amp;DO$27,LCIA_Rows_B&amp;LCIA_Rows_C,0),MATCH(DO$26,LCIA_Columns,0)),0)*$AT59*$AK59*$BN$23</f>
        <v>0</v>
      </c>
      <c r="DP59" s="1">
        <f t="array" ref="DP59">IFERROR(INDEX(LCIA_Data,MATCH($AO$15&amp;DP$27,LCIA_Rows_B&amp;LCIA_Rows_C,0),MATCH(DP$26,LCIA_Columns,0)),0)*$AT59*$AK59*$BN$23</f>
        <v>0</v>
      </c>
      <c r="DQ59">
        <f t="shared" si="19"/>
        <v>0</v>
      </c>
      <c r="DR59">
        <f t="shared" si="20"/>
        <v>0</v>
      </c>
      <c r="DS59">
        <f t="shared" si="21"/>
        <v>0</v>
      </c>
      <c r="DT59">
        <f t="shared" si="22"/>
        <v>0</v>
      </c>
      <c r="DU59">
        <f t="shared" si="23"/>
        <v>0</v>
      </c>
      <c r="DV59">
        <f t="shared" si="24"/>
        <v>0</v>
      </c>
      <c r="DW59">
        <f t="shared" si="25"/>
        <v>0</v>
      </c>
      <c r="DX59">
        <f t="shared" si="26"/>
        <v>0</v>
      </c>
      <c r="DY59">
        <f t="shared" si="27"/>
        <v>0</v>
      </c>
      <c r="DZ59">
        <f t="shared" si="28"/>
        <v>0</v>
      </c>
      <c r="EA59">
        <f t="shared" si="29"/>
        <v>0</v>
      </c>
      <c r="EB59">
        <f t="shared" si="64"/>
        <v>0</v>
      </c>
      <c r="EC59">
        <f t="shared" si="64"/>
        <v>0</v>
      </c>
      <c r="ED59">
        <f t="shared" si="31"/>
        <v>0</v>
      </c>
      <c r="EE59"/>
      <c r="EF59"/>
      <c r="EG59"/>
      <c r="EH59"/>
      <c r="EI59"/>
    </row>
    <row r="60" spans="2:139" ht="15" customHeight="1">
      <c r="B60" s="53">
        <f t="shared" si="7"/>
        <v>0</v>
      </c>
      <c r="C60" s="233">
        <f t="shared" si="32"/>
        <v>31</v>
      </c>
      <c r="D60" s="244" t="s">
        <v>96</v>
      </c>
      <c r="E60" s="101"/>
      <c r="F60" s="248" t="s">
        <v>247</v>
      </c>
      <c r="G60" s="236">
        <f t="shared" si="57"/>
        <v>0</v>
      </c>
      <c r="H60" s="237" t="str">
        <f t="shared" si="8"/>
        <v>short ton</v>
      </c>
      <c r="I60" s="245">
        <f t="shared" si="48"/>
        <v>0</v>
      </c>
      <c r="J60" s="239"/>
      <c r="K60" s="239"/>
      <c r="L60" s="246"/>
      <c r="M60" s="246"/>
      <c r="N60" s="441" t="s">
        <v>630</v>
      </c>
      <c r="O60" s="413" t="str">
        <f t="shared" si="9"/>
        <v>mile</v>
      </c>
      <c r="X60" s="67">
        <f t="shared" si="49"/>
        <v>0</v>
      </c>
      <c r="Y60" s="216">
        <f t="shared" si="58"/>
        <v>0</v>
      </c>
      <c r="Z60" s="216">
        <v>1</v>
      </c>
      <c r="AA60" s="216">
        <f t="shared" si="50"/>
        <v>0</v>
      </c>
      <c r="AB60" s="216">
        <f t="shared" si="51"/>
        <v>0</v>
      </c>
      <c r="AC60" s="216">
        <f t="shared" si="52"/>
        <v>0</v>
      </c>
      <c r="AD60" s="216">
        <f t="shared" si="53"/>
        <v>0</v>
      </c>
      <c r="AE60" s="217" t="str">
        <f t="shared" si="33"/>
        <v>mile</v>
      </c>
      <c r="AF60" s="217">
        <f t="shared" si="11"/>
        <v>1.6093473468862911</v>
      </c>
      <c r="AG60" s="216" t="str">
        <f t="shared" si="34"/>
        <v>km/mile</v>
      </c>
      <c r="AH60" s="216">
        <f t="shared" si="59"/>
        <v>0</v>
      </c>
      <c r="AI60" s="216">
        <f t="shared" si="60"/>
        <v>0</v>
      </c>
      <c r="AJ60" s="216">
        <f t="shared" si="61"/>
        <v>0</v>
      </c>
      <c r="AK60" s="216">
        <f t="shared" si="62"/>
        <v>0</v>
      </c>
      <c r="AL60" s="216"/>
      <c r="AM60" s="1" t="str">
        <f t="shared" si="13"/>
        <v>Extruded Polystyrene</v>
      </c>
      <c r="AN60" t="s">
        <v>128</v>
      </c>
      <c r="AO60">
        <f t="shared" si="14"/>
        <v>3.2000000000000001E-2</v>
      </c>
      <c r="AP60" s="1">
        <f t="shared" si="35"/>
        <v>0</v>
      </c>
      <c r="AQ60" s="1" t="str">
        <f t="shared" si="15"/>
        <v>board feet</v>
      </c>
      <c r="AR60" s="1">
        <f t="shared" si="16"/>
        <v>7.5511590911999998E-5</v>
      </c>
      <c r="AS60" s="87" t="str">
        <f t="shared" si="54"/>
        <v>tonne/board feet</v>
      </c>
      <c r="AT60" s="87">
        <f t="shared" si="55"/>
        <v>0</v>
      </c>
      <c r="AU60" s="87">
        <f t="shared" si="17"/>
        <v>0</v>
      </c>
      <c r="AV60" s="87">
        <f t="shared" si="18"/>
        <v>0</v>
      </c>
      <c r="AW60" t="str">
        <f t="shared" si="56"/>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IFERROR(INDEX(LCIA_Data,MATCH($AO$15&amp;CM$27,LCIA_Rows_B&amp;LCIA_Rows_C,0),MATCH(CM$26,LCIA_Columns,0)),0)*$AT60*$AI60*$BN$23</f>
        <v>0</v>
      </c>
      <c r="CN60" s="1">
        <f t="array" ref="CN60">IFERROR(INDEX(LCIA_Data,MATCH($AO$15&amp;CN$27,LCIA_Rows_B&amp;LCIA_Rows_C,0),MATCH(CN$26,LCIA_Columns,0)),0)*$AT60*$AI60*$BN$23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IFERROR(INDEX(LCIA_Data,MATCH($AO$15&amp;DA$27,LCIA_Rows_B&amp;LCIA_Rows_C,0),MATCH(DA$26,LCIA_Columns,0)),0)*$AT60*$AJ60*$BN$23</f>
        <v>0</v>
      </c>
      <c r="DB60" s="1">
        <f t="array" ref="DB60">IFERROR(INDEX(LCIA_Data,MATCH($AO$15&amp;DB$27,LCIA_Rows_B&amp;LCIA_Rows_C,0),MATCH(DB$26,LCIA_Columns,0)),0)*$AT60*$AJ60*$BN$23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s="1">
        <f t="array" ref="DO60">IFERROR(INDEX(LCIA_Data,MATCH($AO$15&amp;DO$27,LCIA_Rows_B&amp;LCIA_Rows_C,0),MATCH(DO$26,LCIA_Columns,0)),0)*$AT60*$AK60*$BN$23</f>
        <v>0</v>
      </c>
      <c r="DP60" s="1">
        <f t="array" ref="DP60">IFERROR(INDEX(LCIA_Data,MATCH($AO$15&amp;DP$27,LCIA_Rows_B&amp;LCIA_Rows_C,0),MATCH(DP$26,LCIA_Columns,0)),0)*$AT60*$AK60*$BN$23</f>
        <v>0</v>
      </c>
      <c r="DQ60">
        <f t="shared" si="19"/>
        <v>0</v>
      </c>
      <c r="DR60">
        <f t="shared" si="20"/>
        <v>0</v>
      </c>
      <c r="DS60">
        <f t="shared" si="21"/>
        <v>0</v>
      </c>
      <c r="DT60">
        <f t="shared" si="22"/>
        <v>0</v>
      </c>
      <c r="DU60">
        <f t="shared" si="23"/>
        <v>0</v>
      </c>
      <c r="DV60">
        <f t="shared" si="24"/>
        <v>0</v>
      </c>
      <c r="DW60">
        <f t="shared" si="25"/>
        <v>0</v>
      </c>
      <c r="DX60">
        <f t="shared" si="26"/>
        <v>0</v>
      </c>
      <c r="DY60">
        <f t="shared" si="27"/>
        <v>0</v>
      </c>
      <c r="DZ60">
        <f t="shared" si="28"/>
        <v>0</v>
      </c>
      <c r="EA60">
        <f t="shared" si="29"/>
        <v>0</v>
      </c>
      <c r="EB60">
        <f t="shared" si="64"/>
        <v>0</v>
      </c>
      <c r="EC60">
        <f t="shared" si="64"/>
        <v>0</v>
      </c>
      <c r="ED60">
        <f t="shared" si="31"/>
        <v>0</v>
      </c>
      <c r="EE60"/>
      <c r="EF60"/>
      <c r="EG60"/>
      <c r="EH60"/>
      <c r="EI60"/>
    </row>
    <row r="61" spans="2:139" ht="15" customHeight="1">
      <c r="B61" s="53">
        <f t="shared" si="7"/>
        <v>0</v>
      </c>
      <c r="C61" s="26">
        <f t="shared" si="32"/>
        <v>32</v>
      </c>
      <c r="D61" s="46" t="s">
        <v>94</v>
      </c>
      <c r="E61" s="99"/>
      <c r="F61" s="119" t="str">
        <f>MassDisplayUnit</f>
        <v>short ton</v>
      </c>
      <c r="G61" s="158">
        <f t="shared" si="57"/>
        <v>0</v>
      </c>
      <c r="H61" s="204" t="str">
        <f t="shared" si="8"/>
        <v>short ton</v>
      </c>
      <c r="I61" s="241">
        <f t="shared" si="48"/>
        <v>0</v>
      </c>
      <c r="J61" s="201"/>
      <c r="K61" s="201"/>
      <c r="L61" s="201"/>
      <c r="M61" s="201"/>
      <c r="N61" s="439" t="s">
        <v>630</v>
      </c>
      <c r="O61" s="410" t="str">
        <f t="shared" si="9"/>
        <v>mile</v>
      </c>
      <c r="X61" s="67">
        <f t="shared" si="49"/>
        <v>0</v>
      </c>
      <c r="Y61" s="216">
        <f t="shared" si="58"/>
        <v>0</v>
      </c>
      <c r="Z61" s="216">
        <v>1</v>
      </c>
      <c r="AA61" s="216">
        <f t="shared" si="50"/>
        <v>0</v>
      </c>
      <c r="AB61" s="216">
        <f t="shared" si="51"/>
        <v>0</v>
      </c>
      <c r="AC61" s="216">
        <f t="shared" si="52"/>
        <v>0</v>
      </c>
      <c r="AD61" s="216">
        <f t="shared" si="53"/>
        <v>0</v>
      </c>
      <c r="AE61" s="217" t="str">
        <f t="shared" si="33"/>
        <v>mile</v>
      </c>
      <c r="AF61" s="217">
        <f t="shared" si="11"/>
        <v>1.6093473468862911</v>
      </c>
      <c r="AG61" s="216" t="str">
        <f t="shared" si="34"/>
        <v>km/mile</v>
      </c>
      <c r="AH61" s="216">
        <f t="shared" si="59"/>
        <v>0</v>
      </c>
      <c r="AI61" s="216">
        <f t="shared" si="60"/>
        <v>0</v>
      </c>
      <c r="AJ61" s="216">
        <f t="shared" si="61"/>
        <v>0</v>
      </c>
      <c r="AK61" s="216">
        <f t="shared" si="62"/>
        <v>0</v>
      </c>
      <c r="AL61" s="216"/>
      <c r="AM61" s="1" t="str">
        <f t="shared" si="13"/>
        <v>Brick</v>
      </c>
      <c r="AN61" t="s">
        <v>127</v>
      </c>
      <c r="AO61">
        <f t="shared" si="14"/>
        <v>0</v>
      </c>
      <c r="AP61" s="1">
        <f t="shared" si="35"/>
        <v>0</v>
      </c>
      <c r="AQ61" s="1" t="str">
        <f t="shared" si="15"/>
        <v>short ton</v>
      </c>
      <c r="AR61" s="1">
        <f t="shared" si="16"/>
        <v>0.90718499588591606</v>
      </c>
      <c r="AS61" s="87" t="str">
        <f t="shared" si="54"/>
        <v>tonne/short ton</v>
      </c>
      <c r="AT61" s="87">
        <f t="shared" si="55"/>
        <v>0</v>
      </c>
      <c r="AU61" s="87">
        <f t="shared" si="17"/>
        <v>0</v>
      </c>
      <c r="AV61" s="87">
        <f t="shared" si="18"/>
        <v>0</v>
      </c>
      <c r="AW61" t="str">
        <f t="shared" si="56"/>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IFERROR(INDEX(LCIA_Data,MATCH($AO$15&amp;CM$27,LCIA_Rows_B&amp;LCIA_Rows_C,0),MATCH(CM$26,LCIA_Columns,0)),0)*$AT61*$AI61*$BN$23</f>
        <v>0</v>
      </c>
      <c r="CN61" s="1">
        <f t="array" ref="CN61">IFERROR(INDEX(LCIA_Data,MATCH($AO$15&amp;CN$27,LCIA_Rows_B&amp;LCIA_Rows_C,0),MATCH(CN$26,LCIA_Columns,0)),0)*$AT61*$AI61*$BN$23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IFERROR(INDEX(LCIA_Data,MATCH($AO$15&amp;DA$27,LCIA_Rows_B&amp;LCIA_Rows_C,0),MATCH(DA$26,LCIA_Columns,0)),0)*$AT61*$AJ61*$BN$23</f>
        <v>0</v>
      </c>
      <c r="DB61" s="1">
        <f t="array" ref="DB61">IFERROR(INDEX(LCIA_Data,MATCH($AO$15&amp;DB$27,LCIA_Rows_B&amp;LCIA_Rows_C,0),MATCH(DB$26,LCIA_Columns,0)),0)*$AT61*$AJ61*$BN$23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s="1">
        <f t="array" ref="DO61">IFERROR(INDEX(LCIA_Data,MATCH($AO$15&amp;DO$27,LCIA_Rows_B&amp;LCIA_Rows_C,0),MATCH(DO$26,LCIA_Columns,0)),0)*$AT61*$AK61*$BN$23</f>
        <v>0</v>
      </c>
      <c r="DP61" s="1">
        <f t="array" ref="DP61">IFERROR(INDEX(LCIA_Data,MATCH($AO$15&amp;DP$27,LCIA_Rows_B&amp;LCIA_Rows_C,0),MATCH(DP$26,LCIA_Columns,0)),0)*$AT61*$AK61*$BN$23</f>
        <v>0</v>
      </c>
      <c r="DQ61">
        <f t="shared" si="19"/>
        <v>0</v>
      </c>
      <c r="DR61">
        <f t="shared" si="20"/>
        <v>0</v>
      </c>
      <c r="DS61">
        <f t="shared" si="21"/>
        <v>0</v>
      </c>
      <c r="DT61">
        <f t="shared" si="22"/>
        <v>0</v>
      </c>
      <c r="DU61">
        <f t="shared" si="23"/>
        <v>0</v>
      </c>
      <c r="DV61">
        <f t="shared" si="24"/>
        <v>0</v>
      </c>
      <c r="DW61">
        <f t="shared" si="25"/>
        <v>0</v>
      </c>
      <c r="DX61">
        <f t="shared" si="26"/>
        <v>0</v>
      </c>
      <c r="DY61">
        <f t="shared" si="27"/>
        <v>0</v>
      </c>
      <c r="DZ61">
        <f t="shared" si="28"/>
        <v>0</v>
      </c>
      <c r="EA61">
        <f t="shared" si="29"/>
        <v>0</v>
      </c>
      <c r="EB61">
        <f t="shared" si="64"/>
        <v>0</v>
      </c>
      <c r="EC61">
        <f t="shared" si="64"/>
        <v>0</v>
      </c>
      <c r="ED61">
        <f t="shared" si="31"/>
        <v>0</v>
      </c>
      <c r="EE61"/>
      <c r="EF61"/>
      <c r="EG61"/>
      <c r="EH61"/>
      <c r="EI61"/>
    </row>
    <row r="62" spans="2:139" ht="15" customHeight="1">
      <c r="B62" s="53">
        <f t="shared" si="7"/>
        <v>0</v>
      </c>
      <c r="C62" s="26">
        <f t="shared" si="32"/>
        <v>33</v>
      </c>
      <c r="D62" s="46" t="s">
        <v>507</v>
      </c>
      <c r="E62" s="99"/>
      <c r="F62" s="119" t="str">
        <f>MassDisplayUnit</f>
        <v>short ton</v>
      </c>
      <c r="G62" s="158">
        <f t="shared" si="57"/>
        <v>0</v>
      </c>
      <c r="H62" s="204" t="str">
        <f t="shared" si="8"/>
        <v>short ton</v>
      </c>
      <c r="I62" s="150">
        <f t="shared" si="48"/>
        <v>0</v>
      </c>
      <c r="J62" s="201"/>
      <c r="K62" s="201"/>
      <c r="L62" s="202"/>
      <c r="M62" s="202"/>
      <c r="N62" s="436" t="s">
        <v>630</v>
      </c>
      <c r="O62" s="408" t="str">
        <f t="shared" si="9"/>
        <v>mile</v>
      </c>
      <c r="X62" s="67">
        <f t="shared" si="49"/>
        <v>0</v>
      </c>
      <c r="Y62" s="216">
        <f t="shared" si="58"/>
        <v>0</v>
      </c>
      <c r="Z62" s="216">
        <v>1</v>
      </c>
      <c r="AA62" s="216">
        <f t="shared" si="50"/>
        <v>0</v>
      </c>
      <c r="AB62" s="216">
        <f t="shared" si="51"/>
        <v>0</v>
      </c>
      <c r="AC62" s="216">
        <f t="shared" si="52"/>
        <v>0</v>
      </c>
      <c r="AD62" s="216">
        <f t="shared" si="53"/>
        <v>0</v>
      </c>
      <c r="AE62" s="217" t="str">
        <f t="shared" si="33"/>
        <v>mile</v>
      </c>
      <c r="AF62" s="217">
        <f t="shared" si="11"/>
        <v>1.6093473468862911</v>
      </c>
      <c r="AG62" s="216" t="str">
        <f t="shared" si="34"/>
        <v>km/mile</v>
      </c>
      <c r="AH62" s="216">
        <f t="shared" si="59"/>
        <v>0</v>
      </c>
      <c r="AI62" s="216">
        <f t="shared" si="60"/>
        <v>0</v>
      </c>
      <c r="AJ62" s="216">
        <f t="shared" si="61"/>
        <v>0</v>
      </c>
      <c r="AK62" s="216">
        <f t="shared" si="62"/>
        <v>0</v>
      </c>
      <c r="AL62" s="216"/>
      <c r="AM62" s="1" t="str">
        <f t="shared" si="13"/>
        <v>Natural Stone</v>
      </c>
      <c r="AN62" t="s">
        <v>127</v>
      </c>
      <c r="AO62">
        <f t="shared" si="14"/>
        <v>0</v>
      </c>
      <c r="AP62" s="1">
        <f t="shared" si="35"/>
        <v>0</v>
      </c>
      <c r="AQ62" s="1" t="str">
        <f t="shared" si="15"/>
        <v>short ton</v>
      </c>
      <c r="AR62" s="1">
        <f t="shared" si="16"/>
        <v>0.90718499588591606</v>
      </c>
      <c r="AS62" s="87" t="str">
        <f t="shared" si="54"/>
        <v>tonne/short ton</v>
      </c>
      <c r="AT62" s="87">
        <f t="shared" si="55"/>
        <v>0</v>
      </c>
      <c r="AU62" s="87">
        <f t="shared" si="17"/>
        <v>0</v>
      </c>
      <c r="AV62" s="87">
        <f t="shared" si="18"/>
        <v>0</v>
      </c>
      <c r="AW62" t="str">
        <f t="shared" si="56"/>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IFERROR(INDEX(LCIA_Data,MATCH($AO$15&amp;CM$27,LCIA_Rows_B&amp;LCIA_Rows_C,0),MATCH(CM$26,LCIA_Columns,0)),0)*$AT62*$AI62*$BN$23</f>
        <v>0</v>
      </c>
      <c r="CN62" s="1">
        <f t="array" ref="CN62">IFERROR(INDEX(LCIA_Data,MATCH($AO$15&amp;CN$27,LCIA_Rows_B&amp;LCIA_Rows_C,0),MATCH(CN$26,LCIA_Columns,0)),0)*$AT62*$AI62*$BN$23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IFERROR(INDEX(LCIA_Data,MATCH($AO$15&amp;DA$27,LCIA_Rows_B&amp;LCIA_Rows_C,0),MATCH(DA$26,LCIA_Columns,0)),0)*$AT62*$AJ62*$BN$23</f>
        <v>0</v>
      </c>
      <c r="DB62" s="1">
        <f t="array" ref="DB62">IFERROR(INDEX(LCIA_Data,MATCH($AO$15&amp;DB$27,LCIA_Rows_B&amp;LCIA_Rows_C,0),MATCH(DB$26,LCIA_Columns,0)),0)*$AT62*$AJ62*$BN$23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s="1">
        <f t="array" ref="DO62">IFERROR(INDEX(LCIA_Data,MATCH($AO$15&amp;DO$27,LCIA_Rows_B&amp;LCIA_Rows_C,0),MATCH(DO$26,LCIA_Columns,0)),0)*$AT62*$AK62*$BN$23</f>
        <v>0</v>
      </c>
      <c r="DP62" s="1">
        <f t="array" ref="DP62">IFERROR(INDEX(LCIA_Data,MATCH($AO$15&amp;DP$27,LCIA_Rows_B&amp;LCIA_Rows_C,0),MATCH(DP$26,LCIA_Columns,0)),0)*$AT62*$AK62*$BN$23</f>
        <v>0</v>
      </c>
      <c r="DQ62">
        <f t="shared" si="19"/>
        <v>0</v>
      </c>
      <c r="DR62">
        <f t="shared" si="20"/>
        <v>0</v>
      </c>
      <c r="DS62">
        <f t="shared" si="21"/>
        <v>0</v>
      </c>
      <c r="DT62">
        <f t="shared" si="22"/>
        <v>0</v>
      </c>
      <c r="DU62">
        <f t="shared" si="23"/>
        <v>0</v>
      </c>
      <c r="DV62">
        <f t="shared" si="24"/>
        <v>0</v>
      </c>
      <c r="DW62">
        <f t="shared" si="25"/>
        <v>0</v>
      </c>
      <c r="DX62">
        <f t="shared" si="26"/>
        <v>0</v>
      </c>
      <c r="DY62">
        <f t="shared" si="27"/>
        <v>0</v>
      </c>
      <c r="DZ62">
        <f t="shared" si="28"/>
        <v>0</v>
      </c>
      <c r="EA62">
        <f t="shared" si="29"/>
        <v>0</v>
      </c>
      <c r="EB62">
        <f t="shared" ref="EB62:EC64" si="66">BX62+CL62+CZ62+DN62</f>
        <v>0</v>
      </c>
      <c r="EC62">
        <f t="shared" si="66"/>
        <v>0</v>
      </c>
      <c r="ED62">
        <f t="shared" si="31"/>
        <v>0</v>
      </c>
      <c r="EE62"/>
      <c r="EF62"/>
      <c r="EG62"/>
      <c r="EH62"/>
      <c r="EI62"/>
    </row>
    <row r="63" spans="2:139" ht="15" customHeight="1" thickBot="1">
      <c r="B63" s="53">
        <f t="shared" si="7"/>
        <v>0</v>
      </c>
      <c r="C63" s="32">
        <f t="shared" si="32"/>
        <v>34</v>
      </c>
      <c r="D63" s="47" t="s">
        <v>95</v>
      </c>
      <c r="E63" s="102"/>
      <c r="F63" s="231" t="str">
        <f>MassDisplayUnit</f>
        <v>short ton</v>
      </c>
      <c r="G63" s="228">
        <f t="shared" si="57"/>
        <v>0</v>
      </c>
      <c r="H63" s="227" t="str">
        <f t="shared" si="8"/>
        <v>short ton</v>
      </c>
      <c r="I63" s="242">
        <f t="shared" si="48"/>
        <v>0</v>
      </c>
      <c r="J63" s="232"/>
      <c r="K63" s="232"/>
      <c r="L63" s="243"/>
      <c r="M63" s="243"/>
      <c r="N63" s="440" t="s">
        <v>630</v>
      </c>
      <c r="O63" s="412" t="str">
        <f t="shared" si="9"/>
        <v>mile</v>
      </c>
      <c r="X63" s="67">
        <f t="shared" si="49"/>
        <v>0</v>
      </c>
      <c r="Y63" s="216">
        <f t="shared" si="58"/>
        <v>0</v>
      </c>
      <c r="Z63" s="216">
        <v>1</v>
      </c>
      <c r="AA63" s="216">
        <f t="shared" si="50"/>
        <v>0</v>
      </c>
      <c r="AB63" s="216">
        <f t="shared" si="51"/>
        <v>0</v>
      </c>
      <c r="AC63" s="216">
        <f t="shared" si="52"/>
        <v>0</v>
      </c>
      <c r="AD63" s="216">
        <f t="shared" si="53"/>
        <v>0</v>
      </c>
      <c r="AE63" s="217" t="str">
        <f t="shared" si="33"/>
        <v>mile</v>
      </c>
      <c r="AF63" s="217">
        <f t="shared" si="11"/>
        <v>1.6093473468862911</v>
      </c>
      <c r="AG63" s="216" t="str">
        <f t="shared" si="34"/>
        <v>km/mile</v>
      </c>
      <c r="AH63" s="216">
        <f t="shared" si="59"/>
        <v>0</v>
      </c>
      <c r="AI63" s="216">
        <f t="shared" si="60"/>
        <v>0</v>
      </c>
      <c r="AJ63" s="216">
        <f t="shared" si="61"/>
        <v>0</v>
      </c>
      <c r="AK63" s="216">
        <f t="shared" si="62"/>
        <v>0</v>
      </c>
      <c r="AL63" s="216"/>
      <c r="AM63" s="1" t="str">
        <f t="shared" si="13"/>
        <v>Pigments</v>
      </c>
      <c r="AN63" t="s">
        <v>127</v>
      </c>
      <c r="AO63">
        <f t="shared" si="14"/>
        <v>0</v>
      </c>
      <c r="AP63" s="1">
        <f t="shared" si="35"/>
        <v>0</v>
      </c>
      <c r="AQ63" s="1" t="str">
        <f t="shared" si="15"/>
        <v>short ton</v>
      </c>
      <c r="AR63" s="1">
        <f t="shared" si="16"/>
        <v>0.90718499588591606</v>
      </c>
      <c r="AS63" s="87" t="str">
        <f t="shared" si="54"/>
        <v>tonne/short ton</v>
      </c>
      <c r="AT63" s="87">
        <f t="shared" si="55"/>
        <v>0</v>
      </c>
      <c r="AU63" s="87">
        <f t="shared" si="17"/>
        <v>0</v>
      </c>
      <c r="AV63" s="87">
        <f t="shared" si="18"/>
        <v>0</v>
      </c>
      <c r="AW63" t="str">
        <f t="shared" si="56"/>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IFERROR(INDEX(LCIA_Data,MATCH($AO$15&amp;CM$27,LCIA_Rows_B&amp;LCIA_Rows_C,0),MATCH(CM$26,LCIA_Columns,0)),0)*$AT63*$AI63*$BN$23</f>
        <v>0</v>
      </c>
      <c r="CN63" s="1">
        <f t="array" ref="CN63">IFERROR(INDEX(LCIA_Data,MATCH($AO$15&amp;CN$27,LCIA_Rows_B&amp;LCIA_Rows_C,0),MATCH(CN$26,LCIA_Columns,0)),0)*$AT63*$AI63*$BN$23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IFERROR(INDEX(LCIA_Data,MATCH($AO$15&amp;DA$27,LCIA_Rows_B&amp;LCIA_Rows_C,0),MATCH(DA$26,LCIA_Columns,0)),0)*$AT63*$AJ63*$BN$23</f>
        <v>0</v>
      </c>
      <c r="DB63" s="1">
        <f t="array" ref="DB63">IFERROR(INDEX(LCIA_Data,MATCH($AO$15&amp;DB$27,LCIA_Rows_B&amp;LCIA_Rows_C,0),MATCH(DB$26,LCIA_Columns,0)),0)*$AT63*$AJ63*$BN$23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s="1">
        <f t="array" ref="DO63">IFERROR(INDEX(LCIA_Data,MATCH($AO$15&amp;DO$27,LCIA_Rows_B&amp;LCIA_Rows_C,0),MATCH(DO$26,LCIA_Columns,0)),0)*$AT63*$AK63*$BN$23</f>
        <v>0</v>
      </c>
      <c r="DP63" s="1">
        <f t="array" ref="DP63">IFERROR(INDEX(LCIA_Data,MATCH($AO$15&amp;DP$27,LCIA_Rows_B&amp;LCIA_Rows_C,0),MATCH(DP$26,LCIA_Columns,0)),0)*$AT63*$AK63*$BN$23</f>
        <v>0</v>
      </c>
      <c r="DQ63">
        <f t="shared" si="19"/>
        <v>0</v>
      </c>
      <c r="DR63">
        <f t="shared" si="20"/>
        <v>0</v>
      </c>
      <c r="DS63">
        <f t="shared" si="21"/>
        <v>0</v>
      </c>
      <c r="DT63">
        <f t="shared" si="22"/>
        <v>0</v>
      </c>
      <c r="DU63">
        <f t="shared" si="23"/>
        <v>0</v>
      </c>
      <c r="DV63">
        <f t="shared" si="24"/>
        <v>0</v>
      </c>
      <c r="DW63">
        <f t="shared" si="25"/>
        <v>0</v>
      </c>
      <c r="DX63">
        <f t="shared" si="26"/>
        <v>0</v>
      </c>
      <c r="DY63">
        <f t="shared" si="27"/>
        <v>0</v>
      </c>
      <c r="DZ63">
        <f t="shared" si="28"/>
        <v>0</v>
      </c>
      <c r="EA63">
        <f t="shared" si="29"/>
        <v>0</v>
      </c>
      <c r="EB63">
        <f t="shared" si="66"/>
        <v>0</v>
      </c>
      <c r="EC63">
        <f t="shared" si="66"/>
        <v>0</v>
      </c>
      <c r="ED63">
        <f t="shared" si="31"/>
        <v>0</v>
      </c>
      <c r="EE63"/>
      <c r="EF63"/>
      <c r="EG63"/>
      <c r="EH63"/>
      <c r="EI63"/>
    </row>
    <row r="64" spans="2:139" ht="15" customHeight="1" thickBot="1">
      <c r="B64" s="53">
        <f t="shared" si="7"/>
        <v>0</v>
      </c>
      <c r="C64" s="345">
        <f t="shared" si="32"/>
        <v>35</v>
      </c>
      <c r="D64" s="346" t="s">
        <v>139</v>
      </c>
      <c r="E64" s="347"/>
      <c r="F64" s="348" t="str">
        <f>VolumeDisplayUnit</f>
        <v>gallon</v>
      </c>
      <c r="G64" s="349">
        <f t="shared" si="57"/>
        <v>0</v>
      </c>
      <c r="H64" s="350" t="str">
        <f t="shared" si="8"/>
        <v>short ton</v>
      </c>
      <c r="I64" s="351">
        <f t="shared" si="48"/>
        <v>0</v>
      </c>
      <c r="J64" s="352"/>
      <c r="K64" s="352"/>
      <c r="L64" s="352"/>
      <c r="M64" s="353"/>
      <c r="N64" s="442" t="s">
        <v>630</v>
      </c>
      <c r="O64" s="408" t="str">
        <f t="shared" si="9"/>
        <v>mile</v>
      </c>
      <c r="X64" s="67">
        <f t="shared" si="49"/>
        <v>0</v>
      </c>
      <c r="Y64" s="216">
        <f t="shared" si="58"/>
        <v>0</v>
      </c>
      <c r="Z64" s="216">
        <v>1</v>
      </c>
      <c r="AA64" s="216">
        <f t="shared" si="50"/>
        <v>0</v>
      </c>
      <c r="AB64" s="216">
        <f t="shared" si="51"/>
        <v>0</v>
      </c>
      <c r="AC64" s="216">
        <f t="shared" si="52"/>
        <v>0</v>
      </c>
      <c r="AD64" s="216">
        <f t="shared" si="53"/>
        <v>0</v>
      </c>
      <c r="AE64" s="217" t="str">
        <f t="shared" si="33"/>
        <v>mile</v>
      </c>
      <c r="AF64" s="217">
        <f t="shared" si="11"/>
        <v>1.6093473468862911</v>
      </c>
      <c r="AG64" s="216" t="str">
        <f t="shared" si="34"/>
        <v>km/mile</v>
      </c>
      <c r="AH64" s="216">
        <f t="shared" si="59"/>
        <v>0</v>
      </c>
      <c r="AI64" s="216">
        <f t="shared" si="60"/>
        <v>0</v>
      </c>
      <c r="AJ64" s="216">
        <f t="shared" si="61"/>
        <v>0</v>
      </c>
      <c r="AK64" s="216">
        <f t="shared" si="62"/>
        <v>0</v>
      </c>
      <c r="AL64" s="216"/>
      <c r="AM64" s="1" t="str">
        <f t="shared" si="13"/>
        <v>Net Consumables</v>
      </c>
      <c r="AN64" t="s">
        <v>128</v>
      </c>
      <c r="AO64">
        <f t="shared" si="14"/>
        <v>0.9</v>
      </c>
      <c r="AP64" s="1">
        <f t="shared" si="35"/>
        <v>0</v>
      </c>
      <c r="AQ64" s="1" t="str">
        <f t="shared" si="15"/>
        <v>gallon</v>
      </c>
      <c r="AR64" s="1">
        <f t="shared" si="16"/>
        <v>3.4068708000000005E-3</v>
      </c>
      <c r="AS64" s="87" t="str">
        <f t="shared" si="54"/>
        <v>tonne/gallon</v>
      </c>
      <c r="AT64" s="87">
        <f t="shared" si="55"/>
        <v>0</v>
      </c>
      <c r="AU64" s="87">
        <f t="shared" si="17"/>
        <v>0</v>
      </c>
      <c r="AV64" s="87">
        <f t="shared" si="18"/>
        <v>0</v>
      </c>
      <c r="AW64" t="str">
        <f t="shared" si="56"/>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IFERROR(INDEX(LCIA_Data,MATCH($AO$15&amp;CM$27,LCIA_Rows_B&amp;LCIA_Rows_C,0),MATCH(CM$26,LCIA_Columns,0)),0)*$AT64*$AI64*$BN$23</f>
        <v>0</v>
      </c>
      <c r="CN64" s="1">
        <f t="array" ref="CN64">IFERROR(INDEX(LCIA_Data,MATCH($AO$15&amp;CN$27,LCIA_Rows_B&amp;LCIA_Rows_C,0),MATCH(CN$26,LCIA_Columns,0)),0)*$AT64*$AI64*$BN$23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IFERROR(INDEX(LCIA_Data,MATCH($AO$15&amp;DA$27,LCIA_Rows_B&amp;LCIA_Rows_C,0),MATCH(DA$26,LCIA_Columns,0)),0)*$AT64*$AJ64*$BN$23</f>
        <v>0</v>
      </c>
      <c r="DB64" s="1">
        <f t="array" ref="DB64">IFERROR(INDEX(LCIA_Data,MATCH($AO$15&amp;DB$27,LCIA_Rows_B&amp;LCIA_Rows_C,0),MATCH(DB$26,LCIA_Columns,0)),0)*$AT64*$AJ64*$BN$23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s="1">
        <f t="array" ref="DO64">IFERROR(INDEX(LCIA_Data,MATCH($AO$15&amp;DO$27,LCIA_Rows_B&amp;LCIA_Rows_C,0),MATCH(DO$26,LCIA_Columns,0)),0)*$AT64*$AK64*$BN$23</f>
        <v>0</v>
      </c>
      <c r="DP64" s="1">
        <f t="array" ref="DP64">IFERROR(INDEX(LCIA_Data,MATCH($AO$15&amp;DP$27,LCIA_Rows_B&amp;LCIA_Rows_C,0),MATCH(DP$26,LCIA_Columns,0)),0)*$AT64*$AK64*$BN$23</f>
        <v>0</v>
      </c>
      <c r="DQ64">
        <f t="shared" si="19"/>
        <v>0</v>
      </c>
      <c r="DR64">
        <f t="shared" si="20"/>
        <v>0</v>
      </c>
      <c r="DS64">
        <f t="shared" si="21"/>
        <v>0</v>
      </c>
      <c r="DT64">
        <f t="shared" si="22"/>
        <v>0</v>
      </c>
      <c r="DU64">
        <f t="shared" si="23"/>
        <v>0</v>
      </c>
      <c r="DV64">
        <f t="shared" si="24"/>
        <v>0</v>
      </c>
      <c r="DW64">
        <f t="shared" si="25"/>
        <v>0</v>
      </c>
      <c r="DX64">
        <f t="shared" si="26"/>
        <v>0</v>
      </c>
      <c r="DY64">
        <f t="shared" si="27"/>
        <v>0</v>
      </c>
      <c r="DZ64">
        <f t="shared" si="28"/>
        <v>0</v>
      </c>
      <c r="EA64">
        <f t="shared" si="29"/>
        <v>0</v>
      </c>
      <c r="EB64">
        <f t="shared" si="66"/>
        <v>0</v>
      </c>
      <c r="EC64">
        <f t="shared" si="66"/>
        <v>0</v>
      </c>
      <c r="ED64">
        <f t="shared" si="31"/>
        <v>0</v>
      </c>
      <c r="EE64"/>
      <c r="EF64"/>
      <c r="EG64"/>
      <c r="EH64"/>
      <c r="EI64"/>
    </row>
    <row r="65" spans="2:139" ht="15" customHeight="1" thickBot="1">
      <c r="B65" s="53">
        <f>X65</f>
        <v>0</v>
      </c>
      <c r="C65" s="221">
        <f t="shared" si="32"/>
        <v>36</v>
      </c>
      <c r="D65" s="222" t="s">
        <v>465</v>
      </c>
      <c r="E65" s="343"/>
      <c r="F65" s="240" t="str">
        <f>WaterTotalDisplayUnit</f>
        <v>kgal</v>
      </c>
      <c r="G65" s="224">
        <f t="shared" si="57"/>
        <v>0</v>
      </c>
      <c r="H65" s="225" t="str">
        <f t="shared" si="8"/>
        <v>short ton</v>
      </c>
      <c r="I65" s="344">
        <f t="shared" si="48"/>
        <v>0</v>
      </c>
      <c r="J65" s="218"/>
      <c r="K65"/>
      <c r="L65"/>
      <c r="M65" s="50"/>
      <c r="N65" s="50"/>
      <c r="O65" s="186"/>
      <c r="X65" s="67">
        <f>IF(ISBLANK(E65),0,1)</f>
        <v>0</v>
      </c>
      <c r="Y65" s="216">
        <f>IF($X65=1,1,0)</f>
        <v>0</v>
      </c>
      <c r="Z65" s="216">
        <v>1</v>
      </c>
      <c r="AA65" s="216"/>
      <c r="AB65" s="216"/>
      <c r="AC65" s="216"/>
      <c r="AD65" s="216"/>
      <c r="AE65" s="217"/>
      <c r="AF65" s="217"/>
      <c r="AG65" s="216"/>
      <c r="AH65" s="216"/>
      <c r="AI65" s="216"/>
      <c r="AJ65" s="216"/>
      <c r="AK65" s="216"/>
      <c r="AL65" s="216"/>
      <c r="AM65" s="1" t="str">
        <f t="shared" si="13"/>
        <v>Total Batch Water Use</v>
      </c>
      <c r="AN65" t="s">
        <v>128</v>
      </c>
      <c r="AO65">
        <f>VLOOKUP(AM65,Material_Densities,2,FALSE)</f>
        <v>1</v>
      </c>
      <c r="AP65" s="1">
        <f t="shared" si="35"/>
        <v>0</v>
      </c>
      <c r="AQ65" s="1" t="str">
        <f t="shared" si="15"/>
        <v>kgal</v>
      </c>
      <c r="AR65" s="1">
        <f t="shared" si="16"/>
        <v>3.7854120000000004</v>
      </c>
      <c r="AS65" s="87" t="str">
        <f t="shared" si="54"/>
        <v>tonne/kgal</v>
      </c>
      <c r="AT65" s="87">
        <f t="shared" si="55"/>
        <v>0</v>
      </c>
      <c r="AU65" s="87">
        <f t="shared" si="17"/>
        <v>0</v>
      </c>
      <c r="AV65" s="87">
        <f t="shared" si="18"/>
        <v>0</v>
      </c>
      <c r="AW65" t="str">
        <f t="shared" si="56"/>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row>
    <row r="66" spans="2:139" ht="15" customHeight="1">
      <c r="B66" s="53">
        <f>X66</f>
        <v>0</v>
      </c>
      <c r="C66" s="26">
        <f t="shared" si="32"/>
        <v>37</v>
      </c>
      <c r="D66" s="46" t="s">
        <v>464</v>
      </c>
      <c r="E66" s="101"/>
      <c r="F66" s="106" t="str">
        <f>WaterTotalDisplayUnit</f>
        <v>kgal</v>
      </c>
      <c r="G66" s="158">
        <f t="shared" si="57"/>
        <v>0</v>
      </c>
      <c r="H66" s="213" t="str">
        <f t="shared" si="8"/>
        <v>short ton</v>
      </c>
      <c r="I66" s="219"/>
      <c r="J66"/>
      <c r="K66"/>
      <c r="L66"/>
      <c r="M66" s="50"/>
      <c r="N66" s="50"/>
      <c r="O66" s="51"/>
      <c r="X66" s="67">
        <f>IF(ISBLANK(E66),0,1)</f>
        <v>0</v>
      </c>
      <c r="Y66" s="216">
        <f>IF($X66=1,1,0)</f>
        <v>0</v>
      </c>
      <c r="Z66" s="216">
        <v>1</v>
      </c>
      <c r="AA66" s="216"/>
      <c r="AB66" s="216"/>
      <c r="AC66" s="216"/>
      <c r="AD66" s="216"/>
      <c r="AE66" s="217"/>
      <c r="AF66" s="217"/>
      <c r="AG66" s="216"/>
      <c r="AH66" s="216"/>
      <c r="AI66" s="216"/>
      <c r="AJ66" s="216"/>
      <c r="AK66" s="216"/>
      <c r="AL66" s="216"/>
      <c r="AM66" s="1" t="str">
        <f t="shared" si="13"/>
        <v>Total Plant Water Use</v>
      </c>
      <c r="AN66" t="s">
        <v>128</v>
      </c>
      <c r="AO66">
        <f>VLOOKUP(AM66,Material_Densities,2,FALSE)</f>
        <v>1</v>
      </c>
      <c r="AP66" s="1">
        <f t="shared" si="35"/>
        <v>0</v>
      </c>
      <c r="AQ66" s="1" t="str">
        <f t="shared" si="15"/>
        <v>kgal</v>
      </c>
      <c r="AR66" s="1">
        <f t="shared" si="16"/>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IFERROR(INDEX(LCIA_Data,MATCH($AO$15&amp;AX$27,LCIA_Rows_B&amp;LCIA_Rows_C,0),MATCH($D66,LCIA_Columns,0)),0)*$AU66</f>
        <v>0</v>
      </c>
      <c r="AY66" s="148">
        <f>IFERROR(INDEX(LCIA_Data,MATCH($AO$15&amp;AY$27,LCIA_Rows_B&amp;LCIA_Rows_C,0),MATCH($D66,LCIA_Columns,0)),0)*$AU66</f>
        <v>0</v>
      </c>
      <c r="AZ66" s="148">
        <f>IFERROR(INDEX(LCIA_Data,MATCH($AO$15&amp;AZ$27,LCIA_Rows_B&amp;LCIA_Rows_C,0),MATCH($D66,LCIA_Columns,0)),0)*$AU66</f>
        <v>0</v>
      </c>
      <c r="BA66" s="148">
        <f>IFERROR(INDEX(LCIA_Data,MATCH($AO$15&amp;BA$27,LCIA_Rows_B&amp;LCIA_Rows_C,0),MATCH($D66,LCIA_Columns,0)),0)*$AU66</f>
        <v>0</v>
      </c>
      <c r="BB66" s="148">
        <f>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row>
    <row r="67" spans="2:139" ht="15" customHeight="1" thickBot="1">
      <c r="B67" s="53">
        <f>X67</f>
        <v>0</v>
      </c>
      <c r="C67" s="32">
        <f t="shared" si="32"/>
        <v>38</v>
      </c>
      <c r="D67" s="47" t="s">
        <v>466</v>
      </c>
      <c r="E67" s="102"/>
      <c r="F67" s="204" t="s">
        <v>153</v>
      </c>
      <c r="G67" s="158"/>
      <c r="H67" s="213"/>
      <c r="I67" s="218"/>
      <c r="J67"/>
      <c r="K67"/>
      <c r="L67"/>
      <c r="M67" s="50"/>
      <c r="N67" s="50"/>
      <c r="O67" s="51"/>
      <c r="X67" s="67">
        <f>IF(ISBLANK(E67),0,1)</f>
        <v>0</v>
      </c>
      <c r="Y67" s="216">
        <f>IF($X67=1,1,0)</f>
        <v>0</v>
      </c>
      <c r="Z67" s="216">
        <v>2</v>
      </c>
      <c r="AA67" s="216"/>
      <c r="AB67" s="216"/>
      <c r="AC67" s="216"/>
      <c r="AD67" s="216"/>
      <c r="AE67" s="217"/>
      <c r="AF67" s="217"/>
      <c r="AG67" s="216"/>
      <c r="AH67" s="216"/>
      <c r="AI67" s="216"/>
      <c r="AJ67" s="216"/>
      <c r="AK67" s="216"/>
      <c r="AL67" s="216"/>
      <c r="AM67" s="89" t="str">
        <f t="shared" si="13"/>
        <v>Percentage of Batch Water that is Recycled Water</v>
      </c>
      <c r="AN67" s="90" t="s">
        <v>128</v>
      </c>
      <c r="AO67" s="90">
        <f>VLOOKUP(AM67,Material_Densities,2,FALSE)</f>
        <v>0</v>
      </c>
      <c r="AP67" s="89">
        <f t="shared" si="35"/>
        <v>0</v>
      </c>
      <c r="AQ67" s="89" t="str">
        <f t="shared" si="15"/>
        <v>%</v>
      </c>
      <c r="AR67" s="89">
        <f>IFERROR(IF($AN67="M",INDEX(Conversion_Table,MATCH($AQ67,Conversion_Rows,0),MATCH($AT$29,Conversion_Columns,0)),IF($AN67="V",INDEX(Conversion_Table,MATCH($AQ67,Conversion_Rows,0),MATCH("m3",Conversion_Columns,0))*$AO67)),0)</f>
        <v>0</v>
      </c>
      <c r="AS67" s="91" t="str">
        <f t="shared" si="54"/>
        <v>tonne/%</v>
      </c>
      <c r="AT67" s="91">
        <f t="shared" si="55"/>
        <v>0</v>
      </c>
      <c r="AU67" s="91">
        <f t="shared" si="17"/>
        <v>0</v>
      </c>
      <c r="AV67" s="91"/>
      <c r="AW67" s="90" t="str">
        <f t="shared" si="56"/>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row>
    <row r="68" spans="2:139" ht="16" thickBot="1">
      <c r="F68" s="92" t="s">
        <v>209</v>
      </c>
      <c r="G68" s="159">
        <f>SUM(G30:G65)-G64-G48</f>
        <v>0</v>
      </c>
      <c r="H68" s="214" t="str">
        <f>MassDisplayUnit</f>
        <v>short ton</v>
      </c>
      <c r="J68"/>
      <c r="K68"/>
      <c r="L68"/>
      <c r="M68" s="38"/>
      <c r="N68" s="38"/>
      <c r="O68" s="71"/>
      <c r="Z68" s="216"/>
      <c r="AN68" s="1"/>
      <c r="AO68" s="1"/>
      <c r="AP68" s="1"/>
      <c r="AS68" t="s">
        <v>486</v>
      </c>
      <c r="AT68" s="87">
        <f>SUM(AT30:AT65)</f>
        <v>0</v>
      </c>
      <c r="AU68" s="87">
        <f>SUM(AU30:AU65)</f>
        <v>0</v>
      </c>
      <c r="AV68" s="87"/>
      <c r="AX68" s="146">
        <f>SUM(AX30:AX64)+AX66</f>
        <v>0</v>
      </c>
      <c r="AY68" s="146">
        <f t="shared" ref="AY68:BB68" si="67">SUM(AY30:AY64)+AY66</f>
        <v>0</v>
      </c>
      <c r="AZ68" s="146">
        <f t="shared" si="67"/>
        <v>0</v>
      </c>
      <c r="BA68" s="146">
        <f t="shared" si="67"/>
        <v>0</v>
      </c>
      <c r="BB68" s="146">
        <f t="shared" si="67"/>
        <v>0</v>
      </c>
      <c r="BC68" s="146">
        <f>SUM(BC30:BC64)+BC66</f>
        <v>0</v>
      </c>
      <c r="BD68" s="146">
        <f t="shared" ref="BD68:BH68" si="68">SUM(BD30:BD64)+BD66</f>
        <v>0</v>
      </c>
      <c r="BE68" s="146">
        <f t="shared" si="68"/>
        <v>0</v>
      </c>
      <c r="BF68" s="146">
        <f t="shared" si="68"/>
        <v>0</v>
      </c>
      <c r="BG68" s="146">
        <f t="shared" si="68"/>
        <v>0</v>
      </c>
      <c r="BH68" s="146">
        <f t="shared" si="68"/>
        <v>0</v>
      </c>
      <c r="BI68" s="146">
        <f t="shared" ref="BI68:BJ68" si="69">SUM(BI30:BI64)+BI66</f>
        <v>0</v>
      </c>
      <c r="BJ68" s="146">
        <f t="shared" si="69"/>
        <v>0</v>
      </c>
      <c r="BK68" s="146">
        <f>SUM(BK30:BK64)+BK66</f>
        <v>0</v>
      </c>
      <c r="BM68">
        <f t="shared" ref="BM68:ED68" si="70">SUM(BM30:BM64)</f>
        <v>0</v>
      </c>
      <c r="BN68">
        <f t="shared" ref="BN68:BQ68" si="71">SUM(BN30:BN64)</f>
        <v>0</v>
      </c>
      <c r="BO68">
        <f t="shared" si="71"/>
        <v>0</v>
      </c>
      <c r="BP68">
        <f t="shared" si="71"/>
        <v>0</v>
      </c>
      <c r="BQ68">
        <f t="shared" si="71"/>
        <v>0</v>
      </c>
      <c r="BR68">
        <f t="shared" si="70"/>
        <v>0</v>
      </c>
      <c r="BS68">
        <f t="shared" ref="BS68:BY68" si="72">SUM(BS30:BS64)</f>
        <v>0</v>
      </c>
      <c r="BT68">
        <f t="shared" si="72"/>
        <v>0</v>
      </c>
      <c r="BU68">
        <f t="shared" si="72"/>
        <v>0</v>
      </c>
      <c r="BV68">
        <f t="shared" si="72"/>
        <v>0</v>
      </c>
      <c r="BW68">
        <f t="shared" si="72"/>
        <v>0</v>
      </c>
      <c r="BX68">
        <f t="shared" si="72"/>
        <v>0</v>
      </c>
      <c r="BY68">
        <f t="shared" si="72"/>
        <v>0</v>
      </c>
      <c r="BZ68">
        <f t="shared" si="70"/>
        <v>0</v>
      </c>
      <c r="CA68">
        <f t="shared" si="70"/>
        <v>0</v>
      </c>
      <c r="CB68">
        <f t="shared" ref="CB68:CE68" si="73">SUM(CB30:CB64)</f>
        <v>0</v>
      </c>
      <c r="CC68">
        <f t="shared" si="73"/>
        <v>0</v>
      </c>
      <c r="CD68">
        <f t="shared" si="73"/>
        <v>0</v>
      </c>
      <c r="CE68">
        <f t="shared" si="73"/>
        <v>0</v>
      </c>
      <c r="CF68">
        <f t="shared" si="70"/>
        <v>0</v>
      </c>
      <c r="CG68">
        <f t="shared" ref="CG68:CK68" si="74">SUM(CG30:CG64)</f>
        <v>0</v>
      </c>
      <c r="CH68">
        <f t="shared" si="74"/>
        <v>0</v>
      </c>
      <c r="CI68">
        <f t="shared" si="74"/>
        <v>0</v>
      </c>
      <c r="CJ68">
        <f t="shared" si="74"/>
        <v>0</v>
      </c>
      <c r="CK68">
        <f t="shared" si="74"/>
        <v>0</v>
      </c>
      <c r="CL68">
        <f t="shared" ref="CL68:CM68" si="75">SUM(CL30:CL64)</f>
        <v>0</v>
      </c>
      <c r="CM68">
        <f t="shared" si="75"/>
        <v>0</v>
      </c>
      <c r="CN68">
        <f t="shared" si="70"/>
        <v>0</v>
      </c>
      <c r="CO68">
        <f t="shared" si="70"/>
        <v>0</v>
      </c>
      <c r="CP68">
        <f t="shared" ref="CP68:CS68" si="76">SUM(CP30:CP64)</f>
        <v>0</v>
      </c>
      <c r="CQ68">
        <f t="shared" si="76"/>
        <v>0</v>
      </c>
      <c r="CR68">
        <f t="shared" si="76"/>
        <v>0</v>
      </c>
      <c r="CS68">
        <f t="shared" si="76"/>
        <v>0</v>
      </c>
      <c r="CT68">
        <f t="shared" si="70"/>
        <v>0</v>
      </c>
      <c r="CU68">
        <f t="shared" ref="CU68:CY68" si="77">SUM(CU30:CU64)</f>
        <v>0</v>
      </c>
      <c r="CV68">
        <f t="shared" si="77"/>
        <v>0</v>
      </c>
      <c r="CW68">
        <f t="shared" si="77"/>
        <v>0</v>
      </c>
      <c r="CX68">
        <f t="shared" si="77"/>
        <v>0</v>
      </c>
      <c r="CY68">
        <f t="shared" si="77"/>
        <v>0</v>
      </c>
      <c r="CZ68">
        <f t="shared" ref="CZ68:DA68" si="78">SUM(CZ30:CZ64)</f>
        <v>0</v>
      </c>
      <c r="DA68">
        <f t="shared" si="78"/>
        <v>0</v>
      </c>
      <c r="DB68">
        <f t="shared" si="70"/>
        <v>0</v>
      </c>
      <c r="DC68">
        <f t="shared" si="70"/>
        <v>0</v>
      </c>
      <c r="DD68">
        <f t="shared" ref="DD68:DG68" si="79">SUM(DD30:DD64)</f>
        <v>0</v>
      </c>
      <c r="DE68">
        <f t="shared" si="79"/>
        <v>0</v>
      </c>
      <c r="DF68">
        <f t="shared" si="79"/>
        <v>0</v>
      </c>
      <c r="DG68">
        <f t="shared" si="79"/>
        <v>0</v>
      </c>
      <c r="DH68">
        <f t="shared" si="70"/>
        <v>0</v>
      </c>
      <c r="DI68">
        <f t="shared" ref="DI68:DM68" si="80">SUM(DI30:DI64)</f>
        <v>0</v>
      </c>
      <c r="DJ68">
        <f t="shared" si="80"/>
        <v>0</v>
      </c>
      <c r="DK68">
        <f t="shared" si="80"/>
        <v>0</v>
      </c>
      <c r="DL68">
        <f t="shared" si="80"/>
        <v>0</v>
      </c>
      <c r="DM68">
        <f t="shared" si="80"/>
        <v>0</v>
      </c>
      <c r="DN68">
        <f t="shared" ref="DN68:DO68" si="81">SUM(DN30:DN64)</f>
        <v>0</v>
      </c>
      <c r="DO68">
        <f t="shared" si="81"/>
        <v>0</v>
      </c>
      <c r="DP68">
        <f t="shared" si="70"/>
        <v>0</v>
      </c>
      <c r="DQ68">
        <f t="shared" si="70"/>
        <v>0</v>
      </c>
      <c r="DR68">
        <f t="shared" ref="DR68:DU68" si="82">SUM(DR30:DR64)</f>
        <v>0</v>
      </c>
      <c r="DS68">
        <f t="shared" si="82"/>
        <v>0</v>
      </c>
      <c r="DT68">
        <f t="shared" si="82"/>
        <v>0</v>
      </c>
      <c r="DU68">
        <f t="shared" si="82"/>
        <v>0</v>
      </c>
      <c r="DV68">
        <f t="shared" si="70"/>
        <v>0</v>
      </c>
      <c r="DW68">
        <f t="shared" ref="DW68:EA68" si="83">SUM(DW30:DW64)</f>
        <v>0</v>
      </c>
      <c r="DX68">
        <f t="shared" si="83"/>
        <v>0</v>
      </c>
      <c r="DY68">
        <f t="shared" si="83"/>
        <v>0</v>
      </c>
      <c r="DZ68">
        <f t="shared" si="83"/>
        <v>0</v>
      </c>
      <c r="EA68">
        <f t="shared" si="83"/>
        <v>0</v>
      </c>
      <c r="EB68">
        <f t="shared" ref="EB68:EC68" si="84">SUM(EB30:EB64)</f>
        <v>0</v>
      </c>
      <c r="EC68">
        <f t="shared" si="84"/>
        <v>0</v>
      </c>
      <c r="ED68">
        <f t="shared" si="70"/>
        <v>0</v>
      </c>
      <c r="EE68"/>
      <c r="EF68"/>
      <c r="EG68"/>
      <c r="EH68"/>
      <c r="EI68"/>
    </row>
    <row r="69" spans="2:139">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s="318">
        <f>DQ68-$BM71</f>
        <v>0</v>
      </c>
      <c r="CB69" s="318">
        <f>DR68-$BM71</f>
        <v>0</v>
      </c>
      <c r="CC69" s="318">
        <f>DS68-$BM71</f>
        <v>0</v>
      </c>
      <c r="CD69" s="318">
        <f>DT68-$BM71</f>
        <v>0</v>
      </c>
      <c r="CE69" s="318">
        <f>DU68-$BM71</f>
        <v>0</v>
      </c>
      <c r="CF69" s="318">
        <f t="shared" ref="CF69:CK69" si="85">DV68-$BR71</f>
        <v>0</v>
      </c>
      <c r="CG69" s="318">
        <f t="shared" si="85"/>
        <v>0</v>
      </c>
      <c r="CH69" s="318">
        <f t="shared" si="85"/>
        <v>0</v>
      </c>
      <c r="CI69" s="318">
        <f t="shared" si="85"/>
        <v>0</v>
      </c>
      <c r="CJ69" s="318">
        <f t="shared" si="85"/>
        <v>0</v>
      </c>
      <c r="CK69" s="318">
        <f t="shared" si="85"/>
        <v>0</v>
      </c>
      <c r="CL69" s="318">
        <f t="shared" ref="CL69:CM69" si="86">EB68-$BR71</f>
        <v>0</v>
      </c>
      <c r="CM69" s="318">
        <f t="shared" si="86"/>
        <v>0</v>
      </c>
      <c r="CN69" s="318">
        <f>ED68-$BZ71</f>
        <v>0</v>
      </c>
      <c r="CO69"/>
      <c r="CP69"/>
      <c r="CQ69"/>
      <c r="CR69"/>
      <c r="CS69"/>
    </row>
    <row r="70" spans="2:139" ht="16"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9" ht="21" thickBot="1">
      <c r="C71" s="16" t="s">
        <v>241</v>
      </c>
      <c r="D71" s="17"/>
      <c r="E71" s="17"/>
      <c r="F71" s="17"/>
      <c r="G71" s="17"/>
      <c r="H71" s="17"/>
      <c r="I71" s="17"/>
      <c r="J71" s="18"/>
      <c r="K71" s="18"/>
      <c r="L71" s="18"/>
      <c r="AN71" s="1"/>
      <c r="AO71" s="1"/>
      <c r="AP71" s="1"/>
      <c r="BL71" s="143" t="s">
        <v>726</v>
      </c>
      <c r="BM71" s="144">
        <f t="shared" ref="BM71:BW71" si="87">BM$68+CA$68+CO$68+DC$68</f>
        <v>0</v>
      </c>
      <c r="BN71" s="144">
        <f t="shared" si="87"/>
        <v>0</v>
      </c>
      <c r="BO71" s="144">
        <f t="shared" si="87"/>
        <v>0</v>
      </c>
      <c r="BP71" s="144">
        <f t="shared" si="87"/>
        <v>0</v>
      </c>
      <c r="BQ71" s="144">
        <f t="shared" si="87"/>
        <v>0</v>
      </c>
      <c r="BR71" s="144">
        <f t="shared" si="87"/>
        <v>0</v>
      </c>
      <c r="BS71" s="144">
        <f t="shared" si="87"/>
        <v>0</v>
      </c>
      <c r="BT71" s="144">
        <f t="shared" si="87"/>
        <v>0</v>
      </c>
      <c r="BU71" s="144">
        <f t="shared" si="87"/>
        <v>0</v>
      </c>
      <c r="BV71" s="144">
        <f t="shared" si="87"/>
        <v>0</v>
      </c>
      <c r="BW71" s="144">
        <f t="shared" si="87"/>
        <v>0</v>
      </c>
      <c r="BX71" s="144">
        <f t="shared" ref="BX71:BY71" si="88">BX$68+CL$68+CZ$68+DN$68</f>
        <v>0</v>
      </c>
      <c r="BY71" s="144">
        <f t="shared" si="88"/>
        <v>0</v>
      </c>
      <c r="BZ71" s="144">
        <f>BZ$68+CN$68+DB$68+DP$68</f>
        <v>0</v>
      </c>
      <c r="CA71"/>
      <c r="CB71"/>
      <c r="CC71"/>
      <c r="CD71"/>
      <c r="CE71"/>
      <c r="CF71"/>
      <c r="CG71"/>
      <c r="CH71"/>
    </row>
    <row r="72" spans="2:139" ht="16" thickBot="1">
      <c r="C72" s="73" t="s">
        <v>242</v>
      </c>
      <c r="D72" s="74"/>
      <c r="E72" s="74"/>
      <c r="F72" s="74"/>
      <c r="G72" s="74"/>
      <c r="H72" s="74"/>
      <c r="I72" s="131"/>
      <c r="J72" s="131"/>
      <c r="K72" s="77"/>
      <c r="L72" s="78"/>
      <c r="AN72" s="1"/>
      <c r="AO72" s="1"/>
      <c r="AP72" s="1"/>
    </row>
    <row r="73" spans="2:139" ht="21" customHeight="1">
      <c r="C73" s="31"/>
      <c r="I73" s="663" t="s">
        <v>208</v>
      </c>
      <c r="J73" s="663" t="s">
        <v>262</v>
      </c>
      <c r="K73" s="665" t="str">
        <f>"Per "&amp;PROPER(MassDisplayUnit)
&amp;" of Precast"</f>
        <v>Per Short Ton of Precast</v>
      </c>
      <c r="L73" s="666"/>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9" ht="41.25" customHeight="1">
      <c r="C74" s="21" t="s">
        <v>258</v>
      </c>
      <c r="D74" s="30"/>
      <c r="E74" s="30"/>
      <c r="F74" s="30"/>
      <c r="G74" s="30"/>
      <c r="H74" s="30"/>
      <c r="I74" s="664"/>
      <c r="J74" s="664"/>
      <c r="K74" s="667" t="str">
        <f>"Per "&amp;PROPER(MassDisplayUnit)
&amp;" of Precast"</f>
        <v>Per Short Ton of Precast</v>
      </c>
      <c r="L74" s="668"/>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9" ht="27" customHeight="1">
      <c r="C75" s="355" t="s">
        <v>2</v>
      </c>
      <c r="D75" s="356" t="s">
        <v>10</v>
      </c>
      <c r="E75" s="167" t="s">
        <v>12</v>
      </c>
      <c r="F75" s="167" t="s">
        <v>6</v>
      </c>
      <c r="G75" s="661" t="str">
        <f>"Per "&amp;PROPER(MassDisplayUnit)
&amp;" of Precast"</f>
        <v>Per Short Ton of Precast</v>
      </c>
      <c r="H75" s="662"/>
      <c r="I75" s="135" t="str">
        <f>TRACITotalDisplayUnit</f>
        <v>short ton</v>
      </c>
      <c r="J75" s="135" t="str">
        <f>EnergyTotalDisplayUnit</f>
        <v>MMBtu</v>
      </c>
      <c r="K75" s="132" t="str">
        <f>TRACIPerTonneDisplayUnit&amp;"/"&amp;MassDisplayUnit</f>
        <v>lbs/short ton</v>
      </c>
      <c r="L75" s="136" t="str">
        <f>EnergyPerTonneDisplayUnit&amp;"/"&amp;MassDisplayUnit</f>
        <v>MBtu/short ton</v>
      </c>
      <c r="Y75"/>
      <c r="Z75" s="13" t="s">
        <v>675</v>
      </c>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9">
      <c r="B76" s="53">
        <f t="shared" ref="B76:B86" si="89">X76</f>
        <v>0</v>
      </c>
      <c r="C76" s="26">
        <f>ROW($C76)-ROW($C$76)+1</f>
        <v>1</v>
      </c>
      <c r="D76" s="46" t="s">
        <v>78</v>
      </c>
      <c r="E76" s="161"/>
      <c r="F76" s="183" t="s">
        <v>37</v>
      </c>
      <c r="G76" s="414">
        <f>IF($E$22=0,0,$E76/$E$22)</f>
        <v>0</v>
      </c>
      <c r="H76" s="204" t="str">
        <f t="shared" ref="H76:H86" si="90">$F76&amp;"/"&amp;MassDisplayUnit</f>
        <v>kWh/short ton</v>
      </c>
      <c r="I76" s="414">
        <f t="shared" ref="I76:I87" si="91">$BI76</f>
        <v>0</v>
      </c>
      <c r="J76" s="414">
        <f t="shared" ref="J76:J87" si="92">$BN76</f>
        <v>0</v>
      </c>
      <c r="K76" s="414">
        <f t="shared" ref="K76:K87" si="93">$BW76</f>
        <v>0</v>
      </c>
      <c r="L76" s="415">
        <f t="shared" ref="L76:L87" si="94">$CB76</f>
        <v>0</v>
      </c>
      <c r="X76" s="65">
        <f>IF(ISBLANK(E76),0,IF(AND($E$76=0,$E$82=0),0,1))</f>
        <v>0</v>
      </c>
      <c r="Y76" s="216">
        <f>IF($X76=1,1,0)</f>
        <v>0</v>
      </c>
      <c r="Z76" s="216">
        <v>1</v>
      </c>
      <c r="AA76" s="216"/>
      <c r="AB76" s="216"/>
      <c r="AC76" s="216"/>
      <c r="AD76" s="216"/>
      <c r="AE76" s="216"/>
      <c r="AF76" s="216"/>
      <c r="AG76" s="216"/>
      <c r="AH76" s="216"/>
      <c r="AI76" s="216"/>
      <c r="AJ76" s="216"/>
      <c r="AK76" s="216"/>
      <c r="AL76" s="216"/>
      <c r="AM76" s="1" t="str">
        <f t="shared" ref="AM76:AM86" si="95">D76</f>
        <v>Purchased Electricity (from Regional Electricity Grid)</v>
      </c>
      <c r="AN76" s="1">
        <f t="shared" ref="AN76:AN86" si="96">E76</f>
        <v>0</v>
      </c>
      <c r="AO76" s="1" t="str">
        <f t="shared" ref="AO76:AO86" si="97">F76</f>
        <v>kWh</v>
      </c>
      <c r="AP76" s="1">
        <f t="shared" ref="AP76:AP86" si="98">INDEX(Conversion_Table,MATCH($AS76,Conversion_Rows,0),MATCH($AO76,Conversion_Columns,0))</f>
        <v>1</v>
      </c>
      <c r="AQ76" s="87" t="str">
        <f t="shared" ref="AQ76:AQ86" si="99">AO76&amp;"/"&amp;$AS76</f>
        <v>kWh/kWh</v>
      </c>
      <c r="AR76">
        <f t="shared" ref="AR76:AR86" si="100">AN76/AP76</f>
        <v>0</v>
      </c>
      <c r="AS76" s="87" t="str">
        <f>'CPCI Data'!$W$12</f>
        <v>kWh</v>
      </c>
      <c r="AT76">
        <f t="shared" ref="AT76:AT86" si="101">Material_Energy_Grid</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I87" si="102">IF($AR$22=0,0,AU76*INDEX(Conversion_Table,MATCH(AU$75,Conversion_Rows,0),MATCH(BI$75,Conversion_Columns,0)))</f>
        <v>0</v>
      </c>
      <c r="BJ76" s="360">
        <f t="shared" ref="BJ76:BJ87" si="103">IF($AR$22=0,0,AV76*INDEX(Conversion_Table,MATCH(AV$75,Conversion_Rows,0),MATCH(BJ$75,Conversion_Columns,0)))</f>
        <v>0</v>
      </c>
      <c r="BK76" s="360">
        <f t="shared" ref="BK76:BK87" si="104">IF($AR$22=0,0,AW76*INDEX(Conversion_Table,MATCH(AW$75,Conversion_Rows,0),MATCH(BK$75,Conversion_Columns,0)))</f>
        <v>0</v>
      </c>
      <c r="BL76" s="360">
        <f t="shared" ref="BL76:BL87" si="105">IF($AR$22=0,0,AX76*INDEX(Conversion_Table,MATCH(AX$75,Conversion_Rows,0),MATCH(BL$75,Conversion_Columns,0)))</f>
        <v>0</v>
      </c>
      <c r="BM76" s="360">
        <f t="shared" ref="BM76:BM87" si="106">IF($AR$22=0,0,AY76*INDEX(Conversion_Table,MATCH(AY$75,Conversion_Rows,0),MATCH(BM$75,Conversion_Columns,0)))</f>
        <v>0</v>
      </c>
      <c r="BN76" s="360">
        <f t="shared" ref="BN76:BN87" si="107">IF($AR$22=0,0,AZ76*INDEX(Conversion_Table,MATCH(AZ$75,Conversion_Rows,0),MATCH(BN$75,Conversion_Columns,0)))</f>
        <v>0</v>
      </c>
      <c r="BO76" s="360">
        <f t="shared" ref="BO76:BO87" si="108">IF($AR$22=0,0,BA76*INDEX(Conversion_Table,MATCH(BA$75,Conversion_Rows,0),MATCH(BO$75,Conversion_Columns,0)))</f>
        <v>0</v>
      </c>
      <c r="BP76" s="360">
        <f t="shared" ref="BP76:BP87" si="109">IF($AR$22=0,0,BB76*INDEX(Conversion_Table,MATCH(BB$75,Conversion_Rows,0),MATCH(BP$75,Conversion_Columns,0)))</f>
        <v>0</v>
      </c>
      <c r="BQ76" s="360">
        <f t="shared" ref="BQ76:BQ87" si="110">IF($AR$22=0,0,BC76*INDEX(Conversion_Table,MATCH(BC$75,Conversion_Rows,0),MATCH(BQ$75,Conversion_Columns,0)))</f>
        <v>0</v>
      </c>
      <c r="BR76" s="360">
        <f t="shared" ref="BR76:BR87" si="111">IF($AR$22=0,0,BD76*INDEX(Conversion_Table,MATCH(BD$75,Conversion_Rows,0),MATCH(BR$75,Conversion_Columns,0)))</f>
        <v>0</v>
      </c>
      <c r="BS76" s="360">
        <f t="shared" ref="BS76:BS87" si="112">IF($AR$22=0,0,BE76*INDEX(Conversion_Table,MATCH(BE$75,Conversion_Rows,0),MATCH(BS$75,Conversion_Columns,0)))</f>
        <v>0</v>
      </c>
      <c r="BT76" s="360">
        <f t="shared" ref="BT76:BT87" si="113">IF($AR$22=0,0,BF76*INDEX(Conversion_Table,MATCH(BF$75,Conversion_Rows,0),MATCH(BT$75,Conversion_Columns,0)))</f>
        <v>0</v>
      </c>
      <c r="BU76" s="360">
        <f t="shared" ref="BU76:BU87" si="114">IF($AR$22=0,0,BG76*INDEX(Conversion_Table,MATCH(BG$75,Conversion_Rows,0),MATCH(BU$75,Conversion_Columns,0)))</f>
        <v>0</v>
      </c>
      <c r="BV76" s="360">
        <f t="shared" ref="BV76:BV87" si="115">IF($AR$22=0,0,BH76*INDEX(Conversion_Table,MATCH(BH$75,Conversion_Rows,0),MATCH(BV$75,Conversion_Columns,0)))</f>
        <v>0</v>
      </c>
      <c r="BW76" s="362">
        <f t="shared" ref="BW76:BW87" si="116">IF($AT$22=0,0,AU76*INDEX(Conversion_Table,MATCH(AU$75,Conversion_Rows,0),MATCH(BW$75,Conversion_Columns,0))/$AT$22)</f>
        <v>0</v>
      </c>
      <c r="BX76" s="362">
        <f t="shared" ref="BX76:BX87" si="117">IF($AT$22=0,0,AV76*INDEX(Conversion_Table,MATCH(AV$75,Conversion_Rows,0),MATCH(BX$75,Conversion_Columns,0))/$AT$22)</f>
        <v>0</v>
      </c>
      <c r="BY76" s="362">
        <f t="shared" ref="BY76:BY87" si="118">IF($AT$22=0,0,AW76*INDEX(Conversion_Table,MATCH(AW$75,Conversion_Rows,0),MATCH(BY$75,Conversion_Columns,0))/$AT$22)</f>
        <v>0</v>
      </c>
      <c r="BZ76" s="362">
        <f t="shared" ref="BZ76:BZ87" si="119">IF($AT$22=0,0,AX76*INDEX(Conversion_Table,MATCH(AX$75,Conversion_Rows,0),MATCH(BZ$75,Conversion_Columns,0))/$AT$22)</f>
        <v>0</v>
      </c>
      <c r="CA76" s="362">
        <f t="shared" ref="CA76:CA87" si="120">IF($AT$22=0,0,AY76*INDEX(Conversion_Table,MATCH(AY$75,Conversion_Rows,0),MATCH(CA$75,Conversion_Columns,0))/$AT$22)</f>
        <v>0</v>
      </c>
      <c r="CB76" s="362">
        <f t="shared" ref="CB76:CB87" si="121">IF($AT$22=0,0,AZ76*INDEX(Conversion_Table,MATCH(AZ$75,Conversion_Rows,0),MATCH(CB$75,Conversion_Columns,0))/$AT$22)</f>
        <v>0</v>
      </c>
      <c r="CC76" s="362">
        <f t="shared" ref="CC76:CC87" si="122">IF($AT$22=0,0,BA76*INDEX(Conversion_Table,MATCH(BA$75,Conversion_Rows,0),MATCH(CC$75,Conversion_Columns,0))/$AT$22)</f>
        <v>0</v>
      </c>
      <c r="CD76" s="362">
        <f t="shared" ref="CD76:CD87" si="123">IF($AT$22=0,0,BB76*INDEX(Conversion_Table,MATCH(BB$75,Conversion_Rows,0),MATCH(CD$75,Conversion_Columns,0))/$AT$22)</f>
        <v>0</v>
      </c>
      <c r="CE76" s="362">
        <f t="shared" ref="CE76:CE87" si="124">IF($AT$22=0,0,BC76*INDEX(Conversion_Table,MATCH(BC$75,Conversion_Rows,0),MATCH(CE$75,Conversion_Columns,0))/$AT$22)</f>
        <v>0</v>
      </c>
      <c r="CF76" s="362">
        <f t="shared" ref="CF76:CF87" si="125">IF($AT$22=0,0,BD76*INDEX(Conversion_Table,MATCH(BD$75,Conversion_Rows,0),MATCH(CF$75,Conversion_Columns,0))/$AT$22)</f>
        <v>0</v>
      </c>
      <c r="CG76" s="362">
        <f t="shared" ref="CG76:CG87" si="126">IF($AT$22=0,0,BE76*INDEX(Conversion_Table,MATCH(BE$75,Conversion_Rows,0),MATCH(CG$75,Conversion_Columns,0))/$AT$22)</f>
        <v>0</v>
      </c>
      <c r="CH76" s="362">
        <f t="shared" ref="CH76:CH87" si="127">IF($AT$22=0,0,BF76*INDEX(Conversion_Table,MATCH(BF$75,Conversion_Rows,0),MATCH(CH$75,Conversion_Columns,0))/$AT$22)</f>
        <v>0</v>
      </c>
      <c r="CI76" s="362">
        <f t="shared" ref="CI76:CI87" si="128">IF($AT$22=0,0,BG76*INDEX(Conversion_Table,MATCH(BG$75,Conversion_Rows,0),MATCH(CI$75,Conversion_Columns,0))/$AT$22)</f>
        <v>0</v>
      </c>
      <c r="CJ76" s="362">
        <f t="shared" ref="CJ76:CJ87" si="129">IF($AT$22=0,0,BH76*INDEX(Conversion_Table,MATCH(BH$75,Conversion_Rows,0),MATCH(CJ$75,Conversion_Columns,0))/$AT$22)</f>
        <v>0</v>
      </c>
      <c r="CK76"/>
      <c r="CL76"/>
      <c r="CM76"/>
      <c r="CN76"/>
      <c r="CO76"/>
      <c r="CP76"/>
      <c r="CQ76"/>
      <c r="CR76"/>
      <c r="CS76"/>
      <c r="CT76"/>
      <c r="CU76"/>
      <c r="CV76"/>
      <c r="CW76"/>
      <c r="CX76"/>
      <c r="CY76"/>
      <c r="CZ76"/>
      <c r="DA76"/>
      <c r="DB76"/>
    </row>
    <row r="77" spans="2:139">
      <c r="B77" s="53">
        <f t="shared" si="89"/>
        <v>0</v>
      </c>
      <c r="C77" s="26">
        <f t="shared" ref="C77:C86" si="130">ROW($C77)-ROW($C$76)+1</f>
        <v>2</v>
      </c>
      <c r="D77" s="46" t="s">
        <v>470</v>
      </c>
      <c r="E77" s="161"/>
      <c r="F77" s="183" t="s">
        <v>37</v>
      </c>
      <c r="G77" s="414">
        <f t="shared" ref="G77:G86" si="131">IF($E$22=0,0,$E77/$E$22)</f>
        <v>0</v>
      </c>
      <c r="H77" s="204" t="str">
        <f t="shared" si="90"/>
        <v>kWh/short ton</v>
      </c>
      <c r="I77" s="414">
        <f t="shared" si="91"/>
        <v>0</v>
      </c>
      <c r="J77" s="414">
        <f t="shared" si="92"/>
        <v>0</v>
      </c>
      <c r="K77" s="414">
        <f t="shared" si="93"/>
        <v>0</v>
      </c>
      <c r="L77" s="415">
        <f t="shared" si="94"/>
        <v>0</v>
      </c>
      <c r="X77" s="65">
        <f>IF(ISBLANK(E77),0,IF(AND($E$76=0,$E$82=0),0,1))</f>
        <v>0</v>
      </c>
      <c r="Y77" s="216">
        <f>IF($X77=1,1,0)</f>
        <v>0</v>
      </c>
      <c r="Z77" s="216">
        <v>2</v>
      </c>
      <c r="AA77" s="216"/>
      <c r="AB77" s="216"/>
      <c r="AC77" s="216"/>
      <c r="AD77" s="216"/>
      <c r="AE77" s="216"/>
      <c r="AF77" s="216"/>
      <c r="AG77" s="216"/>
      <c r="AH77" s="216"/>
      <c r="AI77" s="216"/>
      <c r="AJ77" s="216"/>
      <c r="AK77" s="216"/>
      <c r="AL77" s="216"/>
      <c r="AM77" s="1" t="str">
        <f t="shared" si="95"/>
        <v>On-Site Generated Electricity - Solar</v>
      </c>
      <c r="AN77" s="1">
        <f t="shared" si="96"/>
        <v>0</v>
      </c>
      <c r="AO77" s="1" t="str">
        <f t="shared" si="97"/>
        <v>kWh</v>
      </c>
      <c r="AP77" s="1">
        <f t="shared" si="98"/>
        <v>1</v>
      </c>
      <c r="AQ77" s="87" t="str">
        <f t="shared" si="99"/>
        <v>kWh/kWh</v>
      </c>
      <c r="AR77">
        <f t="shared" si="100"/>
        <v>0</v>
      </c>
      <c r="AS77" s="87" t="str">
        <f>'CPCI Data'!$W$12</f>
        <v>kWh</v>
      </c>
      <c r="AT77">
        <f t="shared" si="101"/>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102"/>
        <v>0</v>
      </c>
      <c r="BJ77" s="360">
        <f t="shared" si="103"/>
        <v>0</v>
      </c>
      <c r="BK77" s="360">
        <f t="shared" si="104"/>
        <v>0</v>
      </c>
      <c r="BL77" s="360">
        <f t="shared" si="105"/>
        <v>0</v>
      </c>
      <c r="BM77" s="360">
        <f t="shared" si="106"/>
        <v>0</v>
      </c>
      <c r="BN77" s="360">
        <f t="shared" si="107"/>
        <v>0</v>
      </c>
      <c r="BO77" s="360">
        <f t="shared" si="108"/>
        <v>0</v>
      </c>
      <c r="BP77" s="360">
        <f t="shared" si="109"/>
        <v>0</v>
      </c>
      <c r="BQ77" s="360">
        <f t="shared" si="110"/>
        <v>0</v>
      </c>
      <c r="BR77" s="360">
        <f t="shared" si="111"/>
        <v>0</v>
      </c>
      <c r="BS77" s="360">
        <f t="shared" si="112"/>
        <v>0</v>
      </c>
      <c r="BT77" s="360">
        <f t="shared" si="113"/>
        <v>0</v>
      </c>
      <c r="BU77" s="360">
        <f t="shared" si="114"/>
        <v>0</v>
      </c>
      <c r="BV77" s="360">
        <f t="shared" si="115"/>
        <v>0</v>
      </c>
      <c r="BW77" s="362">
        <f t="shared" si="116"/>
        <v>0</v>
      </c>
      <c r="BX77" s="362">
        <f t="shared" si="117"/>
        <v>0</v>
      </c>
      <c r="BY77" s="362">
        <f t="shared" si="118"/>
        <v>0</v>
      </c>
      <c r="BZ77" s="362">
        <f t="shared" si="119"/>
        <v>0</v>
      </c>
      <c r="CA77" s="362">
        <f t="shared" si="120"/>
        <v>0</v>
      </c>
      <c r="CB77" s="362">
        <f t="shared" si="121"/>
        <v>0</v>
      </c>
      <c r="CC77" s="362">
        <f t="shared" si="122"/>
        <v>0</v>
      </c>
      <c r="CD77" s="362">
        <f t="shared" si="123"/>
        <v>0</v>
      </c>
      <c r="CE77" s="362">
        <f t="shared" si="124"/>
        <v>0</v>
      </c>
      <c r="CF77" s="362">
        <f t="shared" si="125"/>
        <v>0</v>
      </c>
      <c r="CG77" s="362">
        <f t="shared" si="126"/>
        <v>0</v>
      </c>
      <c r="CH77" s="362">
        <f t="shared" si="127"/>
        <v>0</v>
      </c>
      <c r="CI77" s="362">
        <f t="shared" si="128"/>
        <v>0</v>
      </c>
      <c r="CJ77" s="362">
        <f t="shared" si="129"/>
        <v>0</v>
      </c>
      <c r="CK77"/>
      <c r="CO77"/>
      <c r="CP77"/>
      <c r="CQ77"/>
      <c r="CR77"/>
      <c r="CS77"/>
      <c r="CT77"/>
      <c r="CU77"/>
      <c r="CV77"/>
      <c r="CW77"/>
      <c r="CX77"/>
      <c r="CY77"/>
      <c r="CZ77"/>
      <c r="DA77"/>
      <c r="DB77"/>
    </row>
    <row r="78" spans="2:139">
      <c r="B78" s="53">
        <f>X78</f>
        <v>0</v>
      </c>
      <c r="C78" s="26">
        <f t="shared" si="130"/>
        <v>3</v>
      </c>
      <c r="D78" s="46" t="s">
        <v>471</v>
      </c>
      <c r="E78" s="161"/>
      <c r="F78" s="183" t="s">
        <v>37</v>
      </c>
      <c r="G78" s="414">
        <f t="shared" si="131"/>
        <v>0</v>
      </c>
      <c r="H78" s="204" t="str">
        <f t="shared" si="90"/>
        <v>kWh/short ton</v>
      </c>
      <c r="I78" s="414">
        <f t="shared" si="91"/>
        <v>0</v>
      </c>
      <c r="J78" s="414">
        <f t="shared" si="92"/>
        <v>0</v>
      </c>
      <c r="K78" s="414">
        <f t="shared" si="93"/>
        <v>0</v>
      </c>
      <c r="L78" s="415">
        <f t="shared" si="94"/>
        <v>0</v>
      </c>
      <c r="X78" s="65">
        <f>IF(ISBLANK(E78),0,IF(AND($E$76=0,$E$82=0),0,1))</f>
        <v>0</v>
      </c>
      <c r="Y78" s="216">
        <f>IF($X78=1,1,0)</f>
        <v>0</v>
      </c>
      <c r="Z78" s="216">
        <v>2</v>
      </c>
      <c r="AA78" s="216"/>
      <c r="AB78" s="216"/>
      <c r="AC78" s="216"/>
      <c r="AD78" s="216"/>
      <c r="AE78" s="216"/>
      <c r="AF78" s="216"/>
      <c r="AG78" s="216"/>
      <c r="AH78" s="216"/>
      <c r="AI78" s="216"/>
      <c r="AJ78" s="216"/>
      <c r="AK78" s="216"/>
      <c r="AL78" s="216"/>
      <c r="AM78" s="1" t="str">
        <f t="shared" si="95"/>
        <v>On-Site Generated Electricity - Wind</v>
      </c>
      <c r="AN78" s="1">
        <f t="shared" si="96"/>
        <v>0</v>
      </c>
      <c r="AO78" s="1" t="str">
        <f t="shared" si="97"/>
        <v>kWh</v>
      </c>
      <c r="AP78" s="1">
        <f t="shared" si="98"/>
        <v>1</v>
      </c>
      <c r="AQ78" s="87" t="str">
        <f>AO78&amp;"/"&amp;$AS78</f>
        <v>kWh/kWh</v>
      </c>
      <c r="AR78">
        <f>AN78/AP78</f>
        <v>0</v>
      </c>
      <c r="AS78" s="87" t="str">
        <f>'CPCI Data'!$W$12</f>
        <v>kWh</v>
      </c>
      <c r="AT78">
        <f t="shared" si="101"/>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102"/>
        <v>0</v>
      </c>
      <c r="BJ78" s="360">
        <f t="shared" si="103"/>
        <v>0</v>
      </c>
      <c r="BK78" s="360">
        <f t="shared" si="104"/>
        <v>0</v>
      </c>
      <c r="BL78" s="360">
        <f t="shared" si="105"/>
        <v>0</v>
      </c>
      <c r="BM78" s="360">
        <f t="shared" si="106"/>
        <v>0</v>
      </c>
      <c r="BN78" s="360">
        <f t="shared" si="107"/>
        <v>0</v>
      </c>
      <c r="BO78" s="360">
        <f t="shared" si="108"/>
        <v>0</v>
      </c>
      <c r="BP78" s="360">
        <f t="shared" si="109"/>
        <v>0</v>
      </c>
      <c r="BQ78" s="360">
        <f t="shared" si="110"/>
        <v>0</v>
      </c>
      <c r="BR78" s="360">
        <f t="shared" si="111"/>
        <v>0</v>
      </c>
      <c r="BS78" s="360">
        <f t="shared" si="112"/>
        <v>0</v>
      </c>
      <c r="BT78" s="360">
        <f t="shared" si="113"/>
        <v>0</v>
      </c>
      <c r="BU78" s="360">
        <f t="shared" si="114"/>
        <v>0</v>
      </c>
      <c r="BV78" s="360">
        <f t="shared" si="115"/>
        <v>0</v>
      </c>
      <c r="BW78" s="362">
        <f t="shared" si="116"/>
        <v>0</v>
      </c>
      <c r="BX78" s="362">
        <f t="shared" si="117"/>
        <v>0</v>
      </c>
      <c r="BY78" s="362">
        <f t="shared" si="118"/>
        <v>0</v>
      </c>
      <c r="BZ78" s="362">
        <f t="shared" si="119"/>
        <v>0</v>
      </c>
      <c r="CA78" s="362">
        <f t="shared" si="120"/>
        <v>0</v>
      </c>
      <c r="CB78" s="362">
        <f t="shared" si="121"/>
        <v>0</v>
      </c>
      <c r="CC78" s="362">
        <f t="shared" si="122"/>
        <v>0</v>
      </c>
      <c r="CD78" s="362">
        <f t="shared" si="123"/>
        <v>0</v>
      </c>
      <c r="CE78" s="362">
        <f t="shared" si="124"/>
        <v>0</v>
      </c>
      <c r="CF78" s="362">
        <f t="shared" si="125"/>
        <v>0</v>
      </c>
      <c r="CG78" s="362">
        <f t="shared" si="126"/>
        <v>0</v>
      </c>
      <c r="CH78" s="362">
        <f t="shared" si="127"/>
        <v>0</v>
      </c>
      <c r="CI78" s="362">
        <f t="shared" si="128"/>
        <v>0</v>
      </c>
      <c r="CJ78" s="362">
        <f t="shared" si="129"/>
        <v>0</v>
      </c>
      <c r="CK78"/>
      <c r="CO78"/>
      <c r="CP78"/>
      <c r="CQ78"/>
      <c r="CR78"/>
      <c r="CS78"/>
      <c r="CT78"/>
      <c r="CU78"/>
      <c r="CV78"/>
      <c r="CW78"/>
      <c r="CX78"/>
      <c r="CY78"/>
      <c r="CZ78"/>
      <c r="DA78"/>
      <c r="DB78"/>
    </row>
    <row r="79" spans="2:139">
      <c r="B79" s="53">
        <f>X79</f>
        <v>0</v>
      </c>
      <c r="C79" s="26">
        <f t="shared" si="130"/>
        <v>4</v>
      </c>
      <c r="D79" s="46" t="s">
        <v>472</v>
      </c>
      <c r="E79" s="161"/>
      <c r="F79" s="183" t="s">
        <v>37</v>
      </c>
      <c r="G79" s="414">
        <f t="shared" si="131"/>
        <v>0</v>
      </c>
      <c r="H79" s="204" t="str">
        <f t="shared" si="90"/>
        <v>kWh/short ton</v>
      </c>
      <c r="I79" s="414">
        <f t="shared" si="91"/>
        <v>0</v>
      </c>
      <c r="J79" s="414">
        <f t="shared" si="92"/>
        <v>0</v>
      </c>
      <c r="K79" s="414">
        <f t="shared" si="93"/>
        <v>0</v>
      </c>
      <c r="L79" s="415">
        <f t="shared" si="94"/>
        <v>0</v>
      </c>
      <c r="X79" s="65">
        <f>IF(ISBLANK(E79),0,1)</f>
        <v>0</v>
      </c>
      <c r="Y79" s="216">
        <f>IF($X79=1,1,0)</f>
        <v>0</v>
      </c>
      <c r="Z79" s="216">
        <v>2</v>
      </c>
      <c r="AA79" s="216"/>
      <c r="AB79" s="216"/>
      <c r="AC79" s="216"/>
      <c r="AD79" s="216"/>
      <c r="AE79" s="216"/>
      <c r="AF79" s="216"/>
      <c r="AG79" s="216"/>
      <c r="AH79" s="216"/>
      <c r="AI79" s="216"/>
      <c r="AJ79" s="216"/>
      <c r="AK79" s="216"/>
      <c r="AL79" s="216"/>
      <c r="AM79" s="1" t="str">
        <f t="shared" si="95"/>
        <v>On-Site Generated Electricity - Hydroelectric</v>
      </c>
      <c r="AN79" s="1">
        <f t="shared" si="96"/>
        <v>0</v>
      </c>
      <c r="AO79" s="1" t="str">
        <f t="shared" si="97"/>
        <v>kWh</v>
      </c>
      <c r="AP79" s="1">
        <f t="shared" si="98"/>
        <v>1</v>
      </c>
      <c r="AQ79" s="87" t="str">
        <f>AO79&amp;"/"&amp;$AS79</f>
        <v>kWh/kWh</v>
      </c>
      <c r="AR79">
        <f>AN79/AP79</f>
        <v>0</v>
      </c>
      <c r="AS79" s="87" t="str">
        <f>'CPCI Data'!$W$12</f>
        <v>kWh</v>
      </c>
      <c r="AT79">
        <f t="shared" si="101"/>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102"/>
        <v>0</v>
      </c>
      <c r="BJ79" s="360">
        <f t="shared" si="103"/>
        <v>0</v>
      </c>
      <c r="BK79" s="360">
        <f t="shared" si="104"/>
        <v>0</v>
      </c>
      <c r="BL79" s="360">
        <f t="shared" si="105"/>
        <v>0</v>
      </c>
      <c r="BM79" s="360">
        <f t="shared" si="106"/>
        <v>0</v>
      </c>
      <c r="BN79" s="360">
        <f t="shared" si="107"/>
        <v>0</v>
      </c>
      <c r="BO79" s="360">
        <f t="shared" si="108"/>
        <v>0</v>
      </c>
      <c r="BP79" s="360">
        <f t="shared" si="109"/>
        <v>0</v>
      </c>
      <c r="BQ79" s="360">
        <f t="shared" si="110"/>
        <v>0</v>
      </c>
      <c r="BR79" s="360">
        <f t="shared" si="111"/>
        <v>0</v>
      </c>
      <c r="BS79" s="360">
        <f t="shared" si="112"/>
        <v>0</v>
      </c>
      <c r="BT79" s="360">
        <f t="shared" si="113"/>
        <v>0</v>
      </c>
      <c r="BU79" s="360">
        <f t="shared" si="114"/>
        <v>0</v>
      </c>
      <c r="BV79" s="360">
        <f t="shared" si="115"/>
        <v>0</v>
      </c>
      <c r="BW79" s="362">
        <f t="shared" si="116"/>
        <v>0</v>
      </c>
      <c r="BX79" s="362">
        <f t="shared" si="117"/>
        <v>0</v>
      </c>
      <c r="BY79" s="362">
        <f t="shared" si="118"/>
        <v>0</v>
      </c>
      <c r="BZ79" s="362">
        <f t="shared" si="119"/>
        <v>0</v>
      </c>
      <c r="CA79" s="362">
        <f t="shared" si="120"/>
        <v>0</v>
      </c>
      <c r="CB79" s="362">
        <f t="shared" si="121"/>
        <v>0</v>
      </c>
      <c r="CC79" s="362">
        <f t="shared" si="122"/>
        <v>0</v>
      </c>
      <c r="CD79" s="362">
        <f t="shared" si="123"/>
        <v>0</v>
      </c>
      <c r="CE79" s="362">
        <f t="shared" si="124"/>
        <v>0</v>
      </c>
      <c r="CF79" s="362">
        <f t="shared" si="125"/>
        <v>0</v>
      </c>
      <c r="CG79" s="362">
        <f t="shared" si="126"/>
        <v>0</v>
      </c>
      <c r="CH79" s="362">
        <f t="shared" si="127"/>
        <v>0</v>
      </c>
      <c r="CI79" s="362">
        <f t="shared" si="128"/>
        <v>0</v>
      </c>
      <c r="CJ79" s="362">
        <f t="shared" si="129"/>
        <v>0</v>
      </c>
      <c r="CK79"/>
      <c r="CO79"/>
      <c r="CP79"/>
      <c r="CQ79"/>
      <c r="CR79"/>
      <c r="CS79"/>
      <c r="CT79"/>
      <c r="CU79"/>
      <c r="CV79"/>
      <c r="CW79"/>
      <c r="CX79"/>
      <c r="CY79"/>
      <c r="CZ79"/>
      <c r="DA79"/>
      <c r="DB79"/>
    </row>
    <row r="80" spans="2:139">
      <c r="B80" s="53">
        <f>X80</f>
        <v>0</v>
      </c>
      <c r="C80" s="26">
        <f t="shared" si="130"/>
        <v>5</v>
      </c>
      <c r="D80" s="46" t="s">
        <v>473</v>
      </c>
      <c r="E80" s="161"/>
      <c r="F80" s="183" t="s">
        <v>37</v>
      </c>
      <c r="G80" s="414">
        <f t="shared" si="131"/>
        <v>0</v>
      </c>
      <c r="H80" s="204" t="str">
        <f t="shared" si="90"/>
        <v>kWh/short ton</v>
      </c>
      <c r="I80" s="414">
        <f t="shared" si="91"/>
        <v>0</v>
      </c>
      <c r="J80" s="414">
        <f t="shared" si="92"/>
        <v>0</v>
      </c>
      <c r="K80" s="414">
        <f t="shared" si="93"/>
        <v>0</v>
      </c>
      <c r="L80" s="415">
        <f t="shared" si="94"/>
        <v>0</v>
      </c>
      <c r="X80" s="65">
        <f>IF(ISBLANK(E80),0,1)</f>
        <v>0</v>
      </c>
      <c r="Y80" s="216">
        <f t="shared" ref="Y80:Y86" si="132">IF($X80=1,1,0)</f>
        <v>0</v>
      </c>
      <c r="Z80" s="216">
        <v>2</v>
      </c>
      <c r="AA80" s="216"/>
      <c r="AB80" s="216"/>
      <c r="AC80" s="216"/>
      <c r="AD80" s="216"/>
      <c r="AE80" s="216"/>
      <c r="AF80" s="216"/>
      <c r="AG80" s="216"/>
      <c r="AH80" s="216"/>
      <c r="AI80" s="216"/>
      <c r="AJ80" s="216"/>
      <c r="AK80" s="216"/>
      <c r="AL80" s="216"/>
      <c r="AM80" s="1" t="str">
        <f t="shared" si="95"/>
        <v>On-Site Generated Electricity - Geothermal</v>
      </c>
      <c r="AN80" s="1">
        <f t="shared" si="96"/>
        <v>0</v>
      </c>
      <c r="AO80" s="1" t="str">
        <f t="shared" si="97"/>
        <v>kWh</v>
      </c>
      <c r="AP80" s="1">
        <f t="shared" si="98"/>
        <v>1</v>
      </c>
      <c r="AQ80" s="87" t="str">
        <f>AO80&amp;"/"&amp;$AS80</f>
        <v>kWh/kWh</v>
      </c>
      <c r="AR80">
        <f>AN80/AP80</f>
        <v>0</v>
      </c>
      <c r="AS80" s="87" t="str">
        <f>'CPCI Data'!$W$12</f>
        <v>kWh</v>
      </c>
      <c r="AT80">
        <f t="shared" si="101"/>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102"/>
        <v>0</v>
      </c>
      <c r="BJ80" s="360">
        <f t="shared" si="103"/>
        <v>0</v>
      </c>
      <c r="BK80" s="360">
        <f t="shared" si="104"/>
        <v>0</v>
      </c>
      <c r="BL80" s="360">
        <f t="shared" si="105"/>
        <v>0</v>
      </c>
      <c r="BM80" s="360">
        <f t="shared" si="106"/>
        <v>0</v>
      </c>
      <c r="BN80" s="360">
        <f t="shared" si="107"/>
        <v>0</v>
      </c>
      <c r="BO80" s="360">
        <f t="shared" si="108"/>
        <v>0</v>
      </c>
      <c r="BP80" s="360">
        <f t="shared" si="109"/>
        <v>0</v>
      </c>
      <c r="BQ80" s="360">
        <f t="shared" si="110"/>
        <v>0</v>
      </c>
      <c r="BR80" s="360">
        <f t="shared" si="111"/>
        <v>0</v>
      </c>
      <c r="BS80" s="360">
        <f t="shared" si="112"/>
        <v>0</v>
      </c>
      <c r="BT80" s="360">
        <f t="shared" si="113"/>
        <v>0</v>
      </c>
      <c r="BU80" s="360">
        <f t="shared" si="114"/>
        <v>0</v>
      </c>
      <c r="BV80" s="360">
        <f t="shared" si="115"/>
        <v>0</v>
      </c>
      <c r="BW80" s="362">
        <f t="shared" si="116"/>
        <v>0</v>
      </c>
      <c r="BX80" s="362">
        <f t="shared" si="117"/>
        <v>0</v>
      </c>
      <c r="BY80" s="362">
        <f t="shared" si="118"/>
        <v>0</v>
      </c>
      <c r="BZ80" s="362">
        <f t="shared" si="119"/>
        <v>0</v>
      </c>
      <c r="CA80" s="362">
        <f t="shared" si="120"/>
        <v>0</v>
      </c>
      <c r="CB80" s="362">
        <f t="shared" si="121"/>
        <v>0</v>
      </c>
      <c r="CC80" s="362">
        <f t="shared" si="122"/>
        <v>0</v>
      </c>
      <c r="CD80" s="362">
        <f t="shared" si="123"/>
        <v>0</v>
      </c>
      <c r="CE80" s="362">
        <f t="shared" si="124"/>
        <v>0</v>
      </c>
      <c r="CF80" s="362">
        <f t="shared" si="125"/>
        <v>0</v>
      </c>
      <c r="CG80" s="362">
        <f t="shared" si="126"/>
        <v>0</v>
      </c>
      <c r="CH80" s="362">
        <f t="shared" si="127"/>
        <v>0</v>
      </c>
      <c r="CI80" s="362">
        <f t="shared" si="128"/>
        <v>0</v>
      </c>
      <c r="CJ80" s="362">
        <f t="shared" si="129"/>
        <v>0</v>
      </c>
      <c r="CK80"/>
      <c r="CO80"/>
      <c r="CP80"/>
      <c r="CQ80"/>
      <c r="CR80"/>
      <c r="CS80"/>
      <c r="CT80"/>
      <c r="CU80"/>
      <c r="CV80"/>
      <c r="CW80"/>
      <c r="CX80"/>
      <c r="CY80"/>
      <c r="CZ80"/>
      <c r="DA80"/>
      <c r="DB80"/>
    </row>
    <row r="81" spans="2:134">
      <c r="B81" s="53">
        <f>X81</f>
        <v>0</v>
      </c>
      <c r="C81" s="26">
        <f t="shared" si="130"/>
        <v>6</v>
      </c>
      <c r="D81" s="46" t="s">
        <v>474</v>
      </c>
      <c r="E81" s="161"/>
      <c r="F81" s="183" t="s">
        <v>37</v>
      </c>
      <c r="G81" s="414">
        <f t="shared" si="131"/>
        <v>0</v>
      </c>
      <c r="H81" s="204" t="str">
        <f t="shared" si="90"/>
        <v>kWh/short ton</v>
      </c>
      <c r="I81" s="414">
        <f t="shared" si="91"/>
        <v>0</v>
      </c>
      <c r="J81" s="414">
        <f t="shared" si="92"/>
        <v>0</v>
      </c>
      <c r="K81" s="414">
        <f t="shared" si="93"/>
        <v>0</v>
      </c>
      <c r="L81" s="415">
        <f t="shared" si="94"/>
        <v>0</v>
      </c>
      <c r="M81" s="12"/>
      <c r="N81" s="12"/>
      <c r="X81" s="65">
        <f>IF(ISBLANK(E81),0,1)</f>
        <v>0</v>
      </c>
      <c r="Y81" s="216">
        <f t="shared" si="132"/>
        <v>0</v>
      </c>
      <c r="Z81" s="216">
        <v>2</v>
      </c>
      <c r="AA81" s="216"/>
      <c r="AB81" s="216"/>
      <c r="AC81" s="216"/>
      <c r="AD81" s="216"/>
      <c r="AE81" s="216"/>
      <c r="AF81" s="216"/>
      <c r="AG81" s="216"/>
      <c r="AH81" s="216"/>
      <c r="AI81" s="216"/>
      <c r="AJ81" s="216"/>
      <c r="AK81" s="216"/>
      <c r="AL81" s="216"/>
      <c r="AM81" s="1" t="str">
        <f t="shared" si="95"/>
        <v>On-Site Generated Electricity - Biomass</v>
      </c>
      <c r="AN81" s="1">
        <f t="shared" si="96"/>
        <v>0</v>
      </c>
      <c r="AO81" s="1" t="str">
        <f t="shared" si="97"/>
        <v>kWh</v>
      </c>
      <c r="AP81" s="1">
        <f t="shared" si="98"/>
        <v>1</v>
      </c>
      <c r="AQ81" s="87" t="str">
        <f>AO81&amp;"/"&amp;$AS81</f>
        <v>kWh/kWh</v>
      </c>
      <c r="AR81">
        <f>AN81/AP81</f>
        <v>0</v>
      </c>
      <c r="AS81" s="87" t="str">
        <f>'CPCI Data'!$W$12</f>
        <v>kWh</v>
      </c>
      <c r="AT81">
        <f t="shared" si="101"/>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102"/>
        <v>0</v>
      </c>
      <c r="BJ81" s="360">
        <f t="shared" si="103"/>
        <v>0</v>
      </c>
      <c r="BK81" s="360">
        <f t="shared" si="104"/>
        <v>0</v>
      </c>
      <c r="BL81" s="360">
        <f t="shared" si="105"/>
        <v>0</v>
      </c>
      <c r="BM81" s="360">
        <f t="shared" si="106"/>
        <v>0</v>
      </c>
      <c r="BN81" s="360">
        <f t="shared" si="107"/>
        <v>0</v>
      </c>
      <c r="BO81" s="360">
        <f t="shared" si="108"/>
        <v>0</v>
      </c>
      <c r="BP81" s="360">
        <f t="shared" si="109"/>
        <v>0</v>
      </c>
      <c r="BQ81" s="360">
        <f t="shared" si="110"/>
        <v>0</v>
      </c>
      <c r="BR81" s="360">
        <f t="shared" si="111"/>
        <v>0</v>
      </c>
      <c r="BS81" s="360">
        <f t="shared" si="112"/>
        <v>0</v>
      </c>
      <c r="BT81" s="360">
        <f t="shared" si="113"/>
        <v>0</v>
      </c>
      <c r="BU81" s="360">
        <f t="shared" si="114"/>
        <v>0</v>
      </c>
      <c r="BV81" s="360">
        <f t="shared" si="115"/>
        <v>0</v>
      </c>
      <c r="BW81" s="362">
        <f t="shared" si="116"/>
        <v>0</v>
      </c>
      <c r="BX81" s="362">
        <f t="shared" si="117"/>
        <v>0</v>
      </c>
      <c r="BY81" s="362">
        <f t="shared" si="118"/>
        <v>0</v>
      </c>
      <c r="BZ81" s="362">
        <f t="shared" si="119"/>
        <v>0</v>
      </c>
      <c r="CA81" s="362">
        <f t="shared" si="120"/>
        <v>0</v>
      </c>
      <c r="CB81" s="362">
        <f t="shared" si="121"/>
        <v>0</v>
      </c>
      <c r="CC81" s="362">
        <f t="shared" si="122"/>
        <v>0</v>
      </c>
      <c r="CD81" s="362">
        <f t="shared" si="123"/>
        <v>0</v>
      </c>
      <c r="CE81" s="362">
        <f t="shared" si="124"/>
        <v>0</v>
      </c>
      <c r="CF81" s="362">
        <f t="shared" si="125"/>
        <v>0</v>
      </c>
      <c r="CG81" s="362">
        <f t="shared" si="126"/>
        <v>0</v>
      </c>
      <c r="CH81" s="362">
        <f t="shared" si="127"/>
        <v>0</v>
      </c>
      <c r="CI81" s="362">
        <f t="shared" si="128"/>
        <v>0</v>
      </c>
      <c r="CJ81" s="362">
        <f t="shared" si="129"/>
        <v>0</v>
      </c>
      <c r="CK81"/>
      <c r="CO81"/>
      <c r="CP81"/>
      <c r="CQ81"/>
      <c r="CR81"/>
      <c r="CS81"/>
      <c r="CT81"/>
      <c r="CU81"/>
      <c r="CV81"/>
      <c r="CW81"/>
      <c r="CX81"/>
      <c r="CY81"/>
      <c r="CZ81"/>
      <c r="DA81"/>
      <c r="DB81"/>
    </row>
    <row r="82" spans="2:134">
      <c r="B82" s="53">
        <f t="shared" si="89"/>
        <v>0</v>
      </c>
      <c r="C82" s="26">
        <f t="shared" si="130"/>
        <v>7</v>
      </c>
      <c r="D82" s="46" t="s">
        <v>23</v>
      </c>
      <c r="E82" s="161"/>
      <c r="F82" s="183" t="str">
        <f>VolumeDisplayUnit</f>
        <v>gallon</v>
      </c>
      <c r="G82" s="414">
        <f t="shared" si="131"/>
        <v>0</v>
      </c>
      <c r="H82" s="204" t="str">
        <f t="shared" si="90"/>
        <v>gallon/short ton</v>
      </c>
      <c r="I82" s="414">
        <f t="shared" si="91"/>
        <v>0</v>
      </c>
      <c r="J82" s="414">
        <f t="shared" si="92"/>
        <v>0</v>
      </c>
      <c r="K82" s="414">
        <f t="shared" si="93"/>
        <v>0</v>
      </c>
      <c r="L82" s="415">
        <f t="shared" si="94"/>
        <v>0</v>
      </c>
      <c r="X82" s="65">
        <f>IF(ISBLANK(E82),0,IF(AND($E$76=0,$E$82=0),0,1))</f>
        <v>0</v>
      </c>
      <c r="Y82" s="216">
        <f t="shared" si="132"/>
        <v>0</v>
      </c>
      <c r="Z82" s="216">
        <v>1</v>
      </c>
      <c r="AA82" s="216"/>
      <c r="AB82" s="216"/>
      <c r="AC82" s="216"/>
      <c r="AD82" s="216"/>
      <c r="AE82" s="216"/>
      <c r="AF82" s="216"/>
      <c r="AG82" s="216"/>
      <c r="AH82" s="216"/>
      <c r="AI82" s="216"/>
      <c r="AJ82" s="216"/>
      <c r="AK82" s="216"/>
      <c r="AL82" s="216"/>
      <c r="AM82" s="1" t="str">
        <f t="shared" si="95"/>
        <v>Gasoline</v>
      </c>
      <c r="AN82" s="1">
        <f t="shared" si="96"/>
        <v>0</v>
      </c>
      <c r="AO82" s="1" t="str">
        <f t="shared" si="97"/>
        <v>gallon</v>
      </c>
      <c r="AP82" s="1">
        <f t="shared" si="98"/>
        <v>0.26417203728418465</v>
      </c>
      <c r="AQ82" s="87" t="str">
        <f t="shared" si="99"/>
        <v>gallon/litre</v>
      </c>
      <c r="AR82">
        <f t="shared" si="100"/>
        <v>0</v>
      </c>
      <c r="AS82" s="87" t="str">
        <f>'CPCI Data'!$W$27</f>
        <v>litre</v>
      </c>
      <c r="AT82">
        <f t="shared" si="101"/>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102"/>
        <v>0</v>
      </c>
      <c r="BJ82" s="360">
        <f t="shared" si="103"/>
        <v>0</v>
      </c>
      <c r="BK82" s="360">
        <f t="shared" si="104"/>
        <v>0</v>
      </c>
      <c r="BL82" s="360">
        <f t="shared" si="105"/>
        <v>0</v>
      </c>
      <c r="BM82" s="360">
        <f t="shared" si="106"/>
        <v>0</v>
      </c>
      <c r="BN82" s="360">
        <f t="shared" si="107"/>
        <v>0</v>
      </c>
      <c r="BO82" s="360">
        <f t="shared" si="108"/>
        <v>0</v>
      </c>
      <c r="BP82" s="360">
        <f t="shared" si="109"/>
        <v>0</v>
      </c>
      <c r="BQ82" s="360">
        <f t="shared" si="110"/>
        <v>0</v>
      </c>
      <c r="BR82" s="360">
        <f t="shared" si="111"/>
        <v>0</v>
      </c>
      <c r="BS82" s="360">
        <f t="shared" si="112"/>
        <v>0</v>
      </c>
      <c r="BT82" s="360">
        <f t="shared" si="113"/>
        <v>0</v>
      </c>
      <c r="BU82" s="360">
        <f t="shared" si="114"/>
        <v>0</v>
      </c>
      <c r="BV82" s="360">
        <f t="shared" si="115"/>
        <v>0</v>
      </c>
      <c r="BW82" s="362">
        <f t="shared" si="116"/>
        <v>0</v>
      </c>
      <c r="BX82" s="362">
        <f t="shared" si="117"/>
        <v>0</v>
      </c>
      <c r="BY82" s="362">
        <f t="shared" si="118"/>
        <v>0</v>
      </c>
      <c r="BZ82" s="362">
        <f t="shared" si="119"/>
        <v>0</v>
      </c>
      <c r="CA82" s="362">
        <f t="shared" si="120"/>
        <v>0</v>
      </c>
      <c r="CB82" s="362">
        <f t="shared" si="121"/>
        <v>0</v>
      </c>
      <c r="CC82" s="362">
        <f t="shared" si="122"/>
        <v>0</v>
      </c>
      <c r="CD82" s="362">
        <f t="shared" si="123"/>
        <v>0</v>
      </c>
      <c r="CE82" s="362">
        <f t="shared" si="124"/>
        <v>0</v>
      </c>
      <c r="CF82" s="362">
        <f t="shared" si="125"/>
        <v>0</v>
      </c>
      <c r="CG82" s="362">
        <f t="shared" si="126"/>
        <v>0</v>
      </c>
      <c r="CH82" s="362">
        <f t="shared" si="127"/>
        <v>0</v>
      </c>
      <c r="CI82" s="362">
        <f t="shared" si="128"/>
        <v>0</v>
      </c>
      <c r="CJ82" s="362">
        <f t="shared" si="129"/>
        <v>0</v>
      </c>
      <c r="CK82"/>
      <c r="CL82"/>
      <c r="CM82"/>
      <c r="CN82"/>
      <c r="CO82"/>
      <c r="CP82"/>
      <c r="CQ82"/>
      <c r="CR82"/>
      <c r="CS82"/>
      <c r="CT82"/>
      <c r="CU82"/>
      <c r="CV82"/>
      <c r="CW82"/>
      <c r="CX82"/>
      <c r="CY82"/>
      <c r="CZ82"/>
      <c r="DA82"/>
      <c r="DB82"/>
    </row>
    <row r="83" spans="2:134">
      <c r="B83" s="53">
        <f t="shared" si="89"/>
        <v>0</v>
      </c>
      <c r="C83" s="26">
        <f t="shared" si="130"/>
        <v>8</v>
      </c>
      <c r="D83" s="46" t="s">
        <v>8</v>
      </c>
      <c r="E83" s="161"/>
      <c r="F83" s="183" t="str">
        <f>NaturalGasDisplayUnit</f>
        <v>ft3</v>
      </c>
      <c r="G83" s="414">
        <f t="shared" si="131"/>
        <v>0</v>
      </c>
      <c r="H83" s="204" t="str">
        <f t="shared" si="90"/>
        <v>ft3/short ton</v>
      </c>
      <c r="I83" s="414">
        <f t="shared" si="91"/>
        <v>0</v>
      </c>
      <c r="J83" s="414">
        <f t="shared" si="92"/>
        <v>0</v>
      </c>
      <c r="K83" s="414">
        <f t="shared" si="93"/>
        <v>0</v>
      </c>
      <c r="L83" s="415">
        <f t="shared" si="94"/>
        <v>0</v>
      </c>
      <c r="X83" s="65">
        <f>IF(ISBLANK(E83),0,1)</f>
        <v>0</v>
      </c>
      <c r="Y83" s="216">
        <f t="shared" si="132"/>
        <v>0</v>
      </c>
      <c r="Z83" s="216">
        <v>1</v>
      </c>
      <c r="AA83" s="216"/>
      <c r="AB83" s="216"/>
      <c r="AC83" s="216"/>
      <c r="AD83" s="216"/>
      <c r="AE83" s="216"/>
      <c r="AF83" s="216"/>
      <c r="AG83" s="216"/>
      <c r="AH83" s="216"/>
      <c r="AI83" s="216"/>
      <c r="AJ83" s="216"/>
      <c r="AK83" s="216"/>
      <c r="AL83" s="216"/>
      <c r="AM83" s="1" t="str">
        <f t="shared" si="95"/>
        <v>Natural Gas</v>
      </c>
      <c r="AN83" s="1">
        <f t="shared" si="96"/>
        <v>0</v>
      </c>
      <c r="AO83" s="1" t="str">
        <f t="shared" si="97"/>
        <v>ft3</v>
      </c>
      <c r="AP83" s="1">
        <f t="shared" si="98"/>
        <v>35.31467</v>
      </c>
      <c r="AQ83" s="87" t="str">
        <f t="shared" si="99"/>
        <v>ft3/m3</v>
      </c>
      <c r="AR83">
        <f t="shared" si="100"/>
        <v>0</v>
      </c>
      <c r="AS83" s="87" t="str">
        <f>'CPCI Data'!$W$20</f>
        <v>m3</v>
      </c>
      <c r="AT83">
        <f t="shared" si="101"/>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102"/>
        <v>0</v>
      </c>
      <c r="BJ83" s="360">
        <f t="shared" si="103"/>
        <v>0</v>
      </c>
      <c r="BK83" s="360">
        <f t="shared" si="104"/>
        <v>0</v>
      </c>
      <c r="BL83" s="360">
        <f t="shared" si="105"/>
        <v>0</v>
      </c>
      <c r="BM83" s="360">
        <f t="shared" si="106"/>
        <v>0</v>
      </c>
      <c r="BN83" s="360">
        <f t="shared" si="107"/>
        <v>0</v>
      </c>
      <c r="BO83" s="360">
        <f t="shared" si="108"/>
        <v>0</v>
      </c>
      <c r="BP83" s="360">
        <f t="shared" si="109"/>
        <v>0</v>
      </c>
      <c r="BQ83" s="360">
        <f t="shared" si="110"/>
        <v>0</v>
      </c>
      <c r="BR83" s="360">
        <f t="shared" si="111"/>
        <v>0</v>
      </c>
      <c r="BS83" s="360">
        <f t="shared" si="112"/>
        <v>0</v>
      </c>
      <c r="BT83" s="360">
        <f t="shared" si="113"/>
        <v>0</v>
      </c>
      <c r="BU83" s="360">
        <f t="shared" si="114"/>
        <v>0</v>
      </c>
      <c r="BV83" s="360">
        <f t="shared" si="115"/>
        <v>0</v>
      </c>
      <c r="BW83" s="362">
        <f t="shared" si="116"/>
        <v>0</v>
      </c>
      <c r="BX83" s="362">
        <f t="shared" si="117"/>
        <v>0</v>
      </c>
      <c r="BY83" s="362">
        <f t="shared" si="118"/>
        <v>0</v>
      </c>
      <c r="BZ83" s="362">
        <f t="shared" si="119"/>
        <v>0</v>
      </c>
      <c r="CA83" s="362">
        <f t="shared" si="120"/>
        <v>0</v>
      </c>
      <c r="CB83" s="362">
        <f t="shared" si="121"/>
        <v>0</v>
      </c>
      <c r="CC83" s="362">
        <f t="shared" si="122"/>
        <v>0</v>
      </c>
      <c r="CD83" s="362">
        <f t="shared" si="123"/>
        <v>0</v>
      </c>
      <c r="CE83" s="362">
        <f t="shared" si="124"/>
        <v>0</v>
      </c>
      <c r="CF83" s="362">
        <f t="shared" si="125"/>
        <v>0</v>
      </c>
      <c r="CG83" s="362">
        <f t="shared" si="126"/>
        <v>0</v>
      </c>
      <c r="CH83" s="362">
        <f t="shared" si="127"/>
        <v>0</v>
      </c>
      <c r="CI83" s="362">
        <f t="shared" si="128"/>
        <v>0</v>
      </c>
      <c r="CJ83" s="362">
        <f t="shared" si="129"/>
        <v>0</v>
      </c>
      <c r="CK83"/>
      <c r="CL83"/>
      <c r="CM83"/>
      <c r="CN83"/>
      <c r="CO83"/>
      <c r="CP83"/>
      <c r="CQ83"/>
      <c r="CR83"/>
      <c r="CS83"/>
      <c r="CT83"/>
      <c r="CU83"/>
      <c r="CV83"/>
      <c r="CW83"/>
      <c r="CX83"/>
      <c r="CY83"/>
      <c r="CZ83"/>
      <c r="DA83"/>
      <c r="DB83"/>
    </row>
    <row r="84" spans="2:134">
      <c r="B84" s="53">
        <f t="shared" si="89"/>
        <v>0</v>
      </c>
      <c r="C84" s="26">
        <f t="shared" si="130"/>
        <v>9</v>
      </c>
      <c r="D84" s="41" t="s">
        <v>9</v>
      </c>
      <c r="E84" s="161"/>
      <c r="F84" s="183" t="str">
        <f>VolumeDisplayUnit</f>
        <v>gallon</v>
      </c>
      <c r="G84" s="414">
        <f t="shared" si="131"/>
        <v>0</v>
      </c>
      <c r="H84" s="204" t="str">
        <f t="shared" si="90"/>
        <v>gallon/short ton</v>
      </c>
      <c r="I84" s="414">
        <f t="shared" si="91"/>
        <v>0</v>
      </c>
      <c r="J84" s="414">
        <f t="shared" si="92"/>
        <v>0</v>
      </c>
      <c r="K84" s="414">
        <f t="shared" si="93"/>
        <v>0</v>
      </c>
      <c r="L84" s="415">
        <f t="shared" si="94"/>
        <v>0</v>
      </c>
      <c r="X84" s="65">
        <f>IF(ISBLANK(E84),0,1)</f>
        <v>0</v>
      </c>
      <c r="Y84" s="216">
        <f t="shared" si="132"/>
        <v>0</v>
      </c>
      <c r="Z84" s="216">
        <v>1</v>
      </c>
      <c r="AA84" s="216"/>
      <c r="AB84" s="216"/>
      <c r="AC84" s="216"/>
      <c r="AD84" s="216"/>
      <c r="AE84" s="216"/>
      <c r="AF84" s="216"/>
      <c r="AG84" s="216"/>
      <c r="AH84" s="216"/>
      <c r="AI84" s="216"/>
      <c r="AJ84" s="216"/>
      <c r="AK84" s="216"/>
      <c r="AL84" s="216"/>
      <c r="AM84" s="1" t="str">
        <f t="shared" si="95"/>
        <v>Diesel</v>
      </c>
      <c r="AN84" s="1">
        <f t="shared" si="96"/>
        <v>0</v>
      </c>
      <c r="AO84" s="1" t="str">
        <f t="shared" si="97"/>
        <v>gallon</v>
      </c>
      <c r="AP84" s="1">
        <f t="shared" si="98"/>
        <v>0.26417203728418465</v>
      </c>
      <c r="AQ84" s="87" t="str">
        <f t="shared" si="99"/>
        <v>gallon/litre</v>
      </c>
      <c r="AR84">
        <f t="shared" si="100"/>
        <v>0</v>
      </c>
      <c r="AS84" s="87" t="str">
        <f>'CPCI Data'!$W$27</f>
        <v>litre</v>
      </c>
      <c r="AT84">
        <f t="shared" si="101"/>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102"/>
        <v>0</v>
      </c>
      <c r="BJ84" s="360">
        <f t="shared" si="103"/>
        <v>0</v>
      </c>
      <c r="BK84" s="360">
        <f t="shared" si="104"/>
        <v>0</v>
      </c>
      <c r="BL84" s="360">
        <f t="shared" si="105"/>
        <v>0</v>
      </c>
      <c r="BM84" s="360">
        <f t="shared" si="106"/>
        <v>0</v>
      </c>
      <c r="BN84" s="360">
        <f t="shared" si="107"/>
        <v>0</v>
      </c>
      <c r="BO84" s="360">
        <f t="shared" si="108"/>
        <v>0</v>
      </c>
      <c r="BP84" s="360">
        <f t="shared" si="109"/>
        <v>0</v>
      </c>
      <c r="BQ84" s="360">
        <f t="shared" si="110"/>
        <v>0</v>
      </c>
      <c r="BR84" s="360">
        <f t="shared" si="111"/>
        <v>0</v>
      </c>
      <c r="BS84" s="360">
        <f t="shared" si="112"/>
        <v>0</v>
      </c>
      <c r="BT84" s="360">
        <f t="shared" si="113"/>
        <v>0</v>
      </c>
      <c r="BU84" s="360">
        <f t="shared" si="114"/>
        <v>0</v>
      </c>
      <c r="BV84" s="360">
        <f t="shared" si="115"/>
        <v>0</v>
      </c>
      <c r="BW84" s="362">
        <f t="shared" si="116"/>
        <v>0</v>
      </c>
      <c r="BX84" s="362">
        <f t="shared" si="117"/>
        <v>0</v>
      </c>
      <c r="BY84" s="362">
        <f t="shared" si="118"/>
        <v>0</v>
      </c>
      <c r="BZ84" s="362">
        <f t="shared" si="119"/>
        <v>0</v>
      </c>
      <c r="CA84" s="362">
        <f t="shared" si="120"/>
        <v>0</v>
      </c>
      <c r="CB84" s="362">
        <f t="shared" si="121"/>
        <v>0</v>
      </c>
      <c r="CC84" s="362">
        <f t="shared" si="122"/>
        <v>0</v>
      </c>
      <c r="CD84" s="362">
        <f t="shared" si="123"/>
        <v>0</v>
      </c>
      <c r="CE84" s="362">
        <f t="shared" si="124"/>
        <v>0</v>
      </c>
      <c r="CF84" s="362">
        <f t="shared" si="125"/>
        <v>0</v>
      </c>
      <c r="CG84" s="362">
        <f t="shared" si="126"/>
        <v>0</v>
      </c>
      <c r="CH84" s="362">
        <f t="shared" si="127"/>
        <v>0</v>
      </c>
      <c r="CI84" s="362">
        <f t="shared" si="128"/>
        <v>0</v>
      </c>
      <c r="CJ84" s="362">
        <f t="shared" si="129"/>
        <v>0</v>
      </c>
      <c r="CK84"/>
      <c r="CL84"/>
      <c r="CM84"/>
      <c r="CN84"/>
      <c r="CO84"/>
      <c r="CP84"/>
      <c r="CQ84"/>
      <c r="CR84"/>
      <c r="CS84"/>
      <c r="CT84"/>
      <c r="CU84"/>
      <c r="CV84"/>
      <c r="CW84"/>
      <c r="CX84"/>
      <c r="CY84"/>
      <c r="CZ84"/>
      <c r="DA84"/>
      <c r="DB84"/>
    </row>
    <row r="85" spans="2:134">
      <c r="B85" s="53">
        <f t="shared" si="89"/>
        <v>0</v>
      </c>
      <c r="C85" s="26">
        <f t="shared" si="130"/>
        <v>10</v>
      </c>
      <c r="D85" s="41" t="s">
        <v>118</v>
      </c>
      <c r="E85" s="161"/>
      <c r="F85" s="183" t="str">
        <f>VolumeDisplayUnit</f>
        <v>gallon</v>
      </c>
      <c r="G85" s="414">
        <f t="shared" si="131"/>
        <v>0</v>
      </c>
      <c r="H85" s="204" t="str">
        <f t="shared" si="90"/>
        <v>gallon/short ton</v>
      </c>
      <c r="I85" s="414">
        <f t="shared" si="91"/>
        <v>0</v>
      </c>
      <c r="J85" s="414">
        <f t="shared" si="92"/>
        <v>0</v>
      </c>
      <c r="K85" s="414">
        <f t="shared" si="93"/>
        <v>0</v>
      </c>
      <c r="L85" s="415">
        <f t="shared" si="94"/>
        <v>0</v>
      </c>
      <c r="M85" s="12"/>
      <c r="N85" s="12"/>
      <c r="X85" s="65">
        <f>IF(ISBLANK(E85),0,1)</f>
        <v>0</v>
      </c>
      <c r="Y85" s="216">
        <f t="shared" si="132"/>
        <v>0</v>
      </c>
      <c r="Z85" s="216">
        <v>1</v>
      </c>
      <c r="AA85" s="216"/>
      <c r="AB85" s="216"/>
      <c r="AC85" s="216"/>
      <c r="AD85" s="216"/>
      <c r="AE85" s="216"/>
      <c r="AF85" s="216"/>
      <c r="AG85" s="216"/>
      <c r="AH85" s="216"/>
      <c r="AI85" s="216"/>
      <c r="AJ85" s="216"/>
      <c r="AK85" s="216"/>
      <c r="AL85" s="216"/>
      <c r="AM85" s="1" t="str">
        <f t="shared" si="95"/>
        <v>Heavy Fuel Oil</v>
      </c>
      <c r="AN85" s="1">
        <f t="shared" si="96"/>
        <v>0</v>
      </c>
      <c r="AO85" s="1" t="str">
        <f t="shared" si="97"/>
        <v>gallon</v>
      </c>
      <c r="AP85" s="1">
        <f t="shared" si="98"/>
        <v>0.26417203728418465</v>
      </c>
      <c r="AQ85" s="87" t="str">
        <f t="shared" si="99"/>
        <v>gallon/litre</v>
      </c>
      <c r="AR85">
        <f t="shared" si="100"/>
        <v>0</v>
      </c>
      <c r="AS85" s="87" t="str">
        <f>'CPCI Data'!$W$27</f>
        <v>litre</v>
      </c>
      <c r="AT85">
        <f t="shared" si="101"/>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102"/>
        <v>0</v>
      </c>
      <c r="BJ85" s="360">
        <f t="shared" si="103"/>
        <v>0</v>
      </c>
      <c r="BK85" s="360">
        <f t="shared" si="104"/>
        <v>0</v>
      </c>
      <c r="BL85" s="360">
        <f t="shared" si="105"/>
        <v>0</v>
      </c>
      <c r="BM85" s="360">
        <f t="shared" si="106"/>
        <v>0</v>
      </c>
      <c r="BN85" s="360">
        <f t="shared" si="107"/>
        <v>0</v>
      </c>
      <c r="BO85" s="360">
        <f t="shared" si="108"/>
        <v>0</v>
      </c>
      <c r="BP85" s="360">
        <f t="shared" si="109"/>
        <v>0</v>
      </c>
      <c r="BQ85" s="360">
        <f t="shared" si="110"/>
        <v>0</v>
      </c>
      <c r="BR85" s="360">
        <f t="shared" si="111"/>
        <v>0</v>
      </c>
      <c r="BS85" s="360">
        <f t="shared" si="112"/>
        <v>0</v>
      </c>
      <c r="BT85" s="360">
        <f t="shared" si="113"/>
        <v>0</v>
      </c>
      <c r="BU85" s="360">
        <f t="shared" si="114"/>
        <v>0</v>
      </c>
      <c r="BV85" s="360">
        <f t="shared" si="115"/>
        <v>0</v>
      </c>
      <c r="BW85" s="362">
        <f t="shared" si="116"/>
        <v>0</v>
      </c>
      <c r="BX85" s="362">
        <f t="shared" si="117"/>
        <v>0</v>
      </c>
      <c r="BY85" s="362">
        <f t="shared" si="118"/>
        <v>0</v>
      </c>
      <c r="BZ85" s="362">
        <f t="shared" si="119"/>
        <v>0</v>
      </c>
      <c r="CA85" s="362">
        <f t="shared" si="120"/>
        <v>0</v>
      </c>
      <c r="CB85" s="362">
        <f t="shared" si="121"/>
        <v>0</v>
      </c>
      <c r="CC85" s="362">
        <f t="shared" si="122"/>
        <v>0</v>
      </c>
      <c r="CD85" s="362">
        <f t="shared" si="123"/>
        <v>0</v>
      </c>
      <c r="CE85" s="362">
        <f t="shared" si="124"/>
        <v>0</v>
      </c>
      <c r="CF85" s="362">
        <f t="shared" si="125"/>
        <v>0</v>
      </c>
      <c r="CG85" s="362">
        <f t="shared" si="126"/>
        <v>0</v>
      </c>
      <c r="CH85" s="362">
        <f t="shared" si="127"/>
        <v>0</v>
      </c>
      <c r="CI85" s="362">
        <f t="shared" si="128"/>
        <v>0</v>
      </c>
      <c r="CJ85" s="362">
        <f t="shared" si="129"/>
        <v>0</v>
      </c>
      <c r="CK85"/>
      <c r="CO85"/>
      <c r="CP85"/>
      <c r="CQ85"/>
      <c r="CR85"/>
      <c r="CS85"/>
      <c r="CT85"/>
      <c r="CU85"/>
      <c r="CV85"/>
      <c r="CW85"/>
      <c r="CX85"/>
      <c r="CY85"/>
      <c r="CZ85"/>
      <c r="DA85"/>
      <c r="DB85"/>
    </row>
    <row r="86" spans="2:134" ht="16" thickBot="1">
      <c r="B86" s="53">
        <f t="shared" si="89"/>
        <v>0</v>
      </c>
      <c r="C86" s="32">
        <f t="shared" si="130"/>
        <v>11</v>
      </c>
      <c r="D86" s="47" t="s">
        <v>263</v>
      </c>
      <c r="E86" s="162"/>
      <c r="F86" s="184" t="str">
        <f>VolumeDisplayUnit</f>
        <v>gallon</v>
      </c>
      <c r="G86" s="416">
        <f t="shared" si="131"/>
        <v>0</v>
      </c>
      <c r="H86" s="204" t="str">
        <f t="shared" si="90"/>
        <v>gallon/short ton</v>
      </c>
      <c r="I86" s="414">
        <f t="shared" si="91"/>
        <v>0</v>
      </c>
      <c r="J86" s="414">
        <f t="shared" si="92"/>
        <v>0</v>
      </c>
      <c r="K86" s="414">
        <f t="shared" si="93"/>
        <v>0</v>
      </c>
      <c r="L86" s="415">
        <f t="shared" si="94"/>
        <v>0</v>
      </c>
      <c r="X86" s="65">
        <f>IF(ISBLANK(E86),0,1)</f>
        <v>0</v>
      </c>
      <c r="Y86" s="216">
        <f t="shared" si="132"/>
        <v>0</v>
      </c>
      <c r="Z86" s="216">
        <v>1</v>
      </c>
      <c r="AA86" s="216"/>
      <c r="AB86" s="216"/>
      <c r="AC86" s="216"/>
      <c r="AD86" s="216"/>
      <c r="AE86" s="216"/>
      <c r="AF86" s="216"/>
      <c r="AG86" s="216"/>
      <c r="AH86" s="216"/>
      <c r="AI86" s="216"/>
      <c r="AJ86" s="216"/>
      <c r="AK86" s="216"/>
      <c r="AL86" s="216"/>
      <c r="AM86" s="1" t="str">
        <f t="shared" si="95"/>
        <v>LPG (Liquified Propane Gas)</v>
      </c>
      <c r="AN86" s="1">
        <f t="shared" si="96"/>
        <v>0</v>
      </c>
      <c r="AO86" s="1" t="str">
        <f t="shared" si="97"/>
        <v>gallon</v>
      </c>
      <c r="AP86" s="1">
        <f t="shared" si="98"/>
        <v>0.26417203728418465</v>
      </c>
      <c r="AQ86" s="87" t="str">
        <f t="shared" si="99"/>
        <v>gallon/litre</v>
      </c>
      <c r="AR86">
        <f t="shared" si="100"/>
        <v>0</v>
      </c>
      <c r="AS86" s="87" t="str">
        <f>'CPCI Data'!$W$27</f>
        <v>litre</v>
      </c>
      <c r="AT86">
        <f t="shared" si="101"/>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102"/>
        <v>0</v>
      </c>
      <c r="BJ86" s="360">
        <f t="shared" si="103"/>
        <v>0</v>
      </c>
      <c r="BK86" s="360">
        <f t="shared" si="104"/>
        <v>0</v>
      </c>
      <c r="BL86" s="360">
        <f t="shared" si="105"/>
        <v>0</v>
      </c>
      <c r="BM86" s="360">
        <f t="shared" si="106"/>
        <v>0</v>
      </c>
      <c r="BN86" s="360">
        <f t="shared" si="107"/>
        <v>0</v>
      </c>
      <c r="BO86" s="360">
        <f t="shared" si="108"/>
        <v>0</v>
      </c>
      <c r="BP86" s="360">
        <f t="shared" si="109"/>
        <v>0</v>
      </c>
      <c r="BQ86" s="360">
        <f t="shared" si="110"/>
        <v>0</v>
      </c>
      <c r="BR86" s="360">
        <f t="shared" si="111"/>
        <v>0</v>
      </c>
      <c r="BS86" s="360">
        <f t="shared" si="112"/>
        <v>0</v>
      </c>
      <c r="BT86" s="360">
        <f t="shared" si="113"/>
        <v>0</v>
      </c>
      <c r="BU86" s="360">
        <f t="shared" si="114"/>
        <v>0</v>
      </c>
      <c r="BV86" s="360">
        <f t="shared" si="115"/>
        <v>0</v>
      </c>
      <c r="BW86" s="362">
        <f t="shared" si="116"/>
        <v>0</v>
      </c>
      <c r="BX86" s="362">
        <f t="shared" si="117"/>
        <v>0</v>
      </c>
      <c r="BY86" s="362">
        <f t="shared" si="118"/>
        <v>0</v>
      </c>
      <c r="BZ86" s="362">
        <f t="shared" si="119"/>
        <v>0</v>
      </c>
      <c r="CA86" s="362">
        <f t="shared" si="120"/>
        <v>0</v>
      </c>
      <c r="CB86" s="362">
        <f t="shared" si="121"/>
        <v>0</v>
      </c>
      <c r="CC86" s="362">
        <f t="shared" si="122"/>
        <v>0</v>
      </c>
      <c r="CD86" s="362">
        <f t="shared" si="123"/>
        <v>0</v>
      </c>
      <c r="CE86" s="362">
        <f t="shared" si="124"/>
        <v>0</v>
      </c>
      <c r="CF86" s="362">
        <f t="shared" si="125"/>
        <v>0</v>
      </c>
      <c r="CG86" s="362">
        <f t="shared" si="126"/>
        <v>0</v>
      </c>
      <c r="CH86" s="362">
        <f t="shared" si="127"/>
        <v>0</v>
      </c>
      <c r="CI86" s="362">
        <f t="shared" si="128"/>
        <v>0</v>
      </c>
      <c r="CJ86" s="362">
        <f t="shared" si="129"/>
        <v>0</v>
      </c>
      <c r="CK86"/>
      <c r="CL86"/>
      <c r="CM86"/>
      <c r="CN86"/>
      <c r="CO86"/>
      <c r="CP86"/>
      <c r="CQ86"/>
      <c r="CR86"/>
      <c r="CS86"/>
      <c r="CT86"/>
      <c r="CU86"/>
      <c r="CV86"/>
      <c r="CW86"/>
      <c r="CX86"/>
      <c r="CY86"/>
      <c r="CZ86"/>
      <c r="DA86"/>
      <c r="DB86"/>
    </row>
    <row r="87" spans="2:134" ht="16" thickBot="1">
      <c r="G87" s="417"/>
      <c r="H87" s="45" t="s">
        <v>19</v>
      </c>
      <c r="I87" s="416">
        <f t="shared" si="91"/>
        <v>0</v>
      </c>
      <c r="J87" s="416">
        <f t="shared" si="92"/>
        <v>0</v>
      </c>
      <c r="K87" s="416">
        <f t="shared" si="93"/>
        <v>0</v>
      </c>
      <c r="L87" s="418">
        <f t="shared" si="94"/>
        <v>0</v>
      </c>
      <c r="AR87" t="s">
        <v>133</v>
      </c>
      <c r="AU87" s="358">
        <f>SUM(AU76:AU86)</f>
        <v>0</v>
      </c>
      <c r="AV87" s="358">
        <f t="shared" ref="AV87:AZ87" si="133">SUM(AV76:AV86)</f>
        <v>0</v>
      </c>
      <c r="AW87" s="358">
        <f t="shared" si="133"/>
        <v>0</v>
      </c>
      <c r="AX87" s="358">
        <f t="shared" si="133"/>
        <v>0</v>
      </c>
      <c r="AY87" s="358">
        <f t="shared" si="133"/>
        <v>0</v>
      </c>
      <c r="AZ87" s="358">
        <f t="shared" si="133"/>
        <v>0</v>
      </c>
      <c r="BA87" s="358">
        <f>SUM(BA76:BA86)</f>
        <v>0</v>
      </c>
      <c r="BB87" s="358">
        <f t="shared" ref="BB87" si="134">SUM(BB76:BB86)</f>
        <v>0</v>
      </c>
      <c r="BC87" s="358">
        <f t="shared" ref="BC87" si="135">SUM(BC76:BC86)</f>
        <v>0</v>
      </c>
      <c r="BD87" s="358">
        <f t="shared" ref="BD87" si="136">SUM(BD76:BD86)</f>
        <v>0</v>
      </c>
      <c r="BE87" s="358">
        <f t="shared" ref="BE87:BG87" si="137">SUM(BE76:BE86)</f>
        <v>0</v>
      </c>
      <c r="BF87" s="358">
        <f t="shared" si="137"/>
        <v>0</v>
      </c>
      <c r="BG87" s="358">
        <f t="shared" si="137"/>
        <v>0</v>
      </c>
      <c r="BH87" s="358">
        <f>SUM(BH76:BH86)</f>
        <v>0</v>
      </c>
      <c r="BI87" s="360">
        <f t="shared" si="102"/>
        <v>0</v>
      </c>
      <c r="BJ87" s="360">
        <f t="shared" si="103"/>
        <v>0</v>
      </c>
      <c r="BK87" s="360">
        <f t="shared" si="104"/>
        <v>0</v>
      </c>
      <c r="BL87" s="360">
        <f t="shared" si="105"/>
        <v>0</v>
      </c>
      <c r="BM87" s="360">
        <f t="shared" si="106"/>
        <v>0</v>
      </c>
      <c r="BN87" s="360">
        <f t="shared" si="107"/>
        <v>0</v>
      </c>
      <c r="BO87" s="360">
        <f t="shared" si="108"/>
        <v>0</v>
      </c>
      <c r="BP87" s="360">
        <f t="shared" si="109"/>
        <v>0</v>
      </c>
      <c r="BQ87" s="360">
        <f t="shared" si="110"/>
        <v>0</v>
      </c>
      <c r="BR87" s="360">
        <f t="shared" si="111"/>
        <v>0</v>
      </c>
      <c r="BS87" s="360">
        <f t="shared" si="112"/>
        <v>0</v>
      </c>
      <c r="BT87" s="360">
        <f t="shared" si="113"/>
        <v>0</v>
      </c>
      <c r="BU87" s="360">
        <f t="shared" si="114"/>
        <v>0</v>
      </c>
      <c r="BV87" s="360">
        <f t="shared" si="115"/>
        <v>0</v>
      </c>
      <c r="BW87" s="362">
        <f t="shared" si="116"/>
        <v>0</v>
      </c>
      <c r="BX87" s="362">
        <f t="shared" si="117"/>
        <v>0</v>
      </c>
      <c r="BY87" s="362">
        <f t="shared" si="118"/>
        <v>0</v>
      </c>
      <c r="BZ87" s="362">
        <f t="shared" si="119"/>
        <v>0</v>
      </c>
      <c r="CA87" s="362">
        <f t="shared" si="120"/>
        <v>0</v>
      </c>
      <c r="CB87" s="362">
        <f t="shared" si="121"/>
        <v>0</v>
      </c>
      <c r="CC87" s="362">
        <f t="shared" si="122"/>
        <v>0</v>
      </c>
      <c r="CD87" s="362">
        <f t="shared" si="123"/>
        <v>0</v>
      </c>
      <c r="CE87" s="362">
        <f t="shared" si="124"/>
        <v>0</v>
      </c>
      <c r="CF87" s="362">
        <f t="shared" si="125"/>
        <v>0</v>
      </c>
      <c r="CG87" s="362">
        <f t="shared" si="126"/>
        <v>0</v>
      </c>
      <c r="CH87" s="362">
        <f t="shared" si="127"/>
        <v>0</v>
      </c>
      <c r="CI87" s="362">
        <f t="shared" si="128"/>
        <v>0</v>
      </c>
      <c r="CJ87" s="362">
        <f t="shared" si="129"/>
        <v>0</v>
      </c>
      <c r="CK87"/>
      <c r="CL87"/>
      <c r="CM87"/>
      <c r="CN87"/>
      <c r="CO87"/>
      <c r="CP87"/>
      <c r="CQ87"/>
      <c r="CR87"/>
      <c r="CS87"/>
      <c r="CT87"/>
      <c r="CU87"/>
      <c r="CV87"/>
      <c r="CW87"/>
      <c r="CX87"/>
      <c r="CY87"/>
      <c r="CZ87"/>
      <c r="DA87"/>
      <c r="DB87"/>
    </row>
    <row r="88" spans="2:134">
      <c r="J88" s="55"/>
      <c r="K88" s="55"/>
      <c r="L88" s="55"/>
      <c r="M88" s="72"/>
      <c r="N88" s="72"/>
      <c r="O88" s="76"/>
    </row>
    <row r="89" spans="2:134">
      <c r="O89" s="76"/>
      <c r="BV89"/>
      <c r="BW89"/>
      <c r="BX89"/>
      <c r="BY89"/>
      <c r="BZ89"/>
      <c r="CA89"/>
      <c r="CB89"/>
      <c r="CC89"/>
      <c r="CD89"/>
    </row>
    <row r="90" spans="2:134">
      <c r="I90" s="3"/>
      <c r="J90" s="3"/>
      <c r="L90" s="13"/>
      <c r="O90" s="75"/>
      <c r="AN90" s="1"/>
      <c r="AO90" s="1"/>
      <c r="AP90" s="1"/>
      <c r="BM90" s="1" t="s">
        <v>336</v>
      </c>
      <c r="BN90" s="87">
        <v>1</v>
      </c>
      <c r="BV90"/>
      <c r="BW90"/>
      <c r="BX90"/>
      <c r="BY90"/>
      <c r="BZ90"/>
      <c r="CA90"/>
      <c r="CB90"/>
      <c r="CC90"/>
      <c r="CD90"/>
      <c r="CE90"/>
      <c r="CF90"/>
      <c r="CG90"/>
      <c r="CH90"/>
      <c r="CI90"/>
      <c r="CJ90"/>
      <c r="CK90"/>
    </row>
    <row r="91" spans="2:134" ht="16" thickBot="1">
      <c r="O91" s="76"/>
      <c r="AN91" s="1"/>
      <c r="AO91" s="1"/>
      <c r="AP91" s="1"/>
      <c r="BV91"/>
      <c r="BW91"/>
      <c r="BX91"/>
      <c r="BY91"/>
      <c r="BZ91"/>
      <c r="CA91"/>
      <c r="CB91"/>
      <c r="CC91"/>
      <c r="CD91"/>
      <c r="CE91"/>
      <c r="CF91"/>
    </row>
    <row r="92" spans="2:134" ht="21" thickBot="1">
      <c r="C92" s="16" t="s">
        <v>483</v>
      </c>
      <c r="D92" s="17"/>
      <c r="E92" s="17"/>
      <c r="F92" s="17"/>
      <c r="G92" s="70"/>
      <c r="H92" s="70"/>
      <c r="I92" s="70"/>
      <c r="J92" s="70"/>
      <c r="K92" s="70"/>
      <c r="L92" s="70"/>
      <c r="M92" s="70"/>
      <c r="N92" s="70"/>
      <c r="O92" s="1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8.75" customHeight="1" thickBot="1">
      <c r="C93" s="73" t="s">
        <v>480</v>
      </c>
      <c r="D93" s="74"/>
      <c r="E93" s="74"/>
      <c r="F93" s="74"/>
      <c r="G93" s="74"/>
      <c r="H93" s="307"/>
      <c r="I93" s="307"/>
      <c r="J93" s="307"/>
      <c r="K93" s="307"/>
      <c r="L93" s="307"/>
      <c r="M93" s="308"/>
      <c r="N93" s="309"/>
      <c r="O93" s="12"/>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customHeight="1">
      <c r="C94" s="669" t="s">
        <v>481</v>
      </c>
      <c r="D94" s="670"/>
      <c r="E94" s="670"/>
      <c r="F94" s="670"/>
      <c r="G94" s="670"/>
      <c r="H94" s="670"/>
      <c r="I94"/>
      <c r="J94"/>
      <c r="K94"/>
      <c r="L94"/>
      <c r="N94" s="310"/>
      <c r="O94" s="12"/>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22.5" customHeight="1">
      <c r="C95" s="671"/>
      <c r="D95" s="672"/>
      <c r="E95" s="672"/>
      <c r="F95" s="672"/>
      <c r="G95" s="672"/>
      <c r="H95" s="672"/>
      <c r="I95"/>
      <c r="J95" s="655" t="s">
        <v>642</v>
      </c>
      <c r="K95" s="656"/>
      <c r="L95" s="656"/>
      <c r="M95" s="656"/>
      <c r="N95" s="657"/>
      <c r="O95" s="12"/>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c r="C96" s="23" t="s">
        <v>2</v>
      </c>
      <c r="D96" s="24" t="s">
        <v>482</v>
      </c>
      <c r="E96" s="25" t="s">
        <v>12</v>
      </c>
      <c r="F96" s="304" t="s">
        <v>6</v>
      </c>
      <c r="G96" s="25" t="s">
        <v>102</v>
      </c>
      <c r="H96" s="25" t="s">
        <v>6</v>
      </c>
      <c r="I96" s="114" t="s">
        <v>240</v>
      </c>
      <c r="J96" s="42" t="s">
        <v>13</v>
      </c>
      <c r="K96" s="42" t="s">
        <v>14</v>
      </c>
      <c r="L96" s="42" t="s">
        <v>16</v>
      </c>
      <c r="M96" s="42" t="s">
        <v>15</v>
      </c>
      <c r="N96" s="52" t="s">
        <v>6</v>
      </c>
      <c r="O96" s="12"/>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c r="B97" s="53">
        <f t="shared" ref="B97:B102" si="138">X97</f>
        <v>0</v>
      </c>
      <c r="C97" s="26">
        <f t="shared" ref="C97:C102" si="139">ROW($C97)-ROW($C$97)+1</f>
        <v>1</v>
      </c>
      <c r="D97" s="41" t="s">
        <v>647</v>
      </c>
      <c r="E97" s="306"/>
      <c r="F97" s="119" t="str">
        <f t="shared" ref="F97:F102" si="140">MassDisplayUnit</f>
        <v>short ton</v>
      </c>
      <c r="G97" s="158">
        <f>$AV97</f>
        <v>0</v>
      </c>
      <c r="H97" s="204" t="str">
        <f t="shared" ref="H97:H102" si="141">MassDisplayUnit</f>
        <v>short ton</v>
      </c>
      <c r="I97" s="150">
        <f t="shared" ref="I97:I102" si="142">IF($G$68=0,0,G97/$G$68)</f>
        <v>0</v>
      </c>
      <c r="J97" s="201"/>
      <c r="K97" s="201"/>
      <c r="L97" s="202"/>
      <c r="M97" s="202"/>
      <c r="N97" s="408" t="str">
        <f t="shared" ref="N97:N102" si="143">DistanceDisplayUnit</f>
        <v>mile</v>
      </c>
      <c r="O97" s="12"/>
      <c r="X97" s="65">
        <f t="shared" ref="X97:X102" si="144">IF(ISBLANK(E97),0,1) + IF(AND( ISBLANK(J97), ISBLANK(K97), ISBLANK(L97), ISBLANK(M97 )),0,1)</f>
        <v>0</v>
      </c>
      <c r="Y97" s="216">
        <f t="shared" ref="Y97:Y102" si="145">IF($X97=2,1,0)</f>
        <v>0</v>
      </c>
      <c r="Z97" s="216">
        <v>2</v>
      </c>
      <c r="AA97" s="216">
        <f t="shared" ref="AA97:AD102" si="146">IF($Y97=0,0,J97)</f>
        <v>0</v>
      </c>
      <c r="AB97" s="216">
        <f t="shared" si="146"/>
        <v>0</v>
      </c>
      <c r="AC97" s="216">
        <f t="shared" si="146"/>
        <v>0</v>
      </c>
      <c r="AD97" s="216">
        <f t="shared" si="146"/>
        <v>0</v>
      </c>
      <c r="AE97" s="217" t="str">
        <f t="shared" ref="AE97:AE102" si="147">$N97</f>
        <v>mile</v>
      </c>
      <c r="AF97" s="217">
        <f t="shared" ref="AF97:AF102" si="148">INDEX(Conversion_Table,MATCH($AE97,Conversion_Rows,0),MATCH($AG$27,Conversion_Columns,0))</f>
        <v>1.6093473468862911</v>
      </c>
      <c r="AG97" s="216" t="str">
        <f t="shared" ref="AG97:AG102" si="149">$AG$27&amp;"/"&amp;$AE97</f>
        <v>km/mile</v>
      </c>
      <c r="AH97" s="216">
        <f t="shared" ref="AH97:AK102" si="150">AA97*$AF97</f>
        <v>0</v>
      </c>
      <c r="AI97" s="216">
        <f t="shared" si="150"/>
        <v>0</v>
      </c>
      <c r="AJ97" s="216">
        <f t="shared" si="150"/>
        <v>0</v>
      </c>
      <c r="AK97" s="216">
        <f t="shared" si="150"/>
        <v>0</v>
      </c>
      <c r="AL97" s="216"/>
      <c r="AM97" s="1" t="str">
        <f t="shared" ref="AM97:AM102" si="151">D97</f>
        <v>Hazardous Waste to Landfill</v>
      </c>
      <c r="AN97" t="s">
        <v>127</v>
      </c>
      <c r="AO97">
        <f t="shared" ref="AO97:AO102" si="152">VLOOKUP(AM97,Material_Densities,2,FALSE)</f>
        <v>0</v>
      </c>
      <c r="AP97" s="1">
        <f t="shared" ref="AP97:AP102" si="153">IF($E97="",0,$E97)</f>
        <v>0</v>
      </c>
      <c r="AQ97" s="1" t="str">
        <f t="shared" ref="AQ97:AQ102" si="154">F97</f>
        <v>short ton</v>
      </c>
      <c r="AR97" s="1">
        <f t="shared" ref="AR97:AR102" si="155">IFERROR(IF($AN97="M",INDEX(Conversion_Table,MATCH($AQ97,Conversion_Rows,0),MATCH($AT$29,Conversion_Columns,0)),IF($AN97="V",INDEX(Conversion_Table,MATCH($AQ97,Conversion_Rows,0),MATCH("m3",Conversion_Columns,0))*$AO97)),NA())</f>
        <v>0.90718499588591606</v>
      </c>
      <c r="AS97" s="87" t="str">
        <f t="shared" ref="AS97:AS102" si="156">$AT$29&amp;"/"&amp;AQ97</f>
        <v>tonne/short ton</v>
      </c>
      <c r="AT97" s="87">
        <f t="shared" ref="AT97:AT102" si="157">AP97*AR97</f>
        <v>0</v>
      </c>
      <c r="AU97" s="87">
        <f t="shared" ref="AU97:AU102" si="158">INDEX(Conversion_Table,MATCH($AT$29,Conversion_Rows,0),MATCH($AU$29,Conversion_Columns,0))*AT97</f>
        <v>0</v>
      </c>
      <c r="AV97" s="87">
        <f t="shared" ref="AV97:AV102" si="159">$AT97*INDEX(Conversion_Table,MATCH($AT$96,Conversion_Rows,0),MATCH($AV$96,Conversion_Columns,0))</f>
        <v>0</v>
      </c>
      <c r="AW97" s="1" t="str">
        <f t="shared" ref="AW97:AW102" si="160">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161">BM97+CA97+CO97+DC97</f>
        <v>0</v>
      </c>
      <c r="DR97">
        <f t="shared" si="161"/>
        <v>0</v>
      </c>
      <c r="DS97">
        <f t="shared" si="161"/>
        <v>0</v>
      </c>
      <c r="DT97">
        <f t="shared" si="161"/>
        <v>0</v>
      </c>
      <c r="DU97">
        <f t="shared" si="161"/>
        <v>0</v>
      </c>
      <c r="DV97">
        <f t="shared" si="161"/>
        <v>0</v>
      </c>
      <c r="DW97">
        <f t="shared" si="161"/>
        <v>0</v>
      </c>
      <c r="DX97">
        <f t="shared" si="161"/>
        <v>0</v>
      </c>
      <c r="DY97">
        <f t="shared" si="161"/>
        <v>0</v>
      </c>
      <c r="DZ97">
        <f t="shared" si="161"/>
        <v>0</v>
      </c>
      <c r="EA97">
        <f t="shared" si="161"/>
        <v>0</v>
      </c>
      <c r="EB97"/>
      <c r="EC97"/>
      <c r="ED97">
        <f t="shared" ref="ED97:ED102" si="162">BZ97+CN97+DB97+DP97</f>
        <v>0</v>
      </c>
    </row>
    <row r="98" spans="2:134">
      <c r="B98" s="53">
        <f t="shared" si="138"/>
        <v>0</v>
      </c>
      <c r="C98" s="26">
        <f t="shared" si="139"/>
        <v>2</v>
      </c>
      <c r="D98" s="41" t="s">
        <v>648</v>
      </c>
      <c r="E98" s="306"/>
      <c r="F98" s="119" t="str">
        <f t="shared" si="140"/>
        <v>short ton</v>
      </c>
      <c r="G98" s="158">
        <f t="shared" ref="G98:G102" si="163">$AV98</f>
        <v>0</v>
      </c>
      <c r="H98" s="204" t="str">
        <f t="shared" si="141"/>
        <v>short ton</v>
      </c>
      <c r="I98" s="150">
        <f>IF($G$68=0,0,G98/$G$68)</f>
        <v>0</v>
      </c>
      <c r="J98" s="201"/>
      <c r="K98" s="201"/>
      <c r="L98" s="202"/>
      <c r="M98" s="202"/>
      <c r="N98" s="408" t="str">
        <f t="shared" si="143"/>
        <v>mile</v>
      </c>
      <c r="O98" s="12"/>
      <c r="X98" s="65">
        <f t="shared" si="144"/>
        <v>0</v>
      </c>
      <c r="Y98" s="216">
        <f t="shared" si="145"/>
        <v>0</v>
      </c>
      <c r="Z98" s="216">
        <v>2</v>
      </c>
      <c r="AA98" s="216">
        <f t="shared" si="146"/>
        <v>0</v>
      </c>
      <c r="AB98" s="216">
        <f t="shared" si="146"/>
        <v>0</v>
      </c>
      <c r="AC98" s="216">
        <f t="shared" si="146"/>
        <v>0</v>
      </c>
      <c r="AD98" s="216">
        <f t="shared" si="146"/>
        <v>0</v>
      </c>
      <c r="AE98" s="217" t="str">
        <f t="shared" si="147"/>
        <v>mile</v>
      </c>
      <c r="AF98" s="217">
        <f t="shared" si="148"/>
        <v>1.6093473468862911</v>
      </c>
      <c r="AG98" s="216" t="str">
        <f t="shared" si="149"/>
        <v>km/mile</v>
      </c>
      <c r="AH98" s="216">
        <f t="shared" ref="AH98:AK99" si="164">AA98*$AF98</f>
        <v>0</v>
      </c>
      <c r="AI98" s="216">
        <f t="shared" si="164"/>
        <v>0</v>
      </c>
      <c r="AJ98" s="216">
        <f t="shared" si="164"/>
        <v>0</v>
      </c>
      <c r="AK98" s="216">
        <f t="shared" si="164"/>
        <v>0</v>
      </c>
      <c r="AL98" s="216"/>
      <c r="AM98" s="1" t="str">
        <f t="shared" si="151"/>
        <v>Hazardous Waste to Recycling Facility</v>
      </c>
      <c r="AN98" t="s">
        <v>127</v>
      </c>
      <c r="AO98">
        <f t="shared" si="152"/>
        <v>0</v>
      </c>
      <c r="AP98" s="1">
        <f t="shared" si="153"/>
        <v>0</v>
      </c>
      <c r="AQ98" s="1" t="str">
        <f t="shared" si="154"/>
        <v>short ton</v>
      </c>
      <c r="AR98" s="1">
        <f t="shared" si="155"/>
        <v>0.90718499588591606</v>
      </c>
      <c r="AS98" s="87" t="str">
        <f t="shared" si="156"/>
        <v>tonne/short ton</v>
      </c>
      <c r="AT98" s="87">
        <f t="shared" si="157"/>
        <v>0</v>
      </c>
      <c r="AU98" s="87">
        <f t="shared" si="158"/>
        <v>0</v>
      </c>
      <c r="AV98" s="87">
        <f t="shared" si="159"/>
        <v>0</v>
      </c>
      <c r="AW98" s="1" t="str">
        <f t="shared" si="160"/>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161"/>
        <v>0</v>
      </c>
      <c r="DR98">
        <f t="shared" si="161"/>
        <v>0</v>
      </c>
      <c r="DS98">
        <f t="shared" si="161"/>
        <v>0</v>
      </c>
      <c r="DT98">
        <f t="shared" si="161"/>
        <v>0</v>
      </c>
      <c r="DU98">
        <f t="shared" si="161"/>
        <v>0</v>
      </c>
      <c r="DV98">
        <f t="shared" si="161"/>
        <v>0</v>
      </c>
      <c r="DW98">
        <f t="shared" si="161"/>
        <v>0</v>
      </c>
      <c r="DX98">
        <f t="shared" si="161"/>
        <v>0</v>
      </c>
      <c r="DY98">
        <f t="shared" si="161"/>
        <v>0</v>
      </c>
      <c r="DZ98">
        <f t="shared" si="161"/>
        <v>0</v>
      </c>
      <c r="EA98">
        <f t="shared" si="161"/>
        <v>0</v>
      </c>
      <c r="EB98"/>
      <c r="EC98"/>
      <c r="ED98">
        <f t="shared" si="162"/>
        <v>0</v>
      </c>
    </row>
    <row r="99" spans="2:134">
      <c r="B99" s="53">
        <f t="shared" si="138"/>
        <v>0</v>
      </c>
      <c r="C99" s="26">
        <f t="shared" si="139"/>
        <v>3</v>
      </c>
      <c r="D99" s="41" t="s">
        <v>652</v>
      </c>
      <c r="E99" s="306"/>
      <c r="F99" s="119" t="str">
        <f t="shared" si="140"/>
        <v>short ton</v>
      </c>
      <c r="G99" s="158">
        <f t="shared" si="163"/>
        <v>0</v>
      </c>
      <c r="H99" s="204" t="str">
        <f t="shared" si="141"/>
        <v>short ton</v>
      </c>
      <c r="I99" s="150">
        <f>IF($G$68=0,0,G99/$G$68)</f>
        <v>0</v>
      </c>
      <c r="J99" s="201"/>
      <c r="K99" s="201"/>
      <c r="L99" s="202"/>
      <c r="M99" s="202"/>
      <c r="N99" s="408" t="str">
        <f t="shared" si="143"/>
        <v>mile</v>
      </c>
      <c r="O99" s="12"/>
      <c r="X99" s="65">
        <f t="shared" si="144"/>
        <v>0</v>
      </c>
      <c r="Y99" s="216">
        <f t="shared" si="145"/>
        <v>0</v>
      </c>
      <c r="Z99" s="216">
        <v>2</v>
      </c>
      <c r="AA99" s="216">
        <f t="shared" si="146"/>
        <v>0</v>
      </c>
      <c r="AB99" s="216">
        <f t="shared" si="146"/>
        <v>0</v>
      </c>
      <c r="AC99" s="216">
        <f t="shared" si="146"/>
        <v>0</v>
      </c>
      <c r="AD99" s="216">
        <f t="shared" si="146"/>
        <v>0</v>
      </c>
      <c r="AE99" s="217" t="str">
        <f t="shared" si="147"/>
        <v>mile</v>
      </c>
      <c r="AF99" s="217">
        <f t="shared" si="148"/>
        <v>1.6093473468862911</v>
      </c>
      <c r="AG99" s="216" t="str">
        <f t="shared" si="149"/>
        <v>km/mile</v>
      </c>
      <c r="AH99" s="216">
        <f t="shared" si="164"/>
        <v>0</v>
      </c>
      <c r="AI99" s="216">
        <f t="shared" si="164"/>
        <v>0</v>
      </c>
      <c r="AJ99" s="216">
        <f t="shared" si="164"/>
        <v>0</v>
      </c>
      <c r="AK99" s="216">
        <f t="shared" si="164"/>
        <v>0</v>
      </c>
      <c r="AL99" s="216"/>
      <c r="AM99" s="1" t="str">
        <f t="shared" si="151"/>
        <v>Hazardous Waste to Incineration Facility</v>
      </c>
      <c r="AN99" t="s">
        <v>127</v>
      </c>
      <c r="AO99">
        <f t="shared" si="152"/>
        <v>0</v>
      </c>
      <c r="AP99" s="1">
        <f t="shared" si="153"/>
        <v>0</v>
      </c>
      <c r="AQ99" s="1" t="str">
        <f t="shared" si="154"/>
        <v>short ton</v>
      </c>
      <c r="AR99" s="1">
        <f t="shared" si="155"/>
        <v>0.90718499588591606</v>
      </c>
      <c r="AS99" s="87" t="str">
        <f t="shared" si="156"/>
        <v>tonne/short ton</v>
      </c>
      <c r="AT99" s="87">
        <f t="shared" si="157"/>
        <v>0</v>
      </c>
      <c r="AU99" s="87">
        <f t="shared" si="158"/>
        <v>0</v>
      </c>
      <c r="AV99" s="87">
        <f t="shared" si="159"/>
        <v>0</v>
      </c>
      <c r="AW99" s="1" t="str">
        <f t="shared" si="160"/>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161"/>
        <v>0</v>
      </c>
      <c r="DR99">
        <f t="shared" si="161"/>
        <v>0</v>
      </c>
      <c r="DS99">
        <f t="shared" si="161"/>
        <v>0</v>
      </c>
      <c r="DT99">
        <f t="shared" si="161"/>
        <v>0</v>
      </c>
      <c r="DU99">
        <f t="shared" si="161"/>
        <v>0</v>
      </c>
      <c r="DV99">
        <f t="shared" si="161"/>
        <v>0</v>
      </c>
      <c r="DW99">
        <f t="shared" si="161"/>
        <v>0</v>
      </c>
      <c r="DX99">
        <f t="shared" si="161"/>
        <v>0</v>
      </c>
      <c r="DY99">
        <f t="shared" si="161"/>
        <v>0</v>
      </c>
      <c r="DZ99">
        <f t="shared" si="161"/>
        <v>0</v>
      </c>
      <c r="EA99">
        <f t="shared" si="161"/>
        <v>0</v>
      </c>
      <c r="EB99"/>
      <c r="EC99"/>
      <c r="ED99">
        <f t="shared" si="162"/>
        <v>0</v>
      </c>
    </row>
    <row r="100" spans="2:134">
      <c r="B100" s="53">
        <f t="shared" si="138"/>
        <v>0</v>
      </c>
      <c r="C100" s="26">
        <f t="shared" si="139"/>
        <v>4</v>
      </c>
      <c r="D100" s="41" t="s">
        <v>649</v>
      </c>
      <c r="E100" s="306"/>
      <c r="F100" s="119" t="str">
        <f t="shared" si="140"/>
        <v>short ton</v>
      </c>
      <c r="G100" s="158">
        <f t="shared" si="163"/>
        <v>0</v>
      </c>
      <c r="H100" s="204" t="str">
        <f t="shared" si="141"/>
        <v>short ton</v>
      </c>
      <c r="I100" s="150">
        <f t="shared" si="142"/>
        <v>0</v>
      </c>
      <c r="J100" s="201"/>
      <c r="K100" s="201"/>
      <c r="L100" s="202"/>
      <c r="M100" s="202"/>
      <c r="N100" s="408" t="str">
        <f t="shared" si="143"/>
        <v>mile</v>
      </c>
      <c r="O100" s="12"/>
      <c r="X100" s="65">
        <f t="shared" si="144"/>
        <v>0</v>
      </c>
      <c r="Y100" s="216">
        <f t="shared" si="145"/>
        <v>0</v>
      </c>
      <c r="Z100" s="216">
        <v>2</v>
      </c>
      <c r="AA100" s="216">
        <f t="shared" si="146"/>
        <v>0</v>
      </c>
      <c r="AB100" s="216">
        <f t="shared" si="146"/>
        <v>0</v>
      </c>
      <c r="AC100" s="216">
        <f t="shared" si="146"/>
        <v>0</v>
      </c>
      <c r="AD100" s="216">
        <f t="shared" si="146"/>
        <v>0</v>
      </c>
      <c r="AE100" s="217" t="str">
        <f t="shared" si="147"/>
        <v>mile</v>
      </c>
      <c r="AF100" s="217">
        <f t="shared" si="148"/>
        <v>1.6093473468862911</v>
      </c>
      <c r="AG100" s="216" t="str">
        <f t="shared" si="149"/>
        <v>km/mile</v>
      </c>
      <c r="AH100" s="216">
        <f t="shared" si="150"/>
        <v>0</v>
      </c>
      <c r="AI100" s="216">
        <f t="shared" si="150"/>
        <v>0</v>
      </c>
      <c r="AJ100" s="216">
        <f t="shared" si="150"/>
        <v>0</v>
      </c>
      <c r="AK100" s="216">
        <f t="shared" si="150"/>
        <v>0</v>
      </c>
      <c r="AL100" s="216"/>
      <c r="AM100" s="1" t="str">
        <f t="shared" si="151"/>
        <v>Non-Hazardous Waste to Landfill</v>
      </c>
      <c r="AN100" t="s">
        <v>127</v>
      </c>
      <c r="AO100">
        <f t="shared" si="152"/>
        <v>0</v>
      </c>
      <c r="AP100" s="1">
        <f t="shared" si="153"/>
        <v>0</v>
      </c>
      <c r="AQ100" s="1" t="str">
        <f t="shared" si="154"/>
        <v>short ton</v>
      </c>
      <c r="AR100" s="1">
        <f t="shared" si="155"/>
        <v>0.90718499588591606</v>
      </c>
      <c r="AS100" s="87" t="str">
        <f t="shared" si="156"/>
        <v>tonne/short ton</v>
      </c>
      <c r="AT100" s="87">
        <f t="shared" si="157"/>
        <v>0</v>
      </c>
      <c r="AU100" s="87">
        <f t="shared" si="158"/>
        <v>0</v>
      </c>
      <c r="AV100" s="87">
        <f t="shared" si="159"/>
        <v>0</v>
      </c>
      <c r="AW100" s="1" t="str">
        <f t="shared" si="160"/>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161"/>
        <v>0</v>
      </c>
      <c r="DR100">
        <f t="shared" si="161"/>
        <v>0</v>
      </c>
      <c r="DS100">
        <f t="shared" si="161"/>
        <v>0</v>
      </c>
      <c r="DT100">
        <f t="shared" si="161"/>
        <v>0</v>
      </c>
      <c r="DU100">
        <f t="shared" si="161"/>
        <v>0</v>
      </c>
      <c r="DV100">
        <f t="shared" si="161"/>
        <v>0</v>
      </c>
      <c r="DW100">
        <f t="shared" si="161"/>
        <v>0</v>
      </c>
      <c r="DX100">
        <f t="shared" si="161"/>
        <v>0</v>
      </c>
      <c r="DY100">
        <f t="shared" si="161"/>
        <v>0</v>
      </c>
      <c r="DZ100">
        <f t="shared" si="161"/>
        <v>0</v>
      </c>
      <c r="EA100">
        <f t="shared" si="161"/>
        <v>0</v>
      </c>
      <c r="EB100"/>
      <c r="EC100"/>
      <c r="ED100">
        <f t="shared" si="162"/>
        <v>0</v>
      </c>
    </row>
    <row r="101" spans="2:134">
      <c r="B101" s="53">
        <f t="shared" si="138"/>
        <v>0</v>
      </c>
      <c r="C101" s="26">
        <f t="shared" si="139"/>
        <v>5</v>
      </c>
      <c r="D101" s="41" t="s">
        <v>650</v>
      </c>
      <c r="E101" s="306"/>
      <c r="F101" s="119" t="str">
        <f t="shared" si="140"/>
        <v>short ton</v>
      </c>
      <c r="G101" s="158">
        <f t="shared" si="163"/>
        <v>0</v>
      </c>
      <c r="H101" s="204" t="str">
        <f t="shared" si="141"/>
        <v>short ton</v>
      </c>
      <c r="I101" s="150">
        <f>IF($G$68=0,0,G101/$G$68)</f>
        <v>0</v>
      </c>
      <c r="J101" s="201"/>
      <c r="K101" s="201"/>
      <c r="L101" s="202"/>
      <c r="M101" s="202"/>
      <c r="N101" s="408" t="str">
        <f t="shared" si="143"/>
        <v>mile</v>
      </c>
      <c r="O101" s="12"/>
      <c r="X101" s="65">
        <f t="shared" si="144"/>
        <v>0</v>
      </c>
      <c r="Y101" s="216">
        <f t="shared" si="145"/>
        <v>0</v>
      </c>
      <c r="Z101" s="216">
        <v>2</v>
      </c>
      <c r="AA101" s="216">
        <f t="shared" si="146"/>
        <v>0</v>
      </c>
      <c r="AB101" s="216">
        <f t="shared" si="146"/>
        <v>0</v>
      </c>
      <c r="AC101" s="216">
        <f t="shared" si="146"/>
        <v>0</v>
      </c>
      <c r="AD101" s="216">
        <f t="shared" si="146"/>
        <v>0</v>
      </c>
      <c r="AE101" s="217" t="str">
        <f t="shared" si="147"/>
        <v>mile</v>
      </c>
      <c r="AF101" s="217">
        <f t="shared" si="148"/>
        <v>1.6093473468862911</v>
      </c>
      <c r="AG101" s="216" t="str">
        <f t="shared" si="149"/>
        <v>km/mile</v>
      </c>
      <c r="AH101" s="216">
        <f>AA101*$AF101</f>
        <v>0</v>
      </c>
      <c r="AI101" s="216">
        <f>AB101*$AF101</f>
        <v>0</v>
      </c>
      <c r="AJ101" s="216">
        <f>AC101*$AF101</f>
        <v>0</v>
      </c>
      <c r="AK101" s="216">
        <f>AD101*$AF101</f>
        <v>0</v>
      </c>
      <c r="AL101" s="216"/>
      <c r="AM101" s="1" t="str">
        <f t="shared" si="151"/>
        <v>Non-Hazardous Waste to Recycling Facility</v>
      </c>
      <c r="AN101" t="s">
        <v>127</v>
      </c>
      <c r="AO101">
        <f t="shared" si="152"/>
        <v>0</v>
      </c>
      <c r="AP101" s="1">
        <f t="shared" si="153"/>
        <v>0</v>
      </c>
      <c r="AQ101" s="1" t="str">
        <f t="shared" si="154"/>
        <v>short ton</v>
      </c>
      <c r="AR101" s="1">
        <f t="shared" si="155"/>
        <v>0.90718499588591606</v>
      </c>
      <c r="AS101" s="87" t="str">
        <f t="shared" si="156"/>
        <v>tonne/short ton</v>
      </c>
      <c r="AT101" s="87">
        <f t="shared" si="157"/>
        <v>0</v>
      </c>
      <c r="AU101" s="87">
        <f t="shared" si="158"/>
        <v>0</v>
      </c>
      <c r="AV101" s="87">
        <f t="shared" si="159"/>
        <v>0</v>
      </c>
      <c r="AW101" s="1" t="str">
        <f t="shared" si="160"/>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161"/>
        <v>0</v>
      </c>
      <c r="DR101">
        <f t="shared" si="161"/>
        <v>0</v>
      </c>
      <c r="DS101">
        <f t="shared" si="161"/>
        <v>0</v>
      </c>
      <c r="DT101">
        <f t="shared" si="161"/>
        <v>0</v>
      </c>
      <c r="DU101">
        <f t="shared" si="161"/>
        <v>0</v>
      </c>
      <c r="DV101">
        <f t="shared" si="161"/>
        <v>0</v>
      </c>
      <c r="DW101">
        <f t="shared" si="161"/>
        <v>0</v>
      </c>
      <c r="DX101">
        <f t="shared" si="161"/>
        <v>0</v>
      </c>
      <c r="DY101">
        <f t="shared" si="161"/>
        <v>0</v>
      </c>
      <c r="DZ101">
        <f t="shared" si="161"/>
        <v>0</v>
      </c>
      <c r="EA101">
        <f t="shared" si="161"/>
        <v>0</v>
      </c>
      <c r="EB101"/>
      <c r="EC101"/>
      <c r="ED101">
        <f t="shared" si="162"/>
        <v>0</v>
      </c>
    </row>
    <row r="102" spans="2:134" ht="16" thickBot="1">
      <c r="B102" s="53">
        <f t="shared" si="138"/>
        <v>0</v>
      </c>
      <c r="C102" s="32">
        <f t="shared" si="139"/>
        <v>6</v>
      </c>
      <c r="D102" s="363" t="s">
        <v>651</v>
      </c>
      <c r="E102" s="486"/>
      <c r="F102" s="235" t="str">
        <f t="shared" si="140"/>
        <v>short ton</v>
      </c>
      <c r="G102" s="158">
        <f t="shared" si="163"/>
        <v>0</v>
      </c>
      <c r="H102" s="227" t="str">
        <f t="shared" si="141"/>
        <v>short ton</v>
      </c>
      <c r="I102" s="229">
        <f t="shared" si="142"/>
        <v>0</v>
      </c>
      <c r="J102" s="232"/>
      <c r="K102" s="232"/>
      <c r="L102" s="232"/>
      <c r="M102" s="232"/>
      <c r="N102" s="411" t="str">
        <f t="shared" si="143"/>
        <v>mile</v>
      </c>
      <c r="O102" s="12"/>
      <c r="X102" s="65">
        <f t="shared" si="144"/>
        <v>0</v>
      </c>
      <c r="Y102" s="216">
        <f t="shared" si="145"/>
        <v>0</v>
      </c>
      <c r="Z102" s="216">
        <v>2</v>
      </c>
      <c r="AA102" s="216">
        <f t="shared" si="146"/>
        <v>0</v>
      </c>
      <c r="AB102" s="216">
        <f t="shared" si="146"/>
        <v>0</v>
      </c>
      <c r="AC102" s="216">
        <f t="shared" si="146"/>
        <v>0</v>
      </c>
      <c r="AD102" s="216">
        <f t="shared" si="146"/>
        <v>0</v>
      </c>
      <c r="AE102" s="217" t="str">
        <f t="shared" si="147"/>
        <v>mile</v>
      </c>
      <c r="AF102" s="217">
        <f t="shared" si="148"/>
        <v>1.6093473468862911</v>
      </c>
      <c r="AG102" s="216" t="str">
        <f t="shared" si="149"/>
        <v>km/mile</v>
      </c>
      <c r="AH102" s="216">
        <f t="shared" si="150"/>
        <v>0</v>
      </c>
      <c r="AI102" s="216">
        <f t="shared" si="150"/>
        <v>0</v>
      </c>
      <c r="AJ102" s="216">
        <f t="shared" si="150"/>
        <v>0</v>
      </c>
      <c r="AK102" s="216">
        <f t="shared" si="150"/>
        <v>0</v>
      </c>
      <c r="AL102" s="216"/>
      <c r="AM102" s="1" t="str">
        <f t="shared" si="151"/>
        <v>Non-Hazardous Waste to Incineration Facility</v>
      </c>
      <c r="AN102" t="s">
        <v>127</v>
      </c>
      <c r="AO102">
        <f t="shared" si="152"/>
        <v>0</v>
      </c>
      <c r="AP102" s="1">
        <f t="shared" si="153"/>
        <v>0</v>
      </c>
      <c r="AQ102" s="1" t="str">
        <f t="shared" si="154"/>
        <v>short ton</v>
      </c>
      <c r="AR102" s="1">
        <f t="shared" si="155"/>
        <v>0.90718499588591606</v>
      </c>
      <c r="AS102" s="87" t="str">
        <f t="shared" si="156"/>
        <v>tonne/short ton</v>
      </c>
      <c r="AT102" s="87">
        <f t="shared" si="157"/>
        <v>0</v>
      </c>
      <c r="AU102" s="87">
        <f t="shared" si="158"/>
        <v>0</v>
      </c>
      <c r="AV102" s="87">
        <f t="shared" si="159"/>
        <v>0</v>
      </c>
      <c r="AW102" s="1" t="str">
        <f t="shared" si="160"/>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161"/>
        <v>0</v>
      </c>
      <c r="DR102">
        <f t="shared" si="161"/>
        <v>0</v>
      </c>
      <c r="DS102">
        <f t="shared" si="161"/>
        <v>0</v>
      </c>
      <c r="DT102">
        <f t="shared" si="161"/>
        <v>0</v>
      </c>
      <c r="DU102">
        <f t="shared" si="161"/>
        <v>0</v>
      </c>
      <c r="DV102">
        <f t="shared" si="161"/>
        <v>0</v>
      </c>
      <c r="DW102">
        <f t="shared" si="161"/>
        <v>0</v>
      </c>
      <c r="DX102">
        <f t="shared" si="161"/>
        <v>0</v>
      </c>
      <c r="DY102">
        <f t="shared" si="161"/>
        <v>0</v>
      </c>
      <c r="DZ102">
        <f t="shared" si="161"/>
        <v>0</v>
      </c>
      <c r="EA102">
        <f t="shared" si="161"/>
        <v>0</v>
      </c>
      <c r="EB102"/>
      <c r="EC102"/>
      <c r="ED102">
        <f t="shared" si="162"/>
        <v>0</v>
      </c>
    </row>
    <row r="103" spans="2:134" ht="16" thickBot="1">
      <c r="D103"/>
      <c r="E103" s="487"/>
      <c r="F103" s="488" t="s">
        <v>671</v>
      </c>
      <c r="G103" s="489">
        <f>IF(SUM($G$97:$G$102)=0,0,($G$98+$G$99+$G$101+$G$102)/SUM($G$97:$G$102))</f>
        <v>0</v>
      </c>
      <c r="H103"/>
      <c r="I103"/>
      <c r="J103"/>
      <c r="K103"/>
      <c r="L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165">SUM(AY97:AY102)</f>
        <v>0</v>
      </c>
      <c r="AZ103" s="313">
        <f t="shared" si="165"/>
        <v>0</v>
      </c>
      <c r="BA103" s="313">
        <f t="shared" si="165"/>
        <v>0</v>
      </c>
      <c r="BB103" s="313">
        <f t="shared" si="165"/>
        <v>0</v>
      </c>
      <c r="BC103" s="313">
        <f t="shared" si="165"/>
        <v>0</v>
      </c>
      <c r="BD103" s="313">
        <f t="shared" si="165"/>
        <v>0</v>
      </c>
      <c r="BE103" s="313">
        <f t="shared" si="165"/>
        <v>0</v>
      </c>
      <c r="BF103" s="313">
        <f t="shared" si="165"/>
        <v>0</v>
      </c>
      <c r="BG103" s="313">
        <f t="shared" si="165"/>
        <v>0</v>
      </c>
      <c r="BH103" s="313">
        <f t="shared" si="165"/>
        <v>0</v>
      </c>
      <c r="BI103" s="313">
        <f t="shared" ref="BI103:BJ103" si="166">SUM(BI97:BI102)</f>
        <v>0</v>
      </c>
      <c r="BJ103" s="313">
        <f t="shared" si="166"/>
        <v>0</v>
      </c>
      <c r="BK103" s="313">
        <f t="shared" si="165"/>
        <v>0</v>
      </c>
      <c r="BM103">
        <f t="shared" ref="BM103:DQ103" si="167">SUM(BM97:BM102)</f>
        <v>0</v>
      </c>
      <c r="BN103">
        <f t="shared" ref="BN103:BQ103" si="168">SUM(BN97:BN102)</f>
        <v>0</v>
      </c>
      <c r="BO103">
        <f t="shared" si="168"/>
        <v>0</v>
      </c>
      <c r="BP103">
        <f t="shared" si="168"/>
        <v>0</v>
      </c>
      <c r="BQ103">
        <f t="shared" si="168"/>
        <v>0</v>
      </c>
      <c r="BR103">
        <f t="shared" si="167"/>
        <v>0</v>
      </c>
      <c r="BS103">
        <f t="shared" ref="BS103:BW103" si="169">SUM(BS97:BS102)</f>
        <v>0</v>
      </c>
      <c r="BT103">
        <f t="shared" si="169"/>
        <v>0</v>
      </c>
      <c r="BU103">
        <f t="shared" si="169"/>
        <v>0</v>
      </c>
      <c r="BV103">
        <f t="shared" si="169"/>
        <v>0</v>
      </c>
      <c r="BW103">
        <f t="shared" si="169"/>
        <v>0</v>
      </c>
      <c r="BX103">
        <f t="shared" ref="BX103:BY103" si="170">SUM(BX97:BX102)</f>
        <v>0</v>
      </c>
      <c r="BY103">
        <f t="shared" si="170"/>
        <v>0</v>
      </c>
      <c r="BZ103">
        <f t="shared" si="167"/>
        <v>0</v>
      </c>
      <c r="CA103">
        <f t="shared" si="167"/>
        <v>0</v>
      </c>
      <c r="CB103">
        <f t="shared" ref="CB103:CN103" si="171">SUM(CB97:CB102)</f>
        <v>0</v>
      </c>
      <c r="CC103">
        <f t="shared" si="171"/>
        <v>0</v>
      </c>
      <c r="CD103">
        <f t="shared" si="171"/>
        <v>0</v>
      </c>
      <c r="CE103">
        <f t="shared" si="171"/>
        <v>0</v>
      </c>
      <c r="CF103">
        <f t="shared" si="171"/>
        <v>0</v>
      </c>
      <c r="CG103">
        <f t="shared" si="171"/>
        <v>0</v>
      </c>
      <c r="CH103">
        <f t="shared" si="171"/>
        <v>0</v>
      </c>
      <c r="CI103">
        <f t="shared" si="171"/>
        <v>0</v>
      </c>
      <c r="CJ103">
        <f t="shared" si="171"/>
        <v>0</v>
      </c>
      <c r="CK103">
        <f t="shared" si="171"/>
        <v>0</v>
      </c>
      <c r="CL103">
        <f t="shared" ref="CL103:CM103" si="172">SUM(CL97:CL102)</f>
        <v>0</v>
      </c>
      <c r="CM103">
        <f t="shared" si="172"/>
        <v>0</v>
      </c>
      <c r="CN103">
        <f t="shared" si="171"/>
        <v>0</v>
      </c>
      <c r="CO103">
        <f t="shared" ref="CO103:DP103" si="173">SUM(CO97:CO102)</f>
        <v>0</v>
      </c>
      <c r="CP103">
        <f t="shared" si="173"/>
        <v>0</v>
      </c>
      <c r="CQ103">
        <f t="shared" si="173"/>
        <v>0</v>
      </c>
      <c r="CR103">
        <f t="shared" si="173"/>
        <v>0</v>
      </c>
      <c r="CS103">
        <f t="shared" si="173"/>
        <v>0</v>
      </c>
      <c r="CT103">
        <f t="shared" si="173"/>
        <v>0</v>
      </c>
      <c r="CU103">
        <f t="shared" si="173"/>
        <v>0</v>
      </c>
      <c r="CV103">
        <f t="shared" si="173"/>
        <v>0</v>
      </c>
      <c r="CW103">
        <f t="shared" si="173"/>
        <v>0</v>
      </c>
      <c r="CX103">
        <f t="shared" si="173"/>
        <v>0</v>
      </c>
      <c r="CY103">
        <f t="shared" si="173"/>
        <v>0</v>
      </c>
      <c r="CZ103">
        <f t="shared" ref="CZ103:DA103" si="174">SUM(CZ97:CZ102)</f>
        <v>0</v>
      </c>
      <c r="DA103">
        <f t="shared" si="174"/>
        <v>0</v>
      </c>
      <c r="DB103">
        <f t="shared" si="173"/>
        <v>0</v>
      </c>
      <c r="DC103">
        <f t="shared" si="173"/>
        <v>0</v>
      </c>
      <c r="DD103">
        <f t="shared" si="173"/>
        <v>0</v>
      </c>
      <c r="DE103">
        <f t="shared" si="173"/>
        <v>0</v>
      </c>
      <c r="DF103">
        <f t="shared" si="173"/>
        <v>0</v>
      </c>
      <c r="DG103">
        <f t="shared" si="173"/>
        <v>0</v>
      </c>
      <c r="DH103">
        <f t="shared" si="173"/>
        <v>0</v>
      </c>
      <c r="DI103">
        <f t="shared" si="173"/>
        <v>0</v>
      </c>
      <c r="DJ103">
        <f t="shared" si="173"/>
        <v>0</v>
      </c>
      <c r="DK103">
        <f t="shared" si="173"/>
        <v>0</v>
      </c>
      <c r="DL103">
        <f t="shared" si="173"/>
        <v>0</v>
      </c>
      <c r="DM103">
        <f t="shared" si="173"/>
        <v>0</v>
      </c>
      <c r="DN103">
        <f t="shared" ref="DN103:DO103" si="175">SUM(DN97:DN102)</f>
        <v>0</v>
      </c>
      <c r="DO103">
        <f t="shared" si="175"/>
        <v>0</v>
      </c>
      <c r="DP103">
        <f t="shared" si="173"/>
        <v>0</v>
      </c>
      <c r="DQ103" s="12">
        <f t="shared" si="167"/>
        <v>0</v>
      </c>
      <c r="DR103" s="12">
        <f t="shared" ref="DR103:ED103" si="176">SUM(DR97:DR102)</f>
        <v>0</v>
      </c>
      <c r="DS103" s="12">
        <f t="shared" si="176"/>
        <v>0</v>
      </c>
      <c r="DT103" s="12">
        <f t="shared" si="176"/>
        <v>0</v>
      </c>
      <c r="DU103" s="12">
        <f t="shared" si="176"/>
        <v>0</v>
      </c>
      <c r="DV103" s="12">
        <f t="shared" si="176"/>
        <v>0</v>
      </c>
      <c r="DW103" s="12">
        <f t="shared" si="176"/>
        <v>0</v>
      </c>
      <c r="DX103" s="12">
        <f t="shared" si="176"/>
        <v>0</v>
      </c>
      <c r="DY103" s="12">
        <f t="shared" si="176"/>
        <v>0</v>
      </c>
      <c r="DZ103" s="12">
        <f t="shared" si="176"/>
        <v>0</v>
      </c>
      <c r="EA103" s="12">
        <f t="shared" si="176"/>
        <v>0</v>
      </c>
      <c r="ED103" s="12">
        <f t="shared" si="176"/>
        <v>0</v>
      </c>
    </row>
    <row r="104" spans="2:134">
      <c r="L104" s="13"/>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177">DW103-BS108</f>
        <v>0</v>
      </c>
      <c r="DA104" s="318">
        <f t="shared" si="177"/>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ht="16" thickBot="1">
      <c r="L105" s="13"/>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s="682" t="s">
        <v>7</v>
      </c>
      <c r="D106" s="683"/>
      <c r="E106" s="683"/>
      <c r="F106" s="683"/>
      <c r="G106" s="683"/>
      <c r="H106" s="683"/>
      <c r="I106" s="683"/>
      <c r="J106" s="683"/>
      <c r="K106" s="684"/>
      <c r="L106" s="13"/>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s="679" t="s">
        <v>120</v>
      </c>
      <c r="D107" s="680"/>
      <c r="E107" s="680"/>
      <c r="F107" s="680"/>
      <c r="G107" s="680"/>
      <c r="H107" s="680"/>
      <c r="I107" s="680"/>
      <c r="J107" s="680"/>
      <c r="K107" s="681"/>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s="679" t="s">
        <v>460</v>
      </c>
      <c r="D108" s="680"/>
      <c r="E108" s="680"/>
      <c r="F108" s="680"/>
      <c r="G108" s="680"/>
      <c r="H108" s="680"/>
      <c r="I108" s="680"/>
      <c r="J108" s="680"/>
      <c r="K108" s="681"/>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W108" si="178">BM$103+CA$103+CO$103+DC$103</f>
        <v>0</v>
      </c>
      <c r="BN108" s="570">
        <f t="shared" si="178"/>
        <v>0</v>
      </c>
      <c r="BO108" s="570">
        <f t="shared" si="178"/>
        <v>0</v>
      </c>
      <c r="BP108" s="570">
        <f t="shared" si="178"/>
        <v>0</v>
      </c>
      <c r="BQ108" s="570">
        <f t="shared" si="178"/>
        <v>0</v>
      </c>
      <c r="BR108" s="570">
        <f t="shared" si="178"/>
        <v>0</v>
      </c>
      <c r="BS108" s="570">
        <f t="shared" si="178"/>
        <v>0</v>
      </c>
      <c r="BT108" s="570">
        <f t="shared" si="178"/>
        <v>0</v>
      </c>
      <c r="BU108" s="570">
        <f t="shared" si="178"/>
        <v>0</v>
      </c>
      <c r="BV108" s="570">
        <f t="shared" si="178"/>
        <v>0</v>
      </c>
      <c r="BW108" s="570">
        <f t="shared" si="178"/>
        <v>0</v>
      </c>
      <c r="BX108" s="570">
        <f t="shared" ref="BX108:BY108" si="179">BX$103+CL$103+CZ$103+DN$103</f>
        <v>0</v>
      </c>
      <c r="BY108" s="570">
        <f t="shared" si="179"/>
        <v>0</v>
      </c>
      <c r="BZ108" s="570">
        <f>BZ$103+CN$103+DB$103+DP$103</f>
        <v>0</v>
      </c>
      <c r="CA108"/>
      <c r="CB108"/>
      <c r="CC108"/>
      <c r="CD108"/>
      <c r="CE108"/>
      <c r="CF108"/>
      <c r="CG108"/>
      <c r="CH108"/>
    </row>
    <row r="109" spans="2:134" s="60" customFormat="1" ht="15" customHeight="1">
      <c r="B109" s="58"/>
      <c r="C109" s="679" t="s">
        <v>119</v>
      </c>
      <c r="D109" s="680"/>
      <c r="E109" s="680"/>
      <c r="F109" s="680"/>
      <c r="G109" s="680"/>
      <c r="H109" s="680"/>
      <c r="I109" s="680"/>
      <c r="J109" s="680"/>
      <c r="K109" s="681"/>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ht="16" thickBot="1">
      <c r="B110" s="58"/>
      <c r="C110" s="676" t="s">
        <v>338</v>
      </c>
      <c r="D110" s="677"/>
      <c r="E110" s="677"/>
      <c r="F110" s="677"/>
      <c r="G110" s="677"/>
      <c r="H110" s="677"/>
      <c r="I110" s="677"/>
      <c r="J110" s="677"/>
      <c r="K110" s="678"/>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row r="113" spans="2:73" s="63" customFormat="1" ht="15" customHeight="1">
      <c r="B113" s="61"/>
      <c r="C113" s="12"/>
      <c r="D113" s="12"/>
      <c r="E113" s="12"/>
      <c r="F113" s="12"/>
      <c r="G113" s="12"/>
      <c r="H113" s="12"/>
      <c r="I113" s="12"/>
      <c r="J113" s="12"/>
      <c r="K113" s="12"/>
      <c r="L113" s="62"/>
      <c r="M113" s="62"/>
      <c r="N113" s="62"/>
      <c r="O113" s="62"/>
      <c r="P113"/>
      <c r="Q113"/>
      <c r="R113"/>
      <c r="S113"/>
      <c r="T113"/>
      <c r="U113"/>
      <c r="V113"/>
      <c r="W113"/>
      <c r="X113" s="69"/>
      <c r="Y113" s="62"/>
      <c r="Z113" s="62"/>
      <c r="AA113" s="62"/>
      <c r="AB113" s="62"/>
      <c r="AC113" s="62"/>
      <c r="AD113" s="62"/>
      <c r="AE113" s="62"/>
      <c r="AF113" s="62"/>
      <c r="AG113" s="62"/>
      <c r="AH113" s="62"/>
      <c r="AI113" s="62"/>
      <c r="AJ113" s="62"/>
      <c r="AK113" s="62"/>
      <c r="AL113" s="62"/>
      <c r="AM113" s="1"/>
      <c r="AN113"/>
      <c r="AO113"/>
      <c r="AP113"/>
      <c r="AQ113" s="87"/>
      <c r="AR113"/>
      <c r="AS113"/>
      <c r="AT113"/>
      <c r="AU113"/>
      <c r="AV113"/>
      <c r="AW113"/>
      <c r="AX113"/>
      <c r="AY113"/>
      <c r="AZ113"/>
      <c r="BA113"/>
      <c r="BB113"/>
      <c r="BC113"/>
      <c r="BD113"/>
      <c r="BE113"/>
      <c r="BF113"/>
      <c r="BG113"/>
      <c r="BH113"/>
      <c r="BI113"/>
      <c r="BJ113"/>
      <c r="BK113"/>
      <c r="BL113"/>
      <c r="BM113"/>
      <c r="BN113"/>
      <c r="BO113"/>
      <c r="BP113"/>
      <c r="BQ113"/>
      <c r="BR113"/>
      <c r="BS113"/>
      <c r="BT113"/>
      <c r="BU113"/>
    </row>
    <row r="114" spans="2:73" s="63" customFormat="1" ht="15" customHeight="1">
      <c r="B114" s="61"/>
      <c r="C114" s="12"/>
      <c r="D114" s="12"/>
      <c r="E114" s="12"/>
      <c r="F114" s="12"/>
      <c r="G114" s="12"/>
      <c r="H114" s="12"/>
      <c r="I114" s="12"/>
      <c r="J114" s="12"/>
      <c r="K114" s="12"/>
      <c r="L114" s="62"/>
      <c r="M114" s="62"/>
      <c r="N114" s="62"/>
      <c r="O114" s="62"/>
      <c r="P114"/>
      <c r="Q114"/>
      <c r="R114"/>
      <c r="S114"/>
      <c r="T114"/>
      <c r="U114"/>
      <c r="V114"/>
      <c r="W114"/>
      <c r="X114" s="69"/>
      <c r="Y114" s="62"/>
      <c r="Z114" s="62"/>
      <c r="AA114" s="62"/>
      <c r="AB114" s="62"/>
      <c r="AC114" s="62"/>
      <c r="AD114" s="62"/>
      <c r="AE114" s="62"/>
      <c r="AF114" s="62"/>
      <c r="AG114" s="62"/>
      <c r="AH114" s="62"/>
      <c r="AI114" s="62"/>
      <c r="AJ114" s="62"/>
      <c r="AK114" s="62"/>
      <c r="AL114" s="62"/>
      <c r="AM114" s="1"/>
      <c r="AN114"/>
      <c r="AO114"/>
      <c r="AP114"/>
      <c r="AQ114" s="87"/>
      <c r="AR114"/>
      <c r="AS114"/>
      <c r="AT114"/>
      <c r="AU114"/>
      <c r="AV114"/>
      <c r="AW114"/>
      <c r="AX114"/>
      <c r="AY114"/>
      <c r="AZ114"/>
      <c r="BA114"/>
      <c r="BB114"/>
      <c r="BC114"/>
      <c r="BD114"/>
      <c r="BE114"/>
      <c r="BF114"/>
      <c r="BG114"/>
      <c r="BH114"/>
      <c r="BI114"/>
      <c r="BJ114"/>
      <c r="BK114"/>
      <c r="BL114"/>
      <c r="BM114"/>
      <c r="BN114"/>
      <c r="BO114"/>
      <c r="BP114"/>
      <c r="BQ114"/>
      <c r="BR114"/>
      <c r="BS114"/>
      <c r="BT114"/>
      <c r="BU114"/>
    </row>
    <row r="115" spans="2:73" s="63" customFormat="1" ht="15" customHeight="1">
      <c r="B115" s="61"/>
      <c r="C115" s="12"/>
      <c r="D115" s="12"/>
      <c r="E115" s="12"/>
      <c r="F115" s="12"/>
      <c r="G115" s="12"/>
      <c r="H115" s="12"/>
      <c r="I115" s="12"/>
      <c r="J115" s="12"/>
      <c r="K115" s="12"/>
      <c r="L115" s="62"/>
      <c r="M115" s="62"/>
      <c r="N115" s="62"/>
      <c r="O115" s="62"/>
      <c r="P115"/>
      <c r="Q115"/>
      <c r="R115"/>
      <c r="S115"/>
      <c r="T115"/>
      <c r="U115"/>
      <c r="V115"/>
      <c r="W115"/>
      <c r="X115" s="69"/>
      <c r="Y115" s="62"/>
      <c r="Z115" s="62"/>
      <c r="AA115" s="62"/>
      <c r="AB115" s="62"/>
      <c r="AC115" s="62"/>
      <c r="AD115" s="62"/>
      <c r="AE115" s="62"/>
      <c r="AF115" s="62"/>
      <c r="AG115" s="62"/>
      <c r="AH115" s="62"/>
      <c r="AI115" s="62"/>
      <c r="AJ115" s="62"/>
      <c r="AK115" s="62"/>
      <c r="AL115" s="62"/>
      <c r="AM115" s="1"/>
      <c r="AN115"/>
      <c r="AO115"/>
      <c r="AP115"/>
      <c r="AQ115" s="87"/>
      <c r="AR115"/>
      <c r="AS115"/>
      <c r="AT115"/>
      <c r="AU115"/>
      <c r="AV115"/>
      <c r="AW115"/>
      <c r="AX115"/>
      <c r="AY115"/>
      <c r="AZ115"/>
      <c r="BA115"/>
      <c r="BB115"/>
      <c r="BC115"/>
      <c r="BD115"/>
      <c r="BE115"/>
      <c r="BF115"/>
      <c r="BG115"/>
      <c r="BH115"/>
      <c r="BI115"/>
      <c r="BJ115"/>
      <c r="BK115"/>
      <c r="BL115"/>
      <c r="BM115"/>
      <c r="BN115"/>
      <c r="BO115"/>
      <c r="BP115"/>
      <c r="BQ115"/>
      <c r="BR115"/>
      <c r="BS115"/>
      <c r="BT115"/>
      <c r="BU115"/>
    </row>
    <row r="116" spans="2:73" s="63" customFormat="1">
      <c r="B116" s="61"/>
      <c r="C116" s="12"/>
      <c r="D116" s="12"/>
      <c r="E116" s="12"/>
      <c r="F116" s="12"/>
      <c r="G116" s="12"/>
      <c r="H116" s="12"/>
      <c r="I116" s="12"/>
      <c r="J116" s="12"/>
      <c r="K116" s="12"/>
      <c r="L116" s="62"/>
      <c r="M116" s="62"/>
      <c r="N116" s="62"/>
      <c r="O116" s="62"/>
      <c r="P116"/>
      <c r="Q116"/>
      <c r="R116"/>
      <c r="S116"/>
      <c r="T116"/>
      <c r="U116"/>
      <c r="V116"/>
      <c r="W116"/>
      <c r="X116" s="69"/>
      <c r="Y116" s="62"/>
      <c r="Z116" s="62"/>
      <c r="AA116" s="62"/>
      <c r="AB116" s="62"/>
      <c r="AC116" s="62"/>
      <c r="AD116" s="62"/>
      <c r="AE116" s="62"/>
      <c r="AF116" s="62"/>
      <c r="AG116" s="62"/>
      <c r="AH116" s="62"/>
      <c r="AI116" s="62"/>
      <c r="AJ116" s="62"/>
      <c r="AK116" s="62"/>
      <c r="AL116" s="62"/>
      <c r="AM116" s="1"/>
      <c r="AN116"/>
      <c r="AO116"/>
      <c r="AP116"/>
      <c r="AQ116" s="87"/>
      <c r="AR116"/>
      <c r="AS116"/>
      <c r="AT116"/>
      <c r="AU116"/>
      <c r="AV116"/>
      <c r="AW116"/>
      <c r="AX116"/>
      <c r="AY116"/>
      <c r="AZ116"/>
      <c r="BA116"/>
      <c r="BB116"/>
      <c r="BC116"/>
      <c r="BD116"/>
      <c r="BE116"/>
      <c r="BF116"/>
      <c r="BG116"/>
      <c r="BH116"/>
      <c r="BI116"/>
      <c r="BJ116"/>
      <c r="BK116"/>
      <c r="BL116"/>
      <c r="BM116"/>
      <c r="BN116"/>
      <c r="BO116"/>
      <c r="BP116"/>
      <c r="BQ116"/>
      <c r="BR116"/>
      <c r="BS116"/>
      <c r="BT116"/>
      <c r="BU116"/>
    </row>
    <row r="117" spans="2:73" s="63" customFormat="1" ht="15" customHeight="1">
      <c r="B117" s="61"/>
      <c r="C117" s="12"/>
      <c r="D117" s="12"/>
      <c r="E117" s="12"/>
      <c r="F117" s="12"/>
      <c r="G117" s="12"/>
      <c r="H117" s="12"/>
      <c r="I117" s="12"/>
      <c r="J117" s="12"/>
      <c r="K117" s="12"/>
      <c r="L117" s="62"/>
      <c r="M117" s="62"/>
      <c r="N117" s="62"/>
      <c r="O117" s="62"/>
      <c r="P117"/>
      <c r="Q117"/>
      <c r="R117"/>
      <c r="S117"/>
      <c r="T117"/>
      <c r="U117"/>
      <c r="V117"/>
      <c r="W117"/>
      <c r="X117" s="69"/>
      <c r="Y117" s="62"/>
      <c r="Z117" s="62"/>
      <c r="AA117" s="62"/>
      <c r="AB117" s="62"/>
      <c r="AC117" s="62"/>
      <c r="AD117" s="62"/>
      <c r="AE117" s="62"/>
      <c r="AF117" s="62"/>
      <c r="AG117" s="62"/>
      <c r="AH117" s="62"/>
      <c r="AI117" s="62"/>
      <c r="AJ117" s="62"/>
      <c r="AK117" s="62"/>
      <c r="AL117" s="62"/>
      <c r="AM117" s="1"/>
      <c r="AN117"/>
      <c r="AO117"/>
      <c r="AP117"/>
      <c r="AQ117" s="87"/>
      <c r="AR117"/>
      <c r="AS117"/>
      <c r="AT117"/>
      <c r="AU117"/>
      <c r="AV117"/>
      <c r="AW117"/>
      <c r="AX117"/>
      <c r="AY117"/>
      <c r="AZ117"/>
      <c r="BA117"/>
      <c r="BB117"/>
      <c r="BC117"/>
      <c r="BD117"/>
      <c r="BE117"/>
      <c r="BF117"/>
      <c r="BG117"/>
      <c r="BH117"/>
      <c r="BI117"/>
      <c r="BJ117"/>
      <c r="BK117"/>
      <c r="BL117"/>
      <c r="BM117"/>
      <c r="BN117"/>
      <c r="BO117"/>
      <c r="BP117"/>
      <c r="BQ117"/>
      <c r="BR117"/>
      <c r="BS117"/>
      <c r="BT117"/>
      <c r="BU117"/>
    </row>
    <row r="118" spans="2:73" s="63" customFormat="1" ht="15" customHeight="1">
      <c r="B118" s="61"/>
      <c r="C118" s="12"/>
      <c r="D118" s="12"/>
      <c r="E118" s="12"/>
      <c r="F118" s="12"/>
      <c r="G118" s="12"/>
      <c r="H118" s="12"/>
      <c r="I118" s="12"/>
      <c r="J118" s="12"/>
      <c r="K118" s="12"/>
      <c r="L118" s="62"/>
      <c r="M118" s="62"/>
      <c r="N118" s="62"/>
      <c r="O118" s="62"/>
      <c r="P118"/>
      <c r="Q118"/>
      <c r="R118"/>
      <c r="S118"/>
      <c r="T118"/>
      <c r="U118"/>
      <c r="V118"/>
      <c r="W118"/>
      <c r="X118" s="69"/>
      <c r="Y118" s="62"/>
      <c r="Z118" s="62"/>
      <c r="AA118" s="62"/>
      <c r="AB118" s="62"/>
      <c r="AC118" s="62"/>
      <c r="AD118" s="62"/>
      <c r="AE118" s="62"/>
      <c r="AF118" s="62"/>
      <c r="AG118" s="62"/>
      <c r="AH118" s="62"/>
      <c r="AI118" s="62"/>
      <c r="AJ118" s="62"/>
      <c r="AK118" s="62"/>
      <c r="AL118" s="62"/>
      <c r="AM118" s="1"/>
      <c r="AN118"/>
      <c r="AO118"/>
      <c r="AP118"/>
      <c r="AQ118" s="87"/>
      <c r="AR118"/>
      <c r="AS118"/>
      <c r="AT118"/>
      <c r="AU118"/>
      <c r="AV118"/>
      <c r="AW118"/>
      <c r="AX118"/>
      <c r="AY118"/>
      <c r="AZ118"/>
      <c r="BA118"/>
      <c r="BB118"/>
      <c r="BC118"/>
      <c r="BD118"/>
      <c r="BE118"/>
      <c r="BF118"/>
      <c r="BG118"/>
      <c r="BH118"/>
      <c r="BI118"/>
      <c r="BJ118"/>
      <c r="BK118"/>
      <c r="BL118"/>
      <c r="BM118"/>
      <c r="BN118"/>
      <c r="BO118"/>
      <c r="BP118"/>
      <c r="BQ118"/>
      <c r="BR118"/>
      <c r="BS118"/>
      <c r="BT118"/>
      <c r="BU118"/>
    </row>
    <row r="119" spans="2:73" s="63" customFormat="1" ht="15" customHeight="1">
      <c r="B119" s="61"/>
      <c r="C119" s="12"/>
      <c r="D119" s="12"/>
      <c r="E119" s="12"/>
      <c r="F119" s="12"/>
      <c r="G119" s="12"/>
      <c r="H119" s="12"/>
      <c r="I119" s="12"/>
      <c r="J119" s="12"/>
      <c r="K119" s="12"/>
      <c r="L119" s="62"/>
      <c r="M119" s="62"/>
      <c r="N119" s="62"/>
      <c r="O119" s="62"/>
      <c r="P119"/>
      <c r="Q119"/>
      <c r="R119"/>
      <c r="S119"/>
      <c r="T119"/>
      <c r="U119"/>
      <c r="V119"/>
      <c r="W119"/>
      <c r="X119" s="69"/>
      <c r="Y119" s="62"/>
      <c r="Z119" s="62"/>
      <c r="AA119" s="62"/>
      <c r="AB119" s="62"/>
      <c r="AC119" s="62"/>
      <c r="AD119" s="62"/>
      <c r="AE119" s="62"/>
      <c r="AF119" s="62"/>
      <c r="AG119" s="62"/>
      <c r="AH119" s="62"/>
      <c r="AI119" s="62"/>
      <c r="AJ119" s="62"/>
      <c r="AK119" s="62"/>
      <c r="AL119" s="62"/>
      <c r="AM119" s="1"/>
      <c r="AN119"/>
      <c r="AO119"/>
      <c r="AP119"/>
      <c r="AQ119" s="87"/>
      <c r="AR119"/>
      <c r="AS119"/>
      <c r="AT119"/>
      <c r="AU119"/>
      <c r="AV119"/>
      <c r="AW119"/>
      <c r="AX119"/>
      <c r="AY119"/>
      <c r="AZ119"/>
      <c r="BA119"/>
      <c r="BB119"/>
      <c r="BC119"/>
      <c r="BD119"/>
      <c r="BE119"/>
      <c r="BF119"/>
      <c r="BG119"/>
      <c r="BH119"/>
      <c r="BI119"/>
      <c r="BJ119"/>
      <c r="BK119"/>
      <c r="BL119"/>
      <c r="BM119"/>
      <c r="BN119"/>
      <c r="BO119"/>
      <c r="BP119"/>
      <c r="BQ119"/>
      <c r="BR119"/>
      <c r="BS119"/>
      <c r="BT119"/>
      <c r="BU119"/>
    </row>
    <row r="120" spans="2:73" s="63" customFormat="1" ht="15" customHeight="1">
      <c r="B120" s="61"/>
      <c r="C120" s="12"/>
      <c r="D120" s="12"/>
      <c r="E120" s="12"/>
      <c r="F120" s="12"/>
      <c r="G120" s="12"/>
      <c r="H120" s="12"/>
      <c r="I120" s="12"/>
      <c r="J120" s="12"/>
      <c r="K120" s="12"/>
      <c r="L120" s="62"/>
      <c r="M120" s="62"/>
      <c r="N120" s="62"/>
      <c r="O120" s="62"/>
      <c r="P120"/>
      <c r="Q120"/>
      <c r="R120"/>
      <c r="S120"/>
      <c r="T120"/>
      <c r="U120"/>
      <c r="V120"/>
      <c r="W120"/>
      <c r="X120" s="69"/>
      <c r="Y120" s="62"/>
      <c r="Z120" s="62"/>
      <c r="AA120" s="62"/>
      <c r="AB120" s="62"/>
      <c r="AC120" s="62"/>
      <c r="AD120" s="62"/>
      <c r="AE120" s="62"/>
      <c r="AF120" s="62"/>
      <c r="AG120" s="62"/>
      <c r="AH120" s="62"/>
      <c r="AI120" s="62"/>
      <c r="AJ120" s="62"/>
      <c r="AK120" s="62"/>
      <c r="AL120" s="62"/>
      <c r="AM120" s="1"/>
      <c r="AN120"/>
      <c r="AO120"/>
      <c r="AP120"/>
      <c r="AQ120" s="87"/>
      <c r="AR120"/>
      <c r="AS120"/>
      <c r="AT120"/>
      <c r="AU120"/>
      <c r="AV120"/>
      <c r="AW120"/>
      <c r="AX120"/>
      <c r="AY120"/>
      <c r="AZ120"/>
      <c r="BA120"/>
      <c r="BB120"/>
      <c r="BC120"/>
      <c r="BD120"/>
      <c r="BE120"/>
      <c r="BF120"/>
      <c r="BG120"/>
      <c r="BH120"/>
      <c r="BI120"/>
      <c r="BJ120"/>
      <c r="BK120"/>
      <c r="BL120"/>
      <c r="BM120"/>
      <c r="BN120"/>
      <c r="BO120"/>
      <c r="BP120"/>
      <c r="BQ120"/>
      <c r="BR120"/>
      <c r="BS120"/>
      <c r="BT120"/>
      <c r="BU120"/>
    </row>
    <row r="121" spans="2:73" ht="15" customHeight="1">
      <c r="L121" s="40"/>
      <c r="M121" s="64"/>
      <c r="N121" s="64"/>
      <c r="O121" s="64"/>
    </row>
  </sheetData>
  <sheetProtection password="840D" sheet="1" objects="1" scenarios="1" formatColumns="0" formatRows="0" selectLockedCells="1"/>
  <dataConsolidate/>
  <mergeCells count="18">
    <mergeCell ref="DQ93:EB93"/>
    <mergeCell ref="AM94:AU94"/>
    <mergeCell ref="AM27:AV27"/>
    <mergeCell ref="BM92:DP92"/>
    <mergeCell ref="C110:K110"/>
    <mergeCell ref="C109:K109"/>
    <mergeCell ref="C108:K108"/>
    <mergeCell ref="C107:K107"/>
    <mergeCell ref="C106:K106"/>
    <mergeCell ref="J95:N95"/>
    <mergeCell ref="C6:D6"/>
    <mergeCell ref="F16:F17"/>
    <mergeCell ref="G75:H75"/>
    <mergeCell ref="I73:I74"/>
    <mergeCell ref="J73:J74"/>
    <mergeCell ref="K73:L74"/>
    <mergeCell ref="C94:H95"/>
    <mergeCell ref="J28:O28"/>
  </mergeCells>
  <phoneticPr fontId="5" type="noConversion"/>
  <conditionalFormatting sqref="C6:D9">
    <cfRule type="containsText" dxfId="17" priority="43" operator="containsText" text="100%">
      <formula>NOT(ISERROR(SEARCH("100%",C6)))</formula>
    </cfRule>
  </conditionalFormatting>
  <conditionalFormatting sqref="B22">
    <cfRule type="iconSet" priority="40">
      <iconSet iconSet="3Symbols">
        <cfvo type="percent" val="0"/>
        <cfvo type="num" val="1E-3" gte="0"/>
        <cfvo type="num" val="1"/>
      </iconSet>
    </cfRule>
  </conditionalFormatting>
  <conditionalFormatting sqref="B65 B16 B18:B21 B76 B67 B82:B86 B30:B32">
    <cfRule type="iconSet" priority="69">
      <iconSet iconSet="3Symbols">
        <cfvo type="percent" val="0"/>
        <cfvo type="num" val="1E-3" gte="0"/>
        <cfvo type="num" val="1"/>
      </iconSet>
    </cfRule>
  </conditionalFormatting>
  <conditionalFormatting sqref="B16">
    <cfRule type="iconSet" priority="39">
      <iconSet iconSet="3Symbols">
        <cfvo type="percent" val="0"/>
        <cfvo type="num" val="1" gte="0"/>
        <cfvo type="num" val="1"/>
      </iconSet>
    </cfRule>
  </conditionalFormatting>
  <conditionalFormatting sqref="B18:B21">
    <cfRule type="iconSet" priority="38">
      <iconSet iconSet="3Symbols">
        <cfvo type="percent" val="0"/>
        <cfvo type="num" val="1" gte="0"/>
        <cfvo type="num" val="1"/>
      </iconSet>
    </cfRule>
  </conditionalFormatting>
  <conditionalFormatting sqref="B31:B32">
    <cfRule type="iconSet" priority="36">
      <iconSet iconSet="3Symbols">
        <cfvo type="percent" val="0"/>
        <cfvo type="num" val="1E-3" gte="0"/>
        <cfvo type="num" val="1"/>
      </iconSet>
    </cfRule>
  </conditionalFormatting>
  <conditionalFormatting sqref="B44">
    <cfRule type="iconSet" priority="35">
      <iconSet iconSet="3Symbols">
        <cfvo type="percent" val="0"/>
        <cfvo type="num" val="1"/>
        <cfvo type="num" val="2"/>
      </iconSet>
    </cfRule>
  </conditionalFormatting>
  <conditionalFormatting sqref="B50">
    <cfRule type="iconSet" priority="34">
      <iconSet iconSet="3Symbols">
        <cfvo type="percent" val="0"/>
        <cfvo type="num" val="1"/>
        <cfvo type="num" val="2"/>
      </iconSet>
    </cfRule>
  </conditionalFormatting>
  <conditionalFormatting sqref="B51">
    <cfRule type="iconSet" priority="33">
      <iconSet iconSet="3Symbols">
        <cfvo type="percent" val="0"/>
        <cfvo type="num" val="1"/>
        <cfvo type="num" val="2"/>
      </iconSet>
    </cfRule>
  </conditionalFormatting>
  <conditionalFormatting sqref="B57">
    <cfRule type="iconSet" priority="32">
      <iconSet iconSet="3Symbols">
        <cfvo type="percent" val="0"/>
        <cfvo type="num" val="1"/>
        <cfvo type="num" val="2"/>
      </iconSet>
    </cfRule>
  </conditionalFormatting>
  <conditionalFormatting sqref="B56">
    <cfRule type="iconSet" priority="31">
      <iconSet iconSet="3Symbols">
        <cfvo type="percent" val="0"/>
        <cfvo type="num" val="1"/>
        <cfvo type="num" val="2"/>
      </iconSet>
    </cfRule>
  </conditionalFormatting>
  <conditionalFormatting sqref="B55">
    <cfRule type="iconSet" priority="30">
      <iconSet iconSet="3Symbols">
        <cfvo type="percent" val="0"/>
        <cfvo type="num" val="1"/>
        <cfvo type="num" val="2"/>
      </iconSet>
    </cfRule>
  </conditionalFormatting>
  <conditionalFormatting sqref="B54">
    <cfRule type="iconSet" priority="29">
      <iconSet iconSet="3Symbols">
        <cfvo type="percent" val="0"/>
        <cfvo type="num" val="1"/>
        <cfvo type="num" val="2"/>
      </iconSet>
    </cfRule>
  </conditionalFormatting>
  <conditionalFormatting sqref="B37">
    <cfRule type="iconSet" priority="28">
      <iconSet iconSet="3Symbols">
        <cfvo type="percent" val="0"/>
        <cfvo type="num" val="1"/>
        <cfvo type="num" val="2"/>
      </iconSet>
    </cfRule>
  </conditionalFormatting>
  <conditionalFormatting sqref="B38">
    <cfRule type="iconSet" priority="27">
      <iconSet iconSet="3Symbols">
        <cfvo type="percent" val="0"/>
        <cfvo type="num" val="1"/>
        <cfvo type="num" val="2"/>
      </iconSet>
    </cfRule>
  </conditionalFormatting>
  <conditionalFormatting sqref="B47">
    <cfRule type="iconSet" priority="26">
      <iconSet iconSet="3Symbols">
        <cfvo type="percent" val="0"/>
        <cfvo type="num" val="1"/>
        <cfvo type="num" val="2"/>
      </iconSet>
    </cfRule>
  </conditionalFormatting>
  <conditionalFormatting sqref="B45">
    <cfRule type="iconSet" priority="25">
      <iconSet iconSet="3Symbols">
        <cfvo type="percent" val="0"/>
        <cfvo type="num" val="1"/>
        <cfvo type="num" val="2"/>
      </iconSet>
    </cfRule>
  </conditionalFormatting>
  <conditionalFormatting sqref="B66">
    <cfRule type="iconSet" priority="24">
      <iconSet iconSet="3Symbols">
        <cfvo type="percent" val="0"/>
        <cfvo type="num" val="1E-3" gte="0"/>
        <cfvo type="num" val="1"/>
      </iconSet>
    </cfRule>
  </conditionalFormatting>
  <conditionalFormatting sqref="B53">
    <cfRule type="iconSet" priority="23">
      <iconSet iconSet="3Symbols">
        <cfvo type="percent" val="0"/>
        <cfvo type="num" val="1"/>
        <cfvo type="num" val="2"/>
      </iconSet>
    </cfRule>
  </conditionalFormatting>
  <conditionalFormatting sqref="B78:B81">
    <cfRule type="iconSet" priority="21">
      <iconSet iconSet="3Symbols">
        <cfvo type="percent" val="0"/>
        <cfvo type="num" val="1E-3" gte="0"/>
        <cfvo type="num" val="1"/>
      </iconSet>
    </cfRule>
  </conditionalFormatting>
  <conditionalFormatting sqref="B77">
    <cfRule type="iconSet" priority="20">
      <iconSet iconSet="3Symbols">
        <cfvo type="percent" val="0"/>
        <cfvo type="num" val="1E-3" gte="0"/>
        <cfvo type="num" val="1"/>
      </iconSet>
    </cfRule>
  </conditionalFormatting>
  <conditionalFormatting sqref="B103">
    <cfRule type="iconSet" priority="18">
      <iconSet iconSet="3Symbols">
        <cfvo type="percent" val="0"/>
        <cfvo type="num" val="1E-3" gte="0"/>
        <cfvo type="num" val="1"/>
      </iconSet>
    </cfRule>
  </conditionalFormatting>
  <conditionalFormatting sqref="B58:B64 B33:B36 B48:B49 B52 B39:B43">
    <cfRule type="iconSet" priority="70">
      <iconSet iconSet="3Symbols">
        <cfvo type="percent" val="0"/>
        <cfvo type="num" val="1"/>
        <cfvo type="num" val="2"/>
      </iconSet>
    </cfRule>
  </conditionalFormatting>
  <conditionalFormatting sqref="B97 B102">
    <cfRule type="iconSet" priority="71">
      <iconSet iconSet="3Symbols">
        <cfvo type="percent" val="0"/>
        <cfvo type="num" val="1"/>
        <cfvo type="num" val="2"/>
      </iconSet>
    </cfRule>
  </conditionalFormatting>
  <conditionalFormatting sqref="B46">
    <cfRule type="iconSet" priority="9">
      <iconSet iconSet="3Symbols">
        <cfvo type="percent" val="0"/>
        <cfvo type="num" val="1"/>
        <cfvo type="num" val="2"/>
      </iconSet>
    </cfRule>
  </conditionalFormatting>
  <conditionalFormatting sqref="B101">
    <cfRule type="iconSet" priority="8">
      <iconSet iconSet="3Symbols">
        <cfvo type="percent" val="0"/>
        <cfvo type="num" val="1"/>
        <cfvo type="num" val="2"/>
      </iconSet>
    </cfRule>
  </conditionalFormatting>
  <conditionalFormatting sqref="B100">
    <cfRule type="iconSet" priority="7">
      <iconSet iconSet="3Symbols">
        <cfvo type="percent" val="0"/>
        <cfvo type="num" val="1"/>
        <cfvo type="num" val="2"/>
      </iconSet>
    </cfRule>
  </conditionalFormatting>
  <conditionalFormatting sqref="B98">
    <cfRule type="iconSet" priority="6">
      <iconSet iconSet="3Symbols">
        <cfvo type="percent" val="0"/>
        <cfvo type="num" val="1"/>
        <cfvo type="num" val="2"/>
      </iconSet>
    </cfRule>
  </conditionalFormatting>
  <conditionalFormatting sqref="B99">
    <cfRule type="iconSet" priority="5">
      <iconSet iconSet="3Symbols">
        <cfvo type="percent" val="0"/>
        <cfvo type="num" val="1"/>
        <cfvo type="num" val="2"/>
      </iconSet>
    </cfRule>
  </conditionalFormatting>
  <conditionalFormatting sqref="F76:F86">
    <cfRule type="expression" dxfId="16" priority="4">
      <formula>ISERROR($AP76)</formula>
    </cfRule>
  </conditionalFormatting>
  <dataValidations count="7">
    <dataValidation type="list" allowBlank="1" showInputMessage="1" showErrorMessage="1" sqref="F76:F86" xr:uid="{00000000-0002-0000-0200-000000000000}">
      <formula1>Energy_Units</formula1>
    </dataValidation>
    <dataValidation type="list" allowBlank="1" showInputMessage="1" showErrorMessage="1" sqref="F64:F66 F59:F60 F42:F48" xr:uid="{00000000-0002-0000-0200-000001000000}">
      <formula1>Volume_Units</formula1>
    </dataValidation>
    <dataValidation type="list" allowBlank="1" showInputMessage="1" showErrorMessage="1" sqref="F97:F102 F61:F63 F33:F41 F49:F58 F18:F21" xr:uid="{00000000-0002-0000-0200-000002000000}">
      <formula1>Mass_Units</formula1>
    </dataValidation>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200-000003000000}">
      <formula1>IF(UnitSystem="SI-Metric (Canada)",CanadaFirstLocations,IF(UnitSystem="US-Imperial (United States)",USFirstLocations,NA()))</formula1>
    </dataValidation>
    <dataValidation type="list" allowBlank="1" showInputMessage="1" showErrorMessage="1" error="Please choose the unit from the drop down list by clicking Cancel, then clicking on the down arrow to the right of the cell." sqref="O33:O64 N97:N102" xr:uid="{00000000-0002-0000-0200-000004000000}">
      <formula1>Distance_Units</formula1>
    </dataValidation>
    <dataValidation operator="greaterThanOrEqual" allowBlank="1" showInputMessage="1" showErrorMessage="1" error="This entry must be a number greater than or equal to zero._x000a_" sqref="F67" xr:uid="{00000000-0002-0000-0200-000005000000}"/>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J97:M102 E33:E67 J33:M64 E76:E86 E97:E102 E18:E21" xr:uid="{00000000-0002-0000-0200-000006000000}">
      <formula1>0</formula1>
    </dataValidation>
  </dataValidations>
  <pageMargins left="0.70866141732283472" right="0.70866141732283472" top="0.74803149606299213" bottom="0.74803149606299213" header="0.31496062992125984" footer="0.31496062992125984"/>
  <pageSetup scale="48" fitToWidth="2" fitToHeight="10" orientation="landscape" r:id="rId1"/>
  <ignoredErrors>
    <ignoredError sqref="AO39:AO41 AO58 AO61:AO63 AO49 AO52 AO33:AO36" evalError="1"/>
    <ignoredError sqref="AS83"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B1:EG112"/>
  <sheetViews>
    <sheetView showGridLines="0" zoomScale="90" zoomScaleNormal="90" workbookViewId="0">
      <selection activeCell="E30" sqref="E30"/>
    </sheetView>
  </sheetViews>
  <sheetFormatPr baseColWidth="10" defaultColWidth="9.1640625" defaultRowHeight="15"/>
  <cols>
    <col min="1" max="1" width="1.5" style="12" customWidth="1"/>
    <col min="2" max="2" width="2.83203125" style="53" customWidth="1"/>
    <col min="3" max="3" width="10.5" style="12" customWidth="1"/>
    <col min="4" max="4" width="57.83203125" style="12" bestFit="1" customWidth="1"/>
    <col min="5" max="6" width="21.6640625" style="12" customWidth="1"/>
    <col min="7" max="7" width="18.33203125" style="12" customWidth="1"/>
    <col min="8" max="10" width="14.6640625" style="12" customWidth="1"/>
    <col min="11" max="11" width="6.6640625" style="12" customWidth="1"/>
    <col min="12" max="12" width="17" style="12" customWidth="1"/>
    <col min="13" max="13" width="21.33203125" style="13" customWidth="1"/>
    <col min="14" max="14" width="4.33203125" style="13" customWidth="1"/>
    <col min="15" max="15" width="15.83203125" style="13" customWidth="1"/>
    <col min="16" max="16" width="14.33203125" style="13" customWidth="1"/>
    <col min="17" max="17" width="4.33203125" style="13" customWidth="1"/>
    <col min="18" max="20" width="4.33203125" style="13" hidden="1" customWidth="1"/>
    <col min="21" max="21" width="4.33203125" hidden="1" customWidth="1"/>
    <col min="22" max="22" width="28.5" hidden="1" customWidth="1"/>
    <col min="23" max="23" width="6" hidden="1" customWidth="1"/>
    <col min="24" max="24" width="6.5" style="65" hidden="1" customWidth="1"/>
    <col min="25" max="25" width="9.5" style="13" hidden="1" customWidth="1"/>
    <col min="26" max="26" width="3.8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0" hidden="1" customWidth="1"/>
    <col min="73" max="73" width="18.6640625" hidden="1" customWidth="1"/>
    <col min="74" max="77" width="18.6640625" style="12" hidden="1" customWidth="1"/>
    <col min="78" max="80" width="8.83203125" style="12" hidden="1" customWidth="1"/>
    <col min="81" max="81" width="9.83203125" style="12" hidden="1" customWidth="1"/>
    <col min="82" max="82" width="9.33203125" style="12" hidden="1" customWidth="1"/>
    <col min="83" max="83" width="8.1640625" style="12" hidden="1" customWidth="1"/>
    <col min="84" max="84" width="16.5" style="12" hidden="1" customWidth="1"/>
    <col min="85" max="85" width="11.6640625" style="12" hidden="1" customWidth="1"/>
    <col min="86" max="86" width="15.1640625" style="12" hidden="1" customWidth="1"/>
    <col min="87" max="134" width="9.1640625" style="12" hidden="1" customWidth="1"/>
    <col min="135" max="156" width="0" style="12" hidden="1" customWidth="1"/>
    <col min="157" max="16384" width="9.1640625" style="12"/>
  </cols>
  <sheetData>
    <row r="1" spans="2:95" ht="16" thickBot="1">
      <c r="BV1"/>
      <c r="BW1"/>
      <c r="BX1"/>
      <c r="BY1"/>
      <c r="BZ1"/>
      <c r="CA1"/>
      <c r="CB1"/>
      <c r="CC1"/>
      <c r="CD1"/>
      <c r="CE1"/>
      <c r="CF1"/>
      <c r="CG1"/>
      <c r="CH1"/>
    </row>
    <row r="2" spans="2:95" ht="24.75" customHeight="1" thickBot="1">
      <c r="C2" s="83" t="str">
        <f>ToolName</f>
        <v>North American Precast Concrete Sustainable Plant Tool</v>
      </c>
      <c r="D2" s="84"/>
      <c r="E2" s="84"/>
      <c r="F2" s="84"/>
      <c r="G2" s="84"/>
      <c r="H2" s="84"/>
      <c r="I2" s="84"/>
      <c r="J2" s="84"/>
      <c r="K2" s="84"/>
      <c r="L2" s="84"/>
      <c r="M2" s="84"/>
      <c r="N2" s="84"/>
      <c r="O2" s="84"/>
      <c r="P2" s="85"/>
      <c r="X2" s="595" t="s">
        <v>806</v>
      </c>
      <c r="Y2" s="628" t="s">
        <v>817</v>
      </c>
      <c r="Z2" s="626" t="str">
        <f>IF($Y$2="A","Structural",IF($Y$2="B","Architectural",IF($Y$2="C","Insulated Architectural",IF($Y$2="D","Underground",IF($Y$2="Custom","Custom Project Calculator",NA())))))</f>
        <v>Structural</v>
      </c>
      <c r="AA2"/>
      <c r="AB2"/>
      <c r="AC2"/>
      <c r="AD2"/>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c r="CB2"/>
      <c r="CC2"/>
      <c r="CD2"/>
      <c r="CE2"/>
      <c r="CF2"/>
      <c r="CG2"/>
      <c r="CH2"/>
      <c r="CI2"/>
      <c r="CJ2"/>
      <c r="CK2"/>
      <c r="CL2"/>
      <c r="CM2"/>
      <c r="CN2"/>
      <c r="CO2"/>
      <c r="CP2"/>
      <c r="CQ2"/>
    </row>
    <row r="3" spans="2:95" ht="8.25" customHeight="1">
      <c r="C3" s="14"/>
      <c r="D3" s="14"/>
      <c r="E3"/>
      <c r="F3"/>
      <c r="G3"/>
      <c r="H3"/>
      <c r="I3"/>
      <c r="J3"/>
      <c r="K3" s="577"/>
      <c r="L3"/>
      <c r="M3"/>
      <c r="N3"/>
      <c r="O3"/>
      <c r="P3"/>
      <c r="Q3" s="547"/>
      <c r="R3" s="547"/>
      <c r="S3" s="547"/>
      <c r="X3" s="595" t="s">
        <v>804</v>
      </c>
      <c r="Y3" s="626" t="str">
        <f>IF(Y2="Custom",Z2,Y2&amp;"-PCR-"&amp;Z2)</f>
        <v>A-PCR-Structural</v>
      </c>
      <c r="AA3"/>
      <c r="AB3"/>
      <c r="AC3"/>
      <c r="AD3"/>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337" t="str">
        <f>INDEX(EPD_Measures,1)</f>
        <v>Global warming potential (GWP)</v>
      </c>
      <c r="BM3" s="337" t="str">
        <f>INDEX(EPD_Measures,2)</f>
        <v>Acidification potential</v>
      </c>
      <c r="BN3" s="337" t="str">
        <f>INDEX(EPD_Measures,3)</f>
        <v>Eutrophication potential</v>
      </c>
      <c r="BO3" s="337" t="str">
        <f>INDEX(EPD_Measures,4)</f>
        <v>Smog creation potential</v>
      </c>
      <c r="BP3" s="337" t="str">
        <f>INDEX(EPD_Measures,5)</f>
        <v>Ozone depletion potential</v>
      </c>
      <c r="BQ3" s="337" t="str">
        <f>INDEX(EPD_Measures,6)</f>
        <v>Total primary energy consumption</v>
      </c>
      <c r="BR3" s="337" t="str">
        <f>INDEX(EPD_Measures,7)</f>
        <v>Nonrenewable energy resources</v>
      </c>
      <c r="BS3" s="337" t="str">
        <f>INDEX(EPD_Measures,8)</f>
        <v>Renewable energy resources</v>
      </c>
      <c r="BT3" s="337" t="str">
        <f>INDEX(EPD_Measures,9)</f>
        <v>Material resources consumption</v>
      </c>
      <c r="BU3" s="337" t="str">
        <f>INDEX(EPD_Measures,10)</f>
        <v>Nonrenewable material resources</v>
      </c>
      <c r="BV3" s="337" t="str">
        <f>INDEX(EPD_Measures,11)</f>
        <v>Renewable material resources</v>
      </c>
      <c r="BW3" s="337" t="s">
        <v>105</v>
      </c>
      <c r="BX3" s="565" t="str">
        <f>INDEX(EPD_Measures,13)</f>
        <v>Non-hazardous waste generated</v>
      </c>
      <c r="BY3" s="565" t="str">
        <f>INDEX(EPD_Measures,14)</f>
        <v>Hazardous waste generated</v>
      </c>
      <c r="BZ3"/>
      <c r="CA3"/>
      <c r="CB3"/>
      <c r="CC3"/>
      <c r="CD3"/>
      <c r="CE3"/>
      <c r="CF3"/>
      <c r="CG3"/>
      <c r="CH3"/>
      <c r="CI3"/>
      <c r="CJ3"/>
      <c r="CK3"/>
      <c r="CL3"/>
      <c r="CM3"/>
      <c r="CN3"/>
      <c r="CO3"/>
      <c r="CP3"/>
      <c r="CQ3"/>
    </row>
    <row r="4" spans="2:95" ht="8.25" customHeight="1">
      <c r="C4" s="14"/>
      <c r="D4" s="14"/>
      <c r="E4"/>
      <c r="F4"/>
      <c r="G4"/>
      <c r="H4"/>
      <c r="I4"/>
      <c r="J4"/>
      <c r="K4" s="577"/>
      <c r="L4"/>
      <c r="M4"/>
      <c r="N4"/>
      <c r="O4"/>
      <c r="P4"/>
      <c r="Q4" s="547"/>
      <c r="R4" s="547"/>
      <c r="S4" s="547"/>
      <c r="X4" s="595" t="s">
        <v>805</v>
      </c>
      <c r="Y4" s="627" t="str">
        <f>IF(Y2="Custom","Custom Project",Z2&amp;" Precast Products")</f>
        <v>Structural Precast Products</v>
      </c>
      <c r="Z4" s="1"/>
      <c r="AA4"/>
      <c r="AB4"/>
      <c r="AC4"/>
      <c r="AD4"/>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c r="CB4"/>
      <c r="CC4"/>
      <c r="CD4"/>
      <c r="CE4"/>
      <c r="CF4"/>
      <c r="CG4"/>
      <c r="CH4"/>
      <c r="CI4"/>
      <c r="CJ4"/>
      <c r="CK4"/>
      <c r="CL4"/>
      <c r="CM4"/>
      <c r="CN4"/>
      <c r="CO4"/>
      <c r="CP4"/>
      <c r="CQ4"/>
    </row>
    <row r="5" spans="2:95" ht="8.25" customHeight="1">
      <c r="C5" s="14"/>
      <c r="D5" s="14"/>
      <c r="E5"/>
      <c r="F5"/>
      <c r="G5"/>
      <c r="H5"/>
      <c r="I5"/>
      <c r="J5"/>
      <c r="K5" s="577"/>
      <c r="L5"/>
      <c r="M5"/>
      <c r="N5"/>
      <c r="O5"/>
      <c r="P5"/>
      <c r="Q5" s="547"/>
      <c r="R5" s="547"/>
      <c r="S5" s="547"/>
      <c r="W5" s="12"/>
      <c r="X5" s="595" t="s">
        <v>863</v>
      </c>
      <c r="Y5" s="1" t="s">
        <v>817</v>
      </c>
      <c r="Z5" s="87" t="s">
        <v>864</v>
      </c>
      <c r="AA5"/>
      <c r="AB5"/>
      <c r="AC5"/>
      <c r="AD5"/>
      <c r="AO5" s="12"/>
      <c r="AP5" s="12"/>
      <c r="AW5" t="s">
        <v>494</v>
      </c>
      <c r="AX5" s="152">
        <f t="shared" ref="AX5:BH5" si="0">IF($AR$18=0,0,AX$68+BM$71+AU$87+AX$103*$AY$92+BM$108*$AY$92)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IF($AR$18=0,0,$AX$10+$AX$14+$AX$16)</f>
        <v>0</v>
      </c>
      <c r="BJ5" s="603">
        <f>IF($AR$18=0,0,BJ$68+BY$71+BG$87+BJ$103*$AY$92+BY$108*$AY$92+SUM($AT$100:$AT$102))</f>
        <v>0</v>
      </c>
      <c r="BK5" s="603">
        <f>IF($AR$18=0,0,BK$68+BZ$71+BH$87+BK$103*$AY$92+BZ$108*$AY$92+SUM($AT$97:$AT$99))</f>
        <v>0</v>
      </c>
      <c r="BL5" s="337">
        <f>IF($AR$18=0,0,AX$5/$AR$18)</f>
        <v>0</v>
      </c>
      <c r="BM5" s="337">
        <f t="shared" ref="BM5:BY5" si="1">IF($AR$18=0,0,AY$5/$AR$18)</f>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c r="CB5"/>
      <c r="CC5"/>
      <c r="CD5"/>
      <c r="CE5"/>
      <c r="CF5"/>
      <c r="CG5"/>
      <c r="CH5"/>
      <c r="CI5"/>
      <c r="CJ5"/>
      <c r="CK5"/>
      <c r="CL5"/>
      <c r="CM5"/>
      <c r="CN5"/>
      <c r="CO5"/>
      <c r="CP5"/>
      <c r="CQ5"/>
    </row>
    <row r="6" spans="2:95" ht="20.25" customHeight="1">
      <c r="C6" s="658" t="str">
        <f>IF(W13&lt;&gt;1,"Plant Inputs Data is Not Complete","Data Input is " &amp; ROUND($X$13*100,0)&amp; "% Complete")</f>
        <v>Plant Inputs Data is Not Complete</v>
      </c>
      <c r="D6" s="658"/>
      <c r="E6"/>
      <c r="F6"/>
      <c r="G6"/>
      <c r="H6"/>
      <c r="I6"/>
      <c r="J6"/>
      <c r="K6" s="577"/>
      <c r="L6"/>
      <c r="M6"/>
      <c r="N6"/>
      <c r="O6"/>
      <c r="P6"/>
      <c r="Q6" s="547"/>
      <c r="R6" s="547"/>
      <c r="S6" s="547"/>
      <c r="X6"/>
      <c r="Y6" s="1" t="s">
        <v>839</v>
      </c>
      <c r="Z6" s="87" t="s">
        <v>865</v>
      </c>
      <c r="AA6"/>
      <c r="AB6"/>
      <c r="AC6"/>
      <c r="AD6"/>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c r="CB6"/>
      <c r="CC6"/>
      <c r="CD6"/>
      <c r="CE6"/>
      <c r="CF6"/>
      <c r="CG6"/>
      <c r="CH6"/>
      <c r="CI6"/>
      <c r="CJ6"/>
      <c r="CK6"/>
      <c r="CL6"/>
      <c r="CM6"/>
      <c r="CN6"/>
      <c r="CO6"/>
      <c r="CP6"/>
      <c r="CQ6"/>
    </row>
    <row r="7" spans="2:95" ht="20.25" customHeight="1">
      <c r="C7" s="54"/>
      <c r="D7" s="54"/>
      <c r="E7"/>
      <c r="F7"/>
      <c r="G7"/>
      <c r="H7"/>
      <c r="I7"/>
      <c r="J7"/>
      <c r="K7" s="577"/>
      <c r="L7"/>
      <c r="M7"/>
      <c r="N7"/>
      <c r="O7"/>
      <c r="P7"/>
      <c r="Q7" s="547"/>
      <c r="R7" s="547"/>
      <c r="S7" s="547"/>
      <c r="X7"/>
      <c r="Y7" s="1" t="s">
        <v>840</v>
      </c>
      <c r="Z7" s="87" t="s">
        <v>866</v>
      </c>
      <c r="AA7"/>
      <c r="AB7"/>
      <c r="AC7"/>
      <c r="AD7"/>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IF($AR$18=0,0,AX$5*INDEX(Conversion_Table,MATCH(TRACICalcUnit,Conversion_Rows,0),MATCH(TRACIPerTonneDisplayUnit,Conversion_Columns,0))/$AT$18)</f>
        <v>0</v>
      </c>
      <c r="BM7" s="337">
        <f>IF($AR$18=0,0,AY$5*INDEX(Conversion_Table,MATCH(TRACICalcUnit,Conversion_Rows,0),MATCH(TRACIPerTonneDisplayUnit,Conversion_Columns,0))/$AT$18)</f>
        <v>0</v>
      </c>
      <c r="BN7" s="337">
        <f>IF($AR$18=0,0,AZ$5*INDEX(Conversion_Table,MATCH(TRACICalcUnit,Conversion_Rows,0),MATCH(TRACIPerTonneDisplayUnit,Conversion_Columns,0))/$AT$18)</f>
        <v>0</v>
      </c>
      <c r="BO7" s="337">
        <f>IF($AR$18=0,0,BA$5*INDEX(Conversion_Table,MATCH(TRACICalcUnit,Conversion_Rows,0),MATCH(TRACIPerTonneDisplayUnit,Conversion_Columns,0))/$AT$18)</f>
        <v>0</v>
      </c>
      <c r="BP7" s="337">
        <f>IF($AR$18=0,0,BB$5*INDEX(Conversion_Table,MATCH(TRACICalcUnit,Conversion_Rows,0),MATCH(TRACIPerTonneDisplayUnit,Conversion_Columns,0))/$AT$18)</f>
        <v>0</v>
      </c>
      <c r="BQ7" s="337">
        <f>IF($AR$18=0,0,BC$5*INDEX(Conversion_Table,MATCH(EnergyCalcUnit,Conversion_Rows,0),MATCH(EnergyPerTonneDisplayUnit,Conversion_Columns,0))/$AT$18)</f>
        <v>0</v>
      </c>
      <c r="BR7" s="337">
        <f>IF($AR$18=0,0,BD$5*INDEX(Conversion_Table,MATCH(EnergyCalcUnit,Conversion_Rows,0),MATCH(EnergyPerTonneDisplayUnit,Conversion_Columns,0))/$AT$18)</f>
        <v>0</v>
      </c>
      <c r="BS7" s="337">
        <f>IF($AR$18=0,0,BE$5*INDEX(Conversion_Table,MATCH(EnergyCalcUnit,Conversion_Rows,0),MATCH(EnergyPerTonneDisplayUnit,Conversion_Columns,0))/$AT$18)</f>
        <v>0</v>
      </c>
      <c r="BT7" s="337">
        <f>IF($AR$18=0,0,BF$5*INDEX(Conversion_Table,MATCH(MassCalcUnit,Conversion_Rows,0),MATCH(MassDisplayUnit,Conversion_Columns,0))/$AT$18)</f>
        <v>0</v>
      </c>
      <c r="BU7" s="337">
        <f>IF($AR$18=0,0,BG$5*INDEX(Conversion_Table,MATCH(MassCalcUnit,Conversion_Rows,0),MATCH(MassDisplayUnit,Conversion_Columns,0))/$AT$18)</f>
        <v>0</v>
      </c>
      <c r="BV7" s="337">
        <f>IF($AR$18=0,0,BH$5*INDEX(Conversion_Table,MATCH(MassCalcUnit,Conversion_Rows,0),MATCH(MassDisplayUnit,Conversion_Columns,0))/$AT$18)</f>
        <v>0</v>
      </c>
      <c r="BW7" s="337">
        <f>IF($AR$18=0,0,BI$5*INDEX(Conversion_Table,MATCH(WaterCalcUnit,Conversion_Rows,0),MATCH(WaterPerTonneDisplayUnit,Conversion_Columns,0))/$AT$18)</f>
        <v>0</v>
      </c>
      <c r="BX7" s="337">
        <f>IF($AR$18=0,0,BJ$5*INDEX(Conversion_Table,MATCH(MassCalcUnit,Conversion_Rows,0),MATCH(MassDisplayUnit,Conversion_Columns,0))/$AT$18)</f>
        <v>0</v>
      </c>
      <c r="BY7" s="337">
        <f>IF($AR$18=0,0,BK$5*INDEX(Conversion_Table,MATCH(MassCalcUnit,Conversion_Rows,0),MATCH(MassDisplayUnit,Conversion_Columns,0))/$AT$18)</f>
        <v>0</v>
      </c>
      <c r="BZ7"/>
      <c r="CA7"/>
      <c r="CB7"/>
      <c r="CC7"/>
      <c r="CD7"/>
      <c r="CE7"/>
      <c r="CF7"/>
      <c r="CG7"/>
      <c r="CH7"/>
      <c r="CI7"/>
      <c r="CJ7"/>
      <c r="CK7"/>
      <c r="CL7"/>
      <c r="CM7"/>
      <c r="CN7"/>
      <c r="CO7"/>
      <c r="CP7"/>
      <c r="CQ7"/>
    </row>
    <row r="8" spans="2:95" ht="20.25" customHeight="1">
      <c r="C8" s="54"/>
      <c r="D8" s="54"/>
      <c r="E8"/>
      <c r="F8"/>
      <c r="G8"/>
      <c r="H8"/>
      <c r="I8"/>
      <c r="J8"/>
      <c r="K8" s="577"/>
      <c r="L8"/>
      <c r="M8"/>
      <c r="N8"/>
      <c r="O8"/>
      <c r="P8"/>
      <c r="Q8" s="547"/>
      <c r="R8" s="547"/>
      <c r="S8" s="547"/>
      <c r="W8" s="12"/>
      <c r="X8"/>
      <c r="Y8" s="634" t="s">
        <v>630</v>
      </c>
      <c r="Z8" s="216" t="s">
        <v>867</v>
      </c>
      <c r="AA8"/>
      <c r="AB8"/>
      <c r="AC8"/>
      <c r="AD8"/>
      <c r="AW8" s="12" t="s">
        <v>497</v>
      </c>
      <c r="AX8" s="152" t="str">
        <f t="shared" ref="AX8:BU8" si="3">FIXED(AX$7,0,FALSE)</f>
        <v>0</v>
      </c>
      <c r="AY8" s="152" t="str">
        <f t="shared" si="3"/>
        <v>0</v>
      </c>
      <c r="AZ8" s="152" t="str">
        <f t="shared" si="3"/>
        <v>0</v>
      </c>
      <c r="BA8" s="152" t="str">
        <f t="shared" si="3"/>
        <v>0</v>
      </c>
      <c r="BB8" s="152" t="str">
        <f t="shared" si="3"/>
        <v>0</v>
      </c>
      <c r="BC8" s="152" t="str">
        <f t="shared" si="3"/>
        <v>0</v>
      </c>
      <c r="BD8" s="152" t="str">
        <f t="shared" si="3"/>
        <v>0</v>
      </c>
      <c r="BE8" s="152" t="str">
        <f t="shared" si="3"/>
        <v>0</v>
      </c>
      <c r="BF8" s="152" t="str">
        <f t="shared" si="3"/>
        <v>0</v>
      </c>
      <c r="BG8" s="152" t="str">
        <f t="shared" si="3"/>
        <v>0</v>
      </c>
      <c r="BH8" s="152" t="str">
        <f t="shared" si="3"/>
        <v>0</v>
      </c>
      <c r="BI8" s="152" t="str">
        <f t="shared" si="3"/>
        <v>0</v>
      </c>
      <c r="BJ8" s="152" t="str">
        <f t="shared" si="3"/>
        <v>0</v>
      </c>
      <c r="BK8" s="152"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FIXED(BV$7,0,FALSE)</f>
        <v>0</v>
      </c>
      <c r="BW8" s="337" t="str">
        <f>FIXED(BW$7,0,FALSE)</f>
        <v>0</v>
      </c>
      <c r="BX8" s="337" t="str">
        <f t="shared" ref="BX8:BY8" si="4">FIXED(BX$7,0,FALSE)</f>
        <v>0</v>
      </c>
      <c r="BY8" s="337" t="str">
        <f t="shared" si="4"/>
        <v>0</v>
      </c>
      <c r="BZ8"/>
      <c r="CA8"/>
      <c r="CB8"/>
      <c r="CC8"/>
      <c r="CD8"/>
      <c r="CE8"/>
      <c r="CF8"/>
      <c r="CG8"/>
      <c r="CH8"/>
      <c r="CI8"/>
      <c r="CJ8"/>
      <c r="CK8"/>
      <c r="CL8"/>
      <c r="CM8"/>
      <c r="CN8"/>
      <c r="CO8"/>
      <c r="CP8"/>
      <c r="CQ8"/>
    </row>
    <row r="9" spans="2:95" ht="20.25" customHeight="1">
      <c r="C9" s="631" t="str">
        <f>IF($Y$2="Custom",$Y$4,"PCR Category: "&amp;$Y$4)</f>
        <v>PCR Category: Structural Precast Products</v>
      </c>
      <c r="D9" s="54"/>
      <c r="E9"/>
      <c r="F9"/>
      <c r="G9"/>
      <c r="H9"/>
      <c r="I9" s="3"/>
      <c r="J9" s="3"/>
      <c r="K9" s="577"/>
      <c r="L9"/>
      <c r="M9"/>
      <c r="N9"/>
      <c r="O9"/>
      <c r="P9"/>
      <c r="Q9" s="547"/>
      <c r="R9" s="547"/>
      <c r="S9" s="547"/>
      <c r="W9" s="12"/>
      <c r="X9"/>
      <c r="Y9" s="13" t="str">
        <f>IF($Y$2="Custom","",VLOOKUP($Y$2,$Y$5:$AA$8,2,FALSE))</f>
        <v>superstructure bridge products such as bridge decks, girders, and parapets; substructure bridge products such as abutments, piers, footings, and pile caps; building products such as columns, beams, interior solid bearing and shear walls, double tees, hollowcore, spandrels, and solid slabs; stairs and stadia seating; and other items such as piles, footings, barriers, retaining walls, rail ties, and the like. Structural precast products can be conventionally reinforced or prestressed.</v>
      </c>
      <c r="AA9"/>
      <c r="AB9"/>
      <c r="AC9"/>
      <c r="AD9"/>
      <c r="AW9" s="338" t="s">
        <v>105</v>
      </c>
      <c r="AX9" s="338" t="str">
        <f>WaterCalcUnit</f>
        <v>m3</v>
      </c>
      <c r="AY9" s="338" t="str">
        <f>WaterCalcUnit&amp;"/"&amp;MassCalcUnit</f>
        <v>m3/tonne</v>
      </c>
    </row>
    <row r="10" spans="2:95" ht="20.25" customHeight="1" thickBot="1">
      <c r="C10" s="14"/>
      <c r="D10" s="14"/>
      <c r="E10" s="14"/>
      <c r="F10" s="14"/>
      <c r="G10" s="14"/>
      <c r="H10" s="14"/>
      <c r="I10" s="14"/>
      <c r="J10" s="14"/>
      <c r="K10" s="577"/>
      <c r="L10"/>
      <c r="M10"/>
      <c r="N10"/>
      <c r="O10"/>
      <c r="P10"/>
      <c r="Q10" s="547"/>
      <c r="R10" s="547"/>
      <c r="S10" s="547"/>
      <c r="X10"/>
      <c r="Y10" s="15"/>
      <c r="Z10" s="15"/>
      <c r="AA10"/>
      <c r="AB10"/>
      <c r="AC10"/>
      <c r="AD10"/>
      <c r="AE10" s="15"/>
      <c r="AF10" s="15"/>
      <c r="AG10" s="15"/>
      <c r="AH10" s="15"/>
      <c r="AI10" s="15"/>
      <c r="AJ10" s="15"/>
      <c r="AK10" s="15"/>
      <c r="AL10" s="15"/>
      <c r="AW10" s="338" t="s">
        <v>505</v>
      </c>
      <c r="AX10" s="339">
        <f>IF($AR$18=0,0,$BI$68+$BF$87+$BX$71+$BI$103*$AY$92+$BX$108*$AY$92)</f>
        <v>0</v>
      </c>
      <c r="AY10" s="340">
        <f>IF($AR$18=0,0,$AX10/$AR$18)</f>
        <v>0</v>
      </c>
    </row>
    <row r="11" spans="2:95" ht="20.25" customHeight="1" thickBot="1">
      <c r="C11" s="16" t="s">
        <v>583</v>
      </c>
      <c r="D11" s="17"/>
      <c r="E11" s="17"/>
      <c r="F11" s="18"/>
      <c r="G11" s="691" t="str">
        <f>IF($Y$2="Custom","This page is to be used to customize results for a specific project or product.  
For example, if you want to calculate the effects of hollow core production, enter the total hollow core production mass in E22, then enter the material quantities in E"&amp;ROW($C$29)&amp;"-E"&amp;ROW($C$64)&amp;".  
The results for hollow core are then calculated using the same cement profile from Cement Sources and the the plant operating energy and waste from Plant Inputs.",$Y$4&amp;" include "&amp;$Y$9)</f>
        <v>Structural Precast Products include superstructure bridge products such as bridge decks, girders, and parapets; substructure bridge products such as abutments, piers, footings, and pile caps; building products such as columns, beams, interior solid bearing and shear walls, double tees, hollowcore, spandrels, and solid slabs; stairs and stadia seating; and other items such as piles, footings, barriers, retaining walls, rail ties, and the like. Structural precast products can be conventionally reinforced or prestressed.</v>
      </c>
      <c r="H11" s="692"/>
      <c r="I11" s="692"/>
      <c r="J11" s="692"/>
      <c r="K11" s="577"/>
      <c r="L11"/>
      <c r="M11"/>
      <c r="N11"/>
      <c r="O11"/>
      <c r="P11"/>
      <c r="Q11" s="547"/>
      <c r="R11" s="547"/>
      <c r="S11" s="547"/>
      <c r="V11" s="1" t="s">
        <v>250</v>
      </c>
      <c r="W11" s="65">
        <f>'Plant Inputs'!X11</f>
        <v>0</v>
      </c>
      <c r="X11" s="67">
        <f>SUM(X16,X18,X30:X64,X65:X67,X76:X86)</f>
        <v>1</v>
      </c>
      <c r="Y11" s="13" t="s">
        <v>64</v>
      </c>
      <c r="AA11"/>
      <c r="AB11"/>
      <c r="AC11"/>
      <c r="AD11"/>
      <c r="AW11" s="338" t="str">
        <f>$D$65</f>
        <v>Total Batch Water Use</v>
      </c>
      <c r="AX11" s="340">
        <f>IF($AR$18=0,0,$AP$65*INDEX(Conversion_Table,MATCH($AQ$65,Conversion_Rows,0),MATCH(WaterCalcUnit,Conversion_Columns,0)))</f>
        <v>0</v>
      </c>
      <c r="AY11" s="340">
        <f>IF($AR$18=0,0,$AX11/$AR$18)</f>
        <v>0</v>
      </c>
    </row>
    <row r="12" spans="2:95" ht="20.25" customHeight="1" thickBot="1">
      <c r="C12" s="73" t="s">
        <v>243</v>
      </c>
      <c r="D12" s="74"/>
      <c r="E12" s="74"/>
      <c r="F12" s="133"/>
      <c r="G12" s="691"/>
      <c r="H12" s="692"/>
      <c r="I12" s="692"/>
      <c r="J12" s="692"/>
      <c r="K12" s="577"/>
      <c r="L12"/>
      <c r="M12"/>
      <c r="N12"/>
      <c r="O12"/>
      <c r="P12"/>
      <c r="Q12" s="547"/>
      <c r="R12" s="547"/>
      <c r="S12" s="547"/>
      <c r="V12" s="1" t="s">
        <v>249</v>
      </c>
      <c r="W12" s="65">
        <f>'Plant Inputs'!X12</f>
        <v>99</v>
      </c>
      <c r="X12" s="65">
        <v>51</v>
      </c>
      <c r="Y12" s="13" t="s">
        <v>65</v>
      </c>
      <c r="AA12"/>
      <c r="AB12"/>
      <c r="AC12"/>
      <c r="AD12"/>
      <c r="AW12" s="338" t="str">
        <f>$D$66</f>
        <v>Total Plant Water Use</v>
      </c>
      <c r="AX12" s="340">
        <f>$AY$12*$AR$18</f>
        <v>0</v>
      </c>
      <c r="AY12" s="340">
        <f>'Plant Inputs'!$AY$12</f>
        <v>0</v>
      </c>
      <c r="AZ12" s="604">
        <f>E66*INDEX(Conversion_Table,MATCH($F$66,Conversion_Rows,0),MATCH(WaterCalcUnit,Conversion_Columns,0))</f>
        <v>0</v>
      </c>
    </row>
    <row r="13" spans="2:95" ht="20.25" customHeight="1">
      <c r="C13" s="19"/>
      <c r="D13" s="20"/>
      <c r="E13" s="20"/>
      <c r="F13" s="134"/>
      <c r="G13" s="691"/>
      <c r="H13" s="692"/>
      <c r="I13" s="692"/>
      <c r="J13" s="692"/>
      <c r="K13" s="577"/>
      <c r="L13"/>
      <c r="M13"/>
      <c r="N13"/>
      <c r="O13"/>
      <c r="P13"/>
      <c r="Q13" s="547"/>
      <c r="R13" s="547"/>
      <c r="S13" s="547"/>
      <c r="V13" s="1" t="s">
        <v>251</v>
      </c>
      <c r="W13" s="66">
        <f>'Plant Inputs'!X13</f>
        <v>0</v>
      </c>
      <c r="X13" s="66">
        <f>IF(OR(X12=0,W13&lt;&gt;1),0,IF(ISERROR(X11/X12),0,X11/X12))</f>
        <v>0</v>
      </c>
      <c r="Y13" s="13" t="s">
        <v>66</v>
      </c>
      <c r="AA13"/>
      <c r="AB13"/>
      <c r="AC13"/>
      <c r="AD13"/>
      <c r="AW13" s="338" t="str">
        <f>$D$67</f>
        <v>Percentage of Batch Water that is Recycled Water</v>
      </c>
      <c r="AX13" s="341">
        <f>IF($AR$18=0,0,$E$67/100)</f>
        <v>0</v>
      </c>
      <c r="AY13" s="341"/>
    </row>
    <row r="14" spans="2:95" ht="20.25" customHeight="1">
      <c r="C14" s="21" t="s">
        <v>248</v>
      </c>
      <c r="D14" s="22"/>
      <c r="E14" s="22"/>
      <c r="F14" s="134"/>
      <c r="G14" s="691"/>
      <c r="H14" s="692"/>
      <c r="I14" s="692"/>
      <c r="J14" s="692"/>
      <c r="K14" s="577"/>
      <c r="L14"/>
      <c r="M14"/>
      <c r="N14"/>
      <c r="O14"/>
      <c r="P14"/>
      <c r="Q14" s="547"/>
      <c r="R14" s="547"/>
      <c r="S14" s="547"/>
      <c r="AA14"/>
      <c r="AB14"/>
      <c r="AC14"/>
      <c r="AD14"/>
      <c r="AW14" s="338" t="s">
        <v>580</v>
      </c>
      <c r="AX14" s="340">
        <f>IF($AR$18=0,0,$AX$11*(1-$AX$13))</f>
        <v>0</v>
      </c>
      <c r="AY14" s="340">
        <f>IF($AR$18=0,0,$AX14/$AR$18)</f>
        <v>0</v>
      </c>
    </row>
    <row r="15" spans="2:95" ht="20.25" customHeight="1">
      <c r="C15" s="23" t="s">
        <v>2</v>
      </c>
      <c r="D15" s="24" t="s">
        <v>11</v>
      </c>
      <c r="E15" s="25" t="s">
        <v>11</v>
      </c>
      <c r="F15" s="134"/>
      <c r="G15" s="691"/>
      <c r="H15" s="692"/>
      <c r="I15" s="692"/>
      <c r="J15" s="692"/>
      <c r="K15" s="577"/>
      <c r="L15"/>
      <c r="M15"/>
      <c r="N15"/>
      <c r="O15"/>
      <c r="P15"/>
      <c r="Q15" s="547"/>
      <c r="R15" s="547"/>
      <c r="S15" s="547"/>
      <c r="AA15"/>
      <c r="AB15"/>
      <c r="AC15"/>
      <c r="AD15"/>
      <c r="AM15" s="1" t="s">
        <v>485</v>
      </c>
      <c r="AO15">
        <f>IF(COUNTIF(Locations_USA,$E$16)=1,VLOOKUP($E$16,Locations_USA,3,FALSE),IF(COUNTIF(Locations_CAN,$E$16)=1,VLOOKUP($E$16,Locations_CAN,3,FALSE),NA()))</f>
        <v>0</v>
      </c>
      <c r="AW15" s="338" t="s">
        <v>581</v>
      </c>
      <c r="AX15" s="340">
        <f>IF($AR$18=0,0,$AX$11*$AX$13)</f>
        <v>0</v>
      </c>
      <c r="AY15" s="340">
        <f>IF($AR$18=0,0,$AX15/$AR$18)</f>
        <v>0</v>
      </c>
    </row>
    <row r="16" spans="2:95" ht="20.25" customHeight="1">
      <c r="B16" s="53">
        <f t="shared" ref="B16" si="5">X16</f>
        <v>0</v>
      </c>
      <c r="C16" s="26">
        <v>1</v>
      </c>
      <c r="D16" s="27" t="s">
        <v>58</v>
      </c>
      <c r="E16" s="636" t="str">
        <f>PlantLocation</f>
        <v>Insert Location</v>
      </c>
      <c r="F16" s="659" t="s">
        <v>6</v>
      </c>
      <c r="G16" s="691"/>
      <c r="H16" s="692"/>
      <c r="I16" s="692"/>
      <c r="J16" s="692"/>
      <c r="K16" s="3"/>
      <c r="L16"/>
      <c r="M16"/>
      <c r="N16"/>
      <c r="O16"/>
      <c r="P16"/>
      <c r="X16" s="65">
        <f>IF(OR(ISBLANK(E16),E16="Insert Location"),0,1)</f>
        <v>0</v>
      </c>
      <c r="AA16"/>
      <c r="AB16"/>
      <c r="AC16"/>
      <c r="AD16"/>
      <c r="AM16" s="1" t="str">
        <f>D16</f>
        <v>Plant Location</v>
      </c>
      <c r="AN16" s="87" t="str">
        <f>E16</f>
        <v>Insert Location</v>
      </c>
      <c r="AO16">
        <f>IF(COUNTIF(Locations_USA,$E$16)=1,VLOOKUP($E$16,Locations_USA,2,FALSE),IF(COUNTIF(Locations_CAN,$E$16)=1,VLOOKUP($E$16,Locations_CAN,2,FALSE),NA()))</f>
        <v>0</v>
      </c>
      <c r="AT16" s="87" t="s">
        <v>491</v>
      </c>
      <c r="AW16" s="338" t="s">
        <v>579</v>
      </c>
      <c r="AX16" s="340">
        <f>IF($AR$18=0,0,$AX$12-$AX$14)</f>
        <v>0</v>
      </c>
      <c r="AY16" s="340">
        <f>IF($AR$18=0,0,$AX16/$AR$18)</f>
        <v>0</v>
      </c>
    </row>
    <row r="17" spans="2:137" ht="20.25" customHeight="1">
      <c r="C17" s="28"/>
      <c r="D17" s="24" t="s">
        <v>91</v>
      </c>
      <c r="E17" s="25" t="s">
        <v>12</v>
      </c>
      <c r="F17" s="660"/>
      <c r="G17" s="691"/>
      <c r="H17" s="692"/>
      <c r="I17" s="692"/>
      <c r="J17" s="692"/>
      <c r="K17" s="3"/>
      <c r="L17"/>
      <c r="M17"/>
      <c r="N17"/>
      <c r="O17"/>
      <c r="P17"/>
      <c r="X17" s="13"/>
      <c r="AA17"/>
      <c r="AB17"/>
      <c r="AC17"/>
      <c r="AD17"/>
      <c r="AN17" s="1" t="s">
        <v>129</v>
      </c>
      <c r="AO17" s="1" t="s">
        <v>126</v>
      </c>
      <c r="AP17" s="87" t="s">
        <v>79</v>
      </c>
      <c r="AQ17" s="87" t="s">
        <v>210</v>
      </c>
      <c r="AR17" s="1" t="s">
        <v>102</v>
      </c>
      <c r="AS17" s="87" t="s">
        <v>136</v>
      </c>
      <c r="AT17" s="1"/>
      <c r="AU17" s="87"/>
      <c r="AV17" s="87"/>
    </row>
    <row r="18" spans="2:137" ht="20.25" customHeight="1" thickBot="1">
      <c r="B18" s="53">
        <f>X18</f>
        <v>1</v>
      </c>
      <c r="C18" s="425">
        <v>2</v>
      </c>
      <c r="D18" s="424" t="str">
        <f>"Total Output of "&amp;$Y$4</f>
        <v>Total Output of Structural Precast Products</v>
      </c>
      <c r="E18" s="637">
        <f>$AD$18</f>
        <v>0</v>
      </c>
      <c r="F18" s="638" t="str">
        <f>$AE$18</f>
        <v>short ton</v>
      </c>
      <c r="G18" s="691"/>
      <c r="H18" s="692"/>
      <c r="I18" s="692"/>
      <c r="J18" s="692"/>
      <c r="K18" s="3"/>
      <c r="L18"/>
      <c r="M18"/>
      <c r="N18"/>
      <c r="O18"/>
      <c r="P18"/>
      <c r="Q18" s="65"/>
      <c r="R18" s="65"/>
      <c r="S18" s="65"/>
      <c r="X18" s="65">
        <f>IF(ISBLANK(E18),0,1)</f>
        <v>1</v>
      </c>
      <c r="Y18" s="216">
        <f>IF($X18=1,1,0)</f>
        <v>1</v>
      </c>
      <c r="AD18" s="635">
        <f>IF($Y$2="A",'Plant Inputs'!$E$18,IF($Y$2="B",'Plant Inputs'!$E$19,IF($Y$2="C",'Plant Inputs'!$E$20,IF($Y$2="D",'Plant Inputs'!$E$21,""))))</f>
        <v>0</v>
      </c>
      <c r="AE18" s="635" t="str">
        <f>IF($Y$2="A",'Plant Inputs'!$F$18,IF($Y$2="B",'Plant Inputs'!$F$19,IF($Y$2="C",'Plant Inputs'!$F$20,IF($Y$2="D",'Plant Inputs'!$F$21,MassDisplayUnit))))</f>
        <v>short ton</v>
      </c>
      <c r="AM18" s="1" t="str">
        <f>D18</f>
        <v>Total Output of Structural Precast Products</v>
      </c>
      <c r="AN18" s="1">
        <f>E18</f>
        <v>0</v>
      </c>
      <c r="AO18" s="1" t="str">
        <f>F18</f>
        <v>short ton</v>
      </c>
      <c r="AP18" s="1">
        <f>INDEX(Conversion_Table,MATCH($AO18,Conversion_Rows,0),MATCH($AS18,Conversion_Columns,0))</f>
        <v>0.90718499588591606</v>
      </c>
      <c r="AQ18" s="87" t="str">
        <f>AS18&amp;"/"&amp;AO18</f>
        <v>tonne/short ton</v>
      </c>
      <c r="AR18">
        <f>AN18*AP18</f>
        <v>0</v>
      </c>
      <c r="AS18" s="331" t="str">
        <f>MassCalcUnit</f>
        <v>tonne</v>
      </c>
      <c r="AT18">
        <f>$AR$18*INDEX(Conversion_Table,MATCH($AS18,Conversion_Rows,0),MATCH($AU18,Conversion_Columns,0))</f>
        <v>0</v>
      </c>
      <c r="AU18" s="329" t="str">
        <f>MassDisplayUnit</f>
        <v>short ton</v>
      </c>
      <c r="AW18" s="1"/>
      <c r="AX18" s="97"/>
      <c r="AY18" s="97"/>
      <c r="AZ18" s="97"/>
    </row>
    <row r="19" spans="2:137" ht="17.25" customHeight="1">
      <c r="B19"/>
      <c r="C19"/>
      <c r="D19"/>
      <c r="E19"/>
      <c r="F19"/>
      <c r="G19"/>
      <c r="H19" s="593"/>
      <c r="I19" s="593"/>
      <c r="J19" s="593"/>
      <c r="K19" s="3"/>
      <c r="L19" s="3"/>
      <c r="M19" s="65"/>
      <c r="N19" s="65"/>
      <c r="O19" s="65"/>
      <c r="P19" s="65"/>
      <c r="Q19" s="65"/>
      <c r="R19" s="65"/>
      <c r="S19" s="65"/>
      <c r="AN19" s="1"/>
      <c r="AO19" s="1"/>
      <c r="AP19" s="1"/>
      <c r="AS19" s="87"/>
      <c r="AW19" s="1"/>
      <c r="AX19" s="97"/>
      <c r="AY19" s="97"/>
      <c r="AZ19" s="97"/>
    </row>
    <row r="20" spans="2:137" ht="15" customHeight="1">
      <c r="B20"/>
      <c r="C20" s="629" t="str">
        <f>IF($Y$2="Custom","",IF(ToolType="Reporting","This page is used to produce EPD results for the PCR category "&amp;$Y$4,IF(ToolType="Survey","This page is used as a one time survey for the PCR category "&amp;$Y$4,NA())) )</f>
        <v>This page is used as a one time survey for the PCR category Structural Precast Products</v>
      </c>
      <c r="D20"/>
      <c r="E20"/>
      <c r="F20"/>
      <c r="G20"/>
      <c r="H20" s="593"/>
      <c r="I20" s="593"/>
      <c r="J20" s="593"/>
      <c r="K20" s="3"/>
      <c r="L20" s="3"/>
      <c r="AN20" s="1"/>
      <c r="AO20" s="1"/>
      <c r="AP20" s="1"/>
      <c r="AS20" s="87"/>
      <c r="AW20" s="1"/>
      <c r="AX20" s="97"/>
      <c r="AY20" s="97"/>
      <c r="AZ20" s="97"/>
    </row>
    <row r="21" spans="2:137" ht="15" customHeight="1">
      <c r="B21"/>
      <c r="C21" s="629" t="str">
        <f>IF($Y$2="Custom","",IF(Association_Version="CPCI","Enter 1 "&amp;MassDisplayUnit&amp;" of "&amp;$Y$4&amp;" in Table A above.",IF(OR(Association_Version="NPCA",Association_Version="PCI"),"Enter the total production of "&amp;$Y$4&amp;" in Table A above.",NA())))</f>
        <v>Enter the total production of Structural Precast Products in Table A above.</v>
      </c>
      <c r="D21"/>
      <c r="E21"/>
      <c r="F21"/>
      <c r="G21"/>
      <c r="H21" s="593"/>
      <c r="I21" s="593"/>
      <c r="J21" s="593"/>
      <c r="K21" s="3"/>
      <c r="L21" s="3"/>
      <c r="AN21" s="1"/>
      <c r="AO21" s="1"/>
      <c r="AP21" s="1"/>
      <c r="AS21" s="87"/>
      <c r="AW21" s="1"/>
      <c r="AX21" s="97"/>
      <c r="AY21" s="97"/>
      <c r="AZ21" s="97"/>
    </row>
    <row r="22" spans="2:137" ht="15" customHeight="1">
      <c r="B22"/>
      <c r="C22" s="629" t="str">
        <f>IF($Y$2="Custom","",IF(Association_Version="CPCI","Then, enter the totals of all the materials that are used in the production of 1 "&amp;MassDisplayUnit&amp;" of "&amp;$Y$4&amp;", in Table B below.",IF(OR(Association_Version="NPCA",Association_Version="PCI"),"Then, enter the totals of all the materials that were used in that total production, in Table B below.",NA())))</f>
        <v>Then, enter the totals of all the materials that were used in that total production, in Table B below.</v>
      </c>
      <c r="D22"/>
      <c r="E22"/>
      <c r="F22"/>
      <c r="G22"/>
      <c r="H22" s="593"/>
      <c r="I22" s="593"/>
      <c r="J22" s="593"/>
      <c r="K22" s="3"/>
      <c r="L22" s="3"/>
      <c r="Z22" s="216"/>
      <c r="AX22" s="97"/>
      <c r="AY22" s="97"/>
      <c r="AZ22" s="97"/>
      <c r="BA22" s="97"/>
      <c r="BB22" s="97"/>
      <c r="BC22" s="97"/>
      <c r="BD22" s="97"/>
      <c r="BE22" s="97"/>
      <c r="BF22" s="97"/>
      <c r="BG22" s="97"/>
      <c r="BH22" s="97"/>
      <c r="BI22" s="97"/>
      <c r="BJ22" s="97"/>
      <c r="BV22"/>
      <c r="BW22"/>
      <c r="BX22"/>
      <c r="BY22"/>
      <c r="BZ22"/>
      <c r="CA22"/>
      <c r="CB22"/>
      <c r="CC22"/>
      <c r="CD22"/>
    </row>
    <row r="23" spans="2:137" ht="18" customHeight="1">
      <c r="C23" s="630" t="str">
        <f>IF(OR($Y$2="Custom",Association_Version="CPCI"),"","The transportation, energy and solid waste data from the Plant Inputs page will be used to allocate those inputs for "&amp;$Y$4&amp;".")</f>
        <v>The transportation, energy and solid waste data from the Plant Inputs page will be used to allocate those inputs for Structural Precast Products.</v>
      </c>
      <c r="D23" s="57"/>
      <c r="E23" s="30"/>
      <c r="F23" s="30"/>
      <c r="G23" s="142"/>
      <c r="H23" s="30"/>
      <c r="I23" s="30"/>
      <c r="J23" s="30"/>
      <c r="AN23" s="1"/>
      <c r="AO23" s="1"/>
      <c r="AP23" s="1"/>
      <c r="BM23" s="1" t="s">
        <v>336</v>
      </c>
      <c r="BN23" s="87">
        <v>1</v>
      </c>
      <c r="BV23"/>
      <c r="BW23"/>
      <c r="BX23"/>
      <c r="BY23"/>
      <c r="BZ23"/>
      <c r="CA23"/>
      <c r="CB23"/>
      <c r="CC23"/>
      <c r="CD23"/>
      <c r="CE23"/>
      <c r="CF23"/>
    </row>
    <row r="24" spans="2:137" ht="16" thickBot="1">
      <c r="D24" s="30"/>
      <c r="E24" s="30"/>
      <c r="F24" s="30"/>
      <c r="G24" s="30"/>
      <c r="H24" s="30"/>
      <c r="I24" s="30"/>
      <c r="J24" s="30"/>
      <c r="AN24" s="1"/>
      <c r="AO24" s="1"/>
      <c r="AP24" s="1"/>
      <c r="BV24"/>
      <c r="BW24"/>
      <c r="BX24"/>
      <c r="BY24"/>
      <c r="BZ24"/>
      <c r="CA24"/>
      <c r="CB24"/>
      <c r="CC24"/>
      <c r="CD24"/>
      <c r="CE24"/>
      <c r="CF24"/>
    </row>
    <row r="25" spans="2:137" ht="21" thickBot="1">
      <c r="C25" s="16" t="s">
        <v>72</v>
      </c>
      <c r="D25" s="17"/>
      <c r="E25" s="17"/>
      <c r="F25" s="17"/>
      <c r="G25" s="17"/>
      <c r="H25" s="17"/>
      <c r="I25" s="18"/>
      <c r="J25"/>
      <c r="K25"/>
      <c r="L25"/>
      <c r="M25"/>
      <c r="N25"/>
      <c r="O25"/>
      <c r="P25"/>
      <c r="Q25"/>
      <c r="R25"/>
      <c r="S25"/>
      <c r="T25"/>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6"/>
      <c r="DO25"/>
      <c r="DP25"/>
      <c r="DQ25"/>
      <c r="DR25"/>
      <c r="DS25"/>
      <c r="DT25"/>
      <c r="DU25"/>
      <c r="DV25"/>
      <c r="DW25"/>
      <c r="DX25"/>
      <c r="DY25"/>
      <c r="DZ25"/>
      <c r="EA25"/>
      <c r="EB25"/>
      <c r="EC25"/>
      <c r="ED25"/>
      <c r="EE25"/>
      <c r="EF25"/>
      <c r="EG25"/>
    </row>
    <row r="26" spans="2:137" ht="15" customHeight="1" thickBot="1">
      <c r="C26" s="73" t="s">
        <v>141</v>
      </c>
      <c r="D26" s="74"/>
      <c r="E26" s="74"/>
      <c r="F26" s="74"/>
      <c r="G26" s="74"/>
      <c r="H26" s="74"/>
      <c r="I26" s="79"/>
      <c r="J26"/>
      <c r="K26"/>
      <c r="L26"/>
      <c r="M26"/>
      <c r="N26"/>
      <c r="O26"/>
      <c r="P26"/>
      <c r="Q26"/>
      <c r="R26"/>
      <c r="S26"/>
      <c r="T26"/>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c r="BY26" s="2"/>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16</v>
      </c>
      <c r="CN26" s="2" t="s">
        <v>16</v>
      </c>
      <c r="CO26" s="2" t="s">
        <v>16</v>
      </c>
      <c r="CP26" s="2" t="s">
        <v>16</v>
      </c>
      <c r="CQ26" s="2" t="s">
        <v>16</v>
      </c>
      <c r="CR26" s="2" t="s">
        <v>16</v>
      </c>
      <c r="CS26" s="2" t="s">
        <v>16</v>
      </c>
      <c r="CT26" s="2" t="s">
        <v>16</v>
      </c>
      <c r="CU26" s="2" t="s">
        <v>16</v>
      </c>
      <c r="CV26" s="2" t="s">
        <v>16</v>
      </c>
      <c r="CW26" s="2" t="s">
        <v>16</v>
      </c>
      <c r="CX26" s="2"/>
      <c r="CY26" s="2"/>
      <c r="CZ26" s="2" t="s">
        <v>16</v>
      </c>
      <c r="DA26" s="2" t="s">
        <v>15</v>
      </c>
      <c r="DB26" s="2" t="s">
        <v>15</v>
      </c>
      <c r="DC26" s="2" t="s">
        <v>15</v>
      </c>
      <c r="DD26" s="2" t="s">
        <v>15</v>
      </c>
      <c r="DE26" s="2" t="s">
        <v>15</v>
      </c>
      <c r="DF26" s="2" t="s">
        <v>15</v>
      </c>
      <c r="DG26" s="2" t="s">
        <v>15</v>
      </c>
      <c r="DH26" s="2" t="s">
        <v>15</v>
      </c>
      <c r="DI26" s="2" t="s">
        <v>15</v>
      </c>
      <c r="DJ26" s="2" t="s">
        <v>15</v>
      </c>
      <c r="DK26" s="2" t="s">
        <v>15</v>
      </c>
      <c r="DL26" s="2"/>
      <c r="DM26" s="2"/>
      <c r="DN26" s="2" t="s">
        <v>15</v>
      </c>
      <c r="DO26" s="584" t="s">
        <v>726</v>
      </c>
      <c r="DP26" s="585"/>
      <c r="DQ26" s="585"/>
      <c r="DR26" s="585"/>
      <c r="DS26" s="585"/>
      <c r="DT26" s="585"/>
      <c r="DU26" s="585"/>
      <c r="DV26" s="585"/>
      <c r="DW26" s="585"/>
      <c r="DX26" s="585"/>
      <c r="DY26" s="585"/>
      <c r="DZ26" s="585"/>
      <c r="EA26" s="585"/>
      <c r="EB26" s="586"/>
      <c r="EC26"/>
      <c r="ED26"/>
      <c r="EE26"/>
      <c r="EF26"/>
      <c r="EG26"/>
    </row>
    <row r="27" spans="2:137" ht="15" customHeight="1">
      <c r="C27" s="31"/>
      <c r="I27" s="94"/>
      <c r="J27"/>
      <c r="K27"/>
      <c r="L27"/>
      <c r="M27"/>
      <c r="N27"/>
      <c r="O27"/>
      <c r="P27"/>
      <c r="Q27"/>
      <c r="R27"/>
      <c r="S27"/>
      <c r="T27"/>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INDEX(EPD_Measures,3)</f>
        <v>Eutrophication potential</v>
      </c>
      <c r="CP27" s="564" t="str">
        <f>INDEX(EPD_Measures,4)</f>
        <v>Smog creation potential</v>
      </c>
      <c r="CQ27" s="564" t="str">
        <f>INDEX(EPD_Measures,5)</f>
        <v>Ozone depletion potential</v>
      </c>
      <c r="CR27" s="564" t="str">
        <f>INDEX(EPD_Measures,6)</f>
        <v>Total primary energy consumption</v>
      </c>
      <c r="CS27" s="564" t="str">
        <f>INDEX(EPD_Measures,7)</f>
        <v>Nonrenewable energy resources</v>
      </c>
      <c r="CT27" s="564" t="str">
        <f>INDEX(EPD_Measures,8)</f>
        <v>Renewable energy resources</v>
      </c>
      <c r="CU27" s="564" t="str">
        <f>INDEX(EPD_Measures,9)</f>
        <v>Material resources consumption</v>
      </c>
      <c r="CV27" s="564" t="str">
        <f>INDEX(EPD_Measures,10)</f>
        <v>Nonrenewable material resources</v>
      </c>
      <c r="CW27" s="564" t="str">
        <f>INDEX(EPD_Measures,11)</f>
        <v>Renewable material resources</v>
      </c>
      <c r="CX27" s="564"/>
      <c r="CY27" s="564"/>
      <c r="CZ27" s="564" t="str">
        <f>INDEX(EPD_Measures,12)</f>
        <v>Net Fresh Water</v>
      </c>
      <c r="DA27" s="564" t="str">
        <f>INDEX(EPD_Measures,1)</f>
        <v>Global warming potential (GWP)</v>
      </c>
      <c r="DB27" s="564" t="str">
        <f>INDEX(EPD_Measures,2)</f>
        <v>Acidification potential</v>
      </c>
      <c r="DC27" s="564" t="str">
        <f>INDEX(EPD_Measures,3)</f>
        <v>Eutrophication potential</v>
      </c>
      <c r="DD27" s="564" t="str">
        <f>INDEX(EPD_Measures,4)</f>
        <v>Smog creation potential</v>
      </c>
      <c r="DE27" s="564" t="str">
        <f>INDEX(EPD_Measures,5)</f>
        <v>Ozone depletion potential</v>
      </c>
      <c r="DF27" s="564" t="str">
        <f>INDEX(EPD_Measures,6)</f>
        <v>Total primary energy consumption</v>
      </c>
      <c r="DG27" s="564" t="str">
        <f>INDEX(EPD_Measures,7)</f>
        <v>Nonrenewable energy resources</v>
      </c>
      <c r="DH27" s="564" t="str">
        <f>INDEX(EPD_Measures,8)</f>
        <v>Renewable energy resources</v>
      </c>
      <c r="DI27" s="564" t="str">
        <f>INDEX(EPD_Measures,9)</f>
        <v>Material resources consumption</v>
      </c>
      <c r="DJ27" s="564" t="str">
        <f>INDEX(EPD_Measures,10)</f>
        <v>Nonrenewable material resources</v>
      </c>
      <c r="DK27" s="564" t="str">
        <f>INDEX(EPD_Measures,11)</f>
        <v>Renewable material resources</v>
      </c>
      <c r="DL27" s="564"/>
      <c r="DM27" s="564"/>
      <c r="DN27" s="564" t="str">
        <f>INDEX(EPD_Measures,12)</f>
        <v>Net Fresh Water</v>
      </c>
      <c r="DO27" s="564" t="str">
        <f>INDEX(EPD_Measures,1)</f>
        <v>Global warming potential (GWP)</v>
      </c>
      <c r="DP27" s="564" t="str">
        <f>INDEX(EPD_Measures,2)</f>
        <v>Acidification potential</v>
      </c>
      <c r="DQ27" s="564" t="str">
        <f>INDEX(EPD_Measures,3)</f>
        <v>Eutrophication potential</v>
      </c>
      <c r="DR27" s="564" t="str">
        <f>INDEX(EPD_Measures,4)</f>
        <v>Smog creation potential</v>
      </c>
      <c r="DS27" s="564" t="str">
        <f>INDEX(EPD_Measures,5)</f>
        <v>Ozone depletion potential</v>
      </c>
      <c r="DT27" s="564" t="str">
        <f>INDEX(EPD_Measures,6)</f>
        <v>Total primary energy consumption</v>
      </c>
      <c r="DU27" s="564" t="str">
        <f>INDEX(EPD_Measures,7)</f>
        <v>Nonrenewable energy resources</v>
      </c>
      <c r="DV27" s="564" t="str">
        <f>INDEX(EPD_Measures,8)</f>
        <v>Renewable energy resources</v>
      </c>
      <c r="DW27" s="564" t="str">
        <f>INDEX(EPD_Measures,9)</f>
        <v>Material resources consumption</v>
      </c>
      <c r="DX27" s="564" t="str">
        <f>INDEX(EPD_Measures,10)</f>
        <v>Nonrenewable material resources</v>
      </c>
      <c r="DY27" s="564" t="str">
        <f>INDEX(EPD_Measures,11)</f>
        <v>Renewable material resources</v>
      </c>
      <c r="DZ27" s="564"/>
      <c r="EA27" s="564"/>
      <c r="EB27" s="564" t="str">
        <f>INDEX(EPD_Measures,12)</f>
        <v>Net Fresh Water</v>
      </c>
      <c r="EC27"/>
      <c r="ED27"/>
      <c r="EE27"/>
      <c r="EF27"/>
      <c r="EG27"/>
    </row>
    <row r="28" spans="2:137" ht="15" customHeight="1">
      <c r="C28" s="43" t="str">
        <f>"Define the total specific materials used to produce the amount of "&amp;$Y$4&amp;" defined in Table A above."</f>
        <v>Define the total specific materials used to produce the amount of Structural Precast Products defined in Table A above.</v>
      </c>
      <c r="D28" s="44"/>
      <c r="E28" s="44"/>
      <c r="F28" s="44"/>
      <c r="G28" s="44"/>
      <c r="I28" s="98"/>
      <c r="J28"/>
      <c r="K28"/>
      <c r="L28"/>
      <c r="M28"/>
      <c r="N28"/>
      <c r="O28"/>
      <c r="P28"/>
      <c r="Q28"/>
      <c r="R28"/>
      <c r="S28"/>
      <c r="T28"/>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5" t="str">
        <f>INDEX(EPD_Calc_Units,12)</f>
        <v>m3</v>
      </c>
      <c r="BJ28" s="145"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INDEX(EPD_Calc_Units,3)</f>
        <v>kg</v>
      </c>
      <c r="CP28" s="490" t="str">
        <f>INDEX(EPD_Calc_Units,4)</f>
        <v>kg</v>
      </c>
      <c r="CQ28" s="490" t="str">
        <f>INDEX(EPD_Calc_Units,5)</f>
        <v>kg</v>
      </c>
      <c r="CR28" s="490" t="str">
        <f>INDEX(EPD_Calc_Units,6)</f>
        <v>MJ</v>
      </c>
      <c r="CS28" s="490" t="str">
        <f>INDEX(EPD_Calc_Units,7)</f>
        <v>MJ</v>
      </c>
      <c r="CT28" s="490" t="str">
        <f>INDEX(EPD_Calc_Units,8)</f>
        <v>MJ</v>
      </c>
      <c r="CU28" s="490" t="str">
        <f>INDEX(EPD_Calc_Units,9)</f>
        <v>kg</v>
      </c>
      <c r="CV28" s="490" t="str">
        <f>INDEX(EPD_Calc_Units,10)</f>
        <v>kg</v>
      </c>
      <c r="CW28" s="490" t="str">
        <f>INDEX(EPD_Calc_Units,11)</f>
        <v>kg</v>
      </c>
      <c r="CX28" s="490"/>
      <c r="CY28" s="490"/>
      <c r="CZ28" s="490" t="str">
        <f>INDEX(EPD_Calc_Units,12)</f>
        <v>m3</v>
      </c>
      <c r="DA28" s="490" t="str">
        <f>INDEX(EPD_Calc_Units,1)</f>
        <v>kg</v>
      </c>
      <c r="DB28" s="490" t="str">
        <f>INDEX(EPD_Calc_Units,2)</f>
        <v>kg</v>
      </c>
      <c r="DC28" s="490" t="str">
        <f>INDEX(EPD_Calc_Units,3)</f>
        <v>kg</v>
      </c>
      <c r="DD28" s="490" t="str">
        <f>INDEX(EPD_Calc_Units,4)</f>
        <v>kg</v>
      </c>
      <c r="DE28" s="490" t="str">
        <f>INDEX(EPD_Calc_Units,5)</f>
        <v>kg</v>
      </c>
      <c r="DF28" s="490" t="str">
        <f>INDEX(EPD_Calc_Units,6)</f>
        <v>MJ</v>
      </c>
      <c r="DG28" s="490" t="str">
        <f>INDEX(EPD_Calc_Units,7)</f>
        <v>MJ</v>
      </c>
      <c r="DH28" s="490" t="str">
        <f>INDEX(EPD_Calc_Units,8)</f>
        <v>MJ</v>
      </c>
      <c r="DI28" s="490" t="str">
        <f>INDEX(EPD_Calc_Units,9)</f>
        <v>kg</v>
      </c>
      <c r="DJ28" s="490" t="str">
        <f>INDEX(EPD_Calc_Units,10)</f>
        <v>kg</v>
      </c>
      <c r="DK28" s="490" t="str">
        <f>INDEX(EPD_Calc_Units,11)</f>
        <v>kg</v>
      </c>
      <c r="DL28" s="490"/>
      <c r="DM28" s="490"/>
      <c r="DN28" s="490" t="str">
        <f>INDEX(EPD_Calc_Units,12)</f>
        <v>m3</v>
      </c>
      <c r="DO28" s="490" t="str">
        <f>INDEX(EPD_Calc_Units,1)</f>
        <v>kg</v>
      </c>
      <c r="DP28" s="490" t="str">
        <f>INDEX(EPD_Calc_Units,2)</f>
        <v>kg</v>
      </c>
      <c r="DQ28" s="490" t="str">
        <f>INDEX(EPD_Calc_Units,3)</f>
        <v>kg</v>
      </c>
      <c r="DR28" s="490" t="str">
        <f>INDEX(EPD_Calc_Units,4)</f>
        <v>kg</v>
      </c>
      <c r="DS28" s="490" t="str">
        <f>INDEX(EPD_Calc_Units,5)</f>
        <v>kg</v>
      </c>
      <c r="DT28" s="490" t="str">
        <f>INDEX(EPD_Calc_Units,6)</f>
        <v>MJ</v>
      </c>
      <c r="DU28" s="490" t="str">
        <f>INDEX(EPD_Calc_Units,7)</f>
        <v>MJ</v>
      </c>
      <c r="DV28" s="490" t="str">
        <f>INDEX(EPD_Calc_Units,8)</f>
        <v>MJ</v>
      </c>
      <c r="DW28" s="490" t="str">
        <f>INDEX(EPD_Calc_Units,9)</f>
        <v>kg</v>
      </c>
      <c r="DX28" s="490" t="str">
        <f>INDEX(EPD_Calc_Units,10)</f>
        <v>kg</v>
      </c>
      <c r="DY28" s="490" t="str">
        <f>INDEX(EPD_Calc_Units,11)</f>
        <v>kg</v>
      </c>
      <c r="DZ28" s="490"/>
      <c r="EA28" s="490"/>
      <c r="EB28" s="490" t="str">
        <f>INDEX(EPD_Calc_Units,12)</f>
        <v>m3</v>
      </c>
      <c r="EC28"/>
      <c r="ED28"/>
      <c r="EE28"/>
      <c r="EF28"/>
      <c r="EG28"/>
    </row>
    <row r="29" spans="2:137" ht="15" customHeight="1">
      <c r="C29" s="23" t="s">
        <v>2</v>
      </c>
      <c r="D29" s="24" t="s">
        <v>5</v>
      </c>
      <c r="E29" s="25" t="s">
        <v>12</v>
      </c>
      <c r="F29" s="25" t="s">
        <v>6</v>
      </c>
      <c r="G29" s="25" t="s">
        <v>102</v>
      </c>
      <c r="H29" s="25" t="s">
        <v>6</v>
      </c>
      <c r="I29" s="155" t="s">
        <v>240</v>
      </c>
      <c r="J29"/>
      <c r="K29"/>
      <c r="L29"/>
      <c r="M29"/>
      <c r="N29"/>
      <c r="O29"/>
      <c r="P29"/>
      <c r="Q29"/>
      <c r="R29"/>
      <c r="S29"/>
      <c r="T29"/>
      <c r="Y29" s="13" t="s">
        <v>452</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2:137" ht="15" customHeight="1">
      <c r="B30" s="53">
        <f>X30</f>
        <v>0</v>
      </c>
      <c r="C30" s="26">
        <f>ROW($C30)-ROW($C$30)+1</f>
        <v>1</v>
      </c>
      <c r="D30" s="46" t="str">
        <f>'Plant Inputs'!$D30</f>
        <v>Portland Cement</v>
      </c>
      <c r="E30" s="419"/>
      <c r="F30" s="106" t="str">
        <f t="shared" ref="F30:F41" si="6">MassDisplayUnit</f>
        <v>short ton</v>
      </c>
      <c r="G30" s="158">
        <f>$AV30</f>
        <v>0</v>
      </c>
      <c r="H30" s="204" t="str">
        <f t="shared" ref="H30:H66" si="7">MassDisplayUnit</f>
        <v>short ton</v>
      </c>
      <c r="I30" s="156">
        <f t="shared" ref="I30:I65" si="8">IF($G$68=0,0,G30/$G$68)</f>
        <v>0</v>
      </c>
      <c r="J30"/>
      <c r="K30"/>
      <c r="L30"/>
      <c r="M30"/>
      <c r="N30"/>
      <c r="O30"/>
      <c r="P30"/>
      <c r="Q30"/>
      <c r="R30"/>
      <c r="S30"/>
      <c r="T30"/>
      <c r="X30" s="67">
        <f>IF(ISBLANK(E30),0,1)</f>
        <v>0</v>
      </c>
      <c r="Y30" s="216">
        <f>IF(AND($X30=1,'Plant Inputs'!$Y30=1),1,0)</f>
        <v>0</v>
      </c>
      <c r="Z30" s="216"/>
      <c r="AA30" s="216">
        <f>IF($Y30=0,0,IF('Plant Inputs'!J30="",0,'Plant Inputs'!J30))</f>
        <v>0</v>
      </c>
      <c r="AB30" s="216">
        <f>IF($Y30=0,0,IF('Plant Inputs'!K30="",0,'Plant Inputs'!K30))</f>
        <v>0</v>
      </c>
      <c r="AC30" s="216">
        <f>IF($Y30=0,0,IF('Plant Inputs'!L30="",0,'Plant Inputs'!L30))</f>
        <v>0</v>
      </c>
      <c r="AD30" s="216">
        <f>IF($Y30=0,0,IF('Plant Inputs'!M30="",0,'Plant Inputs'!M30))</f>
        <v>0</v>
      </c>
      <c r="AE30" s="217" t="str">
        <f>'Plant Inputs'!$O30</f>
        <v>mile</v>
      </c>
      <c r="AF30" s="217">
        <f t="shared" ref="AF30:AF64" si="9">INDEX(Conversion_Table,MATCH($AE30,Conversion_Rows,0),MATCH($AG$27,Conversion_Columns,0))</f>
        <v>1.6093473468862911</v>
      </c>
      <c r="AG30" s="216" t="str">
        <f>$AG$27&amp;"/"&amp;$AE30</f>
        <v>km/mile</v>
      </c>
      <c r="AH30" s="216">
        <f t="shared" ref="AH30:AK47" si="10">AA30*$AF30</f>
        <v>0</v>
      </c>
      <c r="AI30" s="216">
        <f t="shared" si="10"/>
        <v>0</v>
      </c>
      <c r="AJ30" s="216">
        <f t="shared" si="10"/>
        <v>0</v>
      </c>
      <c r="AK30" s="216">
        <f t="shared" si="10"/>
        <v>0</v>
      </c>
      <c r="AL30" s="216"/>
      <c r="AM30" s="1" t="str">
        <f t="shared" ref="AM30:AM64" si="11">D30</f>
        <v>Portland Cement</v>
      </c>
      <c r="AN30" t="s">
        <v>127</v>
      </c>
      <c r="AO30">
        <f t="shared" ref="AO30:AO57" si="12">VLOOKUP(AM30,Material_Densities,2,FALSE)</f>
        <v>0</v>
      </c>
      <c r="AP30" s="1">
        <f>IF($E30="",0,$E30)</f>
        <v>0</v>
      </c>
      <c r="AQ30" s="1" t="str">
        <f t="shared" ref="AQ30:AQ57" si="13">F30</f>
        <v>short ton</v>
      </c>
      <c r="AR30" s="1">
        <f t="shared" ref="AR30:AR66" si="14">IFERROR(IF($AN30="M",INDEX(Conversion_Table,MATCH($AQ30,Conversion_Rows,0),MATCH($AT$29,Conversion_Columns,0)),IF($AN30="V",INDEX(Conversion_Table,MATCH($AQ30,Conversion_Rows,0),MATCH("m3",Conversion_Columns,0))*$AO30)),NA())</f>
        <v>0.90718499588591606</v>
      </c>
      <c r="AS30" s="87" t="str">
        <f t="shared" ref="AS30:AS57" si="15">$AT$29&amp;"/"&amp;AQ30</f>
        <v>tonne/short ton</v>
      </c>
      <c r="AT30" s="87">
        <f t="shared" ref="AT30:AT57" si="16">AP30*AR30</f>
        <v>0</v>
      </c>
      <c r="AU30" s="87">
        <f t="shared" ref="AU30:AU57" si="17">INDEX(Conversion_Table,MATCH($AT$29,Conversion_Rows,0),MATCH($AU$29,Conversion_Columns,0))*AT30</f>
        <v>0</v>
      </c>
      <c r="AV30" s="87">
        <f t="shared" ref="AV30:AV66" si="18">$AT30*INDEX(Conversion_Table,MATCH($AT$29,Conversion_Rows,0),MATCH($AV$29,Conversion_Columns,0))</f>
        <v>0</v>
      </c>
      <c r="AW30" t="str">
        <f t="shared" ref="AW30:AW57" si="19">AM30</f>
        <v>Portland Cement</v>
      </c>
      <c r="AX30" s="148">
        <f>'Cement Sources'!BC$13*$AU30</f>
        <v>0</v>
      </c>
      <c r="AY30" s="148">
        <f>'Cement Sources'!BD$13*$AU30</f>
        <v>0</v>
      </c>
      <c r="AZ30" s="148">
        <f>'Cement Sources'!BE$13*$AU30</f>
        <v>0</v>
      </c>
      <c r="BA30" s="148">
        <f>'Cement Sources'!BF$13*$AU30</f>
        <v>0</v>
      </c>
      <c r="BB30" s="148">
        <f>'Cement Sources'!BG$13*$AU30</f>
        <v>0</v>
      </c>
      <c r="BC30" s="148">
        <f>'Cement Sources'!BH$13*$AU30</f>
        <v>0</v>
      </c>
      <c r="BD30" s="148">
        <f>'Cement Sources'!BI$13*$AU30</f>
        <v>0</v>
      </c>
      <c r="BE30" s="148">
        <f>'Cement Sources'!BJ$13*$AU30</f>
        <v>0</v>
      </c>
      <c r="BF30" s="148">
        <f>'Cement Sources'!BK$13*$AU30</f>
        <v>0</v>
      </c>
      <c r="BG30" s="148">
        <f>'Cement Sources'!BL$13*$AU30</f>
        <v>0</v>
      </c>
      <c r="BH30" s="148">
        <f>'Cement Sources'!BM$13*$AU30</f>
        <v>0</v>
      </c>
      <c r="BI30" s="148">
        <f>'Cement Sources'!BN$13*$AU30</f>
        <v>0</v>
      </c>
      <c r="BJ30" s="148">
        <f>'Cement Sources'!BO$13*$AU30</f>
        <v>0</v>
      </c>
      <c r="BK30" s="148">
        <f>'Cement Sources'!BP$13*$AU30</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IFERROR(INDEX(LCIA_Data,MATCH($AO$15&amp;CM$27,LCIA_Rows_B&amp;LCIA_Rows_C,0),MATCH(CM$26,LCIA_Columns,0)),0)*$AT30*$AJ30*$BN$23</f>
        <v>0</v>
      </c>
      <c r="CN30" s="1">
        <f t="array" ref="CN30">IFERROR(INDEX(LCIA_Data,MATCH($AO$15&amp;CN$27,LCIA_Rows_B&amp;LCIA_Rows_C,0),MATCH(CN$26,LCIA_Columns,0)),0)*$AT30*$AJ30*$BN$23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IFERROR(INDEX(LCIA_Data,MATCH($AO$15&amp;DA$27,LCIA_Rows_B&amp;LCIA_Rows_C,0),MATCH(DA$26,LCIA_Columns,0)),0)*$AT30*$AK30*$BN$23</f>
        <v>0</v>
      </c>
      <c r="DB30" s="1">
        <f t="array" ref="DB30">IFERROR(INDEX(LCIA_Data,MATCH($AO$15&amp;DB$27,LCIA_Rows_B&amp;LCIA_Rows_C,0),MATCH(DB$26,LCIA_Columns,0)),0)*$AT30*$AK30*$BN$23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f t="shared" ref="DO30:DO64" si="20">BM30+CA30+CM30+DA30</f>
        <v>0</v>
      </c>
      <c r="DP30">
        <f t="shared" ref="DP30:DP64" si="21">BN30+CB30+CN30+DB30</f>
        <v>0</v>
      </c>
      <c r="DQ30">
        <f t="shared" ref="DQ30:DQ64" si="22">BO30+CC30+CO30+DC30</f>
        <v>0</v>
      </c>
      <c r="DR30">
        <f t="shared" ref="DR30:DR64" si="23">BP30+CD30+CP30+DD30</f>
        <v>0</v>
      </c>
      <c r="DS30">
        <f t="shared" ref="DS30:DS64" si="24">BQ30+CE30+CQ30+DE30</f>
        <v>0</v>
      </c>
      <c r="DT30">
        <f t="shared" ref="DT30:DT64" si="25">BR30+CF30+CR30+DF30</f>
        <v>0</v>
      </c>
      <c r="DU30">
        <f t="shared" ref="DU30:DU64" si="26">BS30+CG30+CS30+DG30</f>
        <v>0</v>
      </c>
      <c r="DV30">
        <f t="shared" ref="DV30:DV64" si="27">BT30+CH30+CT30+DH30</f>
        <v>0</v>
      </c>
      <c r="DW30">
        <f t="shared" ref="DW30:DW64" si="28">BU30+CI30+CU30+DI30</f>
        <v>0</v>
      </c>
      <c r="DX30">
        <f t="shared" ref="DX30:DX64" si="29">BV30+CJ30+CV30+DJ30</f>
        <v>0</v>
      </c>
      <c r="DY30">
        <f t="shared" ref="DY30:DY64" si="30">BW30+CK30+CW30+DK30</f>
        <v>0</v>
      </c>
      <c r="DZ30">
        <f t="shared" ref="DZ30:EA45" si="31">BX30+CL30+CX30+DL30</f>
        <v>0</v>
      </c>
      <c r="EA30">
        <f t="shared" si="31"/>
        <v>0</v>
      </c>
      <c r="EB30">
        <f t="shared" ref="EB30:EB64" si="32">BZ30+CL30+CZ30+DN30</f>
        <v>0</v>
      </c>
      <c r="EC30"/>
      <c r="ED30"/>
      <c r="EE30"/>
      <c r="EF30"/>
      <c r="EG30"/>
    </row>
    <row r="31" spans="2:137" ht="15" customHeight="1">
      <c r="B31" s="53">
        <f>X31</f>
        <v>0</v>
      </c>
      <c r="C31" s="26">
        <f t="shared" ref="C31:C67" si="33">ROW($C31)-ROW($C$30)+1</f>
        <v>2</v>
      </c>
      <c r="D31" s="46" t="str">
        <f>'Plant Inputs'!$D31</f>
        <v>Portland Limestone Cement (PLC)</v>
      </c>
      <c r="E31" s="419"/>
      <c r="F31" s="106" t="str">
        <f t="shared" si="6"/>
        <v>short ton</v>
      </c>
      <c r="G31" s="158">
        <f>$AV31</f>
        <v>0</v>
      </c>
      <c r="H31" s="204" t="str">
        <f t="shared" si="7"/>
        <v>short ton</v>
      </c>
      <c r="I31" s="399">
        <f t="shared" si="8"/>
        <v>0</v>
      </c>
      <c r="J31"/>
      <c r="K31"/>
      <c r="L31"/>
      <c r="M31"/>
      <c r="N31"/>
      <c r="O31"/>
      <c r="P31"/>
      <c r="Q31"/>
      <c r="R31"/>
      <c r="S31"/>
      <c r="T31"/>
      <c r="X31" s="67">
        <f>IF(ISBLANK(E31),0,1)</f>
        <v>0</v>
      </c>
      <c r="Y31" s="216">
        <f>IF(AND($X31=1,'Plant Inputs'!$Y31=1),1,0)</f>
        <v>0</v>
      </c>
      <c r="Z31" s="216"/>
      <c r="AA31" s="216">
        <f>IF($Y31=0,0,IF('Plant Inputs'!J31="",0,'Plant Inputs'!J31))</f>
        <v>0</v>
      </c>
      <c r="AB31" s="216">
        <f>IF($Y31=0,0,IF('Plant Inputs'!K31="",0,'Plant Inputs'!K31))</f>
        <v>0</v>
      </c>
      <c r="AC31" s="216">
        <f>IF($Y31=0,0,IF('Plant Inputs'!L31="",0,'Plant Inputs'!L31))</f>
        <v>0</v>
      </c>
      <c r="AD31" s="216">
        <f>IF($Y31=0,0,IF('Plant Inputs'!M31="",0,'Plant Inputs'!M31))</f>
        <v>0</v>
      </c>
      <c r="AE31" s="217" t="str">
        <f>'Plant Inputs'!$O31</f>
        <v>mile</v>
      </c>
      <c r="AF31" s="217">
        <f t="shared" si="9"/>
        <v>1.6093473468862911</v>
      </c>
      <c r="AG31" s="216" t="str">
        <f t="shared" ref="AG31:AG64" si="34">$AG$27&amp;"/"&amp;$AE31</f>
        <v>km/mile</v>
      </c>
      <c r="AH31" s="216">
        <f t="shared" si="10"/>
        <v>0</v>
      </c>
      <c r="AI31" s="216">
        <f t="shared" si="10"/>
        <v>0</v>
      </c>
      <c r="AJ31" s="216">
        <f t="shared" si="10"/>
        <v>0</v>
      </c>
      <c r="AK31" s="216">
        <f t="shared" si="10"/>
        <v>0</v>
      </c>
      <c r="AL31" s="216"/>
      <c r="AM31" s="1" t="str">
        <f t="shared" si="11"/>
        <v>Portland Limestone Cement (PLC)</v>
      </c>
      <c r="AN31" t="s">
        <v>127</v>
      </c>
      <c r="AO31">
        <f t="shared" si="12"/>
        <v>0</v>
      </c>
      <c r="AP31" s="1">
        <f t="shared" ref="AP31:AP67" si="35">IF($E31="",0,$E31)</f>
        <v>0</v>
      </c>
      <c r="AQ31" s="1" t="str">
        <f t="shared" si="13"/>
        <v>short ton</v>
      </c>
      <c r="AR31" s="1">
        <f t="shared" si="14"/>
        <v>0.90718499588591606</v>
      </c>
      <c r="AS31" s="87" t="str">
        <f t="shared" si="15"/>
        <v>tonne/short ton</v>
      </c>
      <c r="AT31" s="87">
        <f t="shared" si="16"/>
        <v>0</v>
      </c>
      <c r="AU31" s="87">
        <f t="shared" si="17"/>
        <v>0</v>
      </c>
      <c r="AV31" s="87">
        <f t="shared" si="18"/>
        <v>0</v>
      </c>
      <c r="AW31" t="str">
        <f t="shared" si="19"/>
        <v>Portland Limestone Cement (PLC)</v>
      </c>
      <c r="AX31" s="148">
        <f>'Cement Sources'!BC$25*$AU31</f>
        <v>0</v>
      </c>
      <c r="AY31" s="148">
        <f>'Cement Sources'!BD$25*$AU31</f>
        <v>0</v>
      </c>
      <c r="AZ31" s="148">
        <f>'Cement Sources'!BE$25*$AU31</f>
        <v>0</v>
      </c>
      <c r="BA31" s="148">
        <f>'Cement Sources'!BF$25*$AU31</f>
        <v>0</v>
      </c>
      <c r="BB31" s="148">
        <f>'Cement Sources'!BG$25*$AU31</f>
        <v>0</v>
      </c>
      <c r="BC31" s="148">
        <f>'Cement Sources'!BH$25*$AU31</f>
        <v>0</v>
      </c>
      <c r="BD31" s="148">
        <f>'Cement Sources'!BI$25*$AU31</f>
        <v>0</v>
      </c>
      <c r="BE31" s="148">
        <f>'Cement Sources'!BJ$25*$AU31</f>
        <v>0</v>
      </c>
      <c r="BF31" s="148">
        <f>'Cement Sources'!BK$25*$AU31</f>
        <v>0</v>
      </c>
      <c r="BG31" s="148">
        <f>'Cement Sources'!BL$25*$AU31</f>
        <v>0</v>
      </c>
      <c r="BH31" s="148">
        <f>'Cement Sources'!BM$25*$AU31</f>
        <v>0</v>
      </c>
      <c r="BI31" s="148">
        <f>'Cement Sources'!BN$25*$AU31</f>
        <v>0</v>
      </c>
      <c r="BJ31" s="148">
        <f>'Cement Sources'!BO$25*$AU31</f>
        <v>0</v>
      </c>
      <c r="BK31" s="148">
        <f>'Cement Sources'!BP$25*$AU31</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IFERROR(INDEX(LCIA_Data,MATCH($AO$15&amp;CM$27,LCIA_Rows_B&amp;LCIA_Rows_C,0),MATCH(CM$26,LCIA_Columns,0)),0)*$AT31*$AJ31*$BN$23</f>
        <v>0</v>
      </c>
      <c r="CN31" s="1">
        <f t="array" ref="CN31">IFERROR(INDEX(LCIA_Data,MATCH($AO$15&amp;CN$27,LCIA_Rows_B&amp;LCIA_Rows_C,0),MATCH(CN$26,LCIA_Columns,0)),0)*$AT31*$AJ31*$BN$23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IFERROR(INDEX(LCIA_Data,MATCH($AO$15&amp;DA$27,LCIA_Rows_B&amp;LCIA_Rows_C,0),MATCH(DA$26,LCIA_Columns,0)),0)*$AT31*$AK31*$BN$23</f>
        <v>0</v>
      </c>
      <c r="DB31" s="1">
        <f t="array" ref="DB31">IFERROR(INDEX(LCIA_Data,MATCH($AO$15&amp;DB$27,LCIA_Rows_B&amp;LCIA_Rows_C,0),MATCH(DB$26,LCIA_Columns,0)),0)*$AT31*$AK31*$BN$23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f t="shared" si="20"/>
        <v>0</v>
      </c>
      <c r="DP31">
        <f t="shared" si="21"/>
        <v>0</v>
      </c>
      <c r="DQ31">
        <f t="shared" si="22"/>
        <v>0</v>
      </c>
      <c r="DR31">
        <f t="shared" si="23"/>
        <v>0</v>
      </c>
      <c r="DS31">
        <f t="shared" si="24"/>
        <v>0</v>
      </c>
      <c r="DT31">
        <f t="shared" si="25"/>
        <v>0</v>
      </c>
      <c r="DU31">
        <f t="shared" si="26"/>
        <v>0</v>
      </c>
      <c r="DV31">
        <f t="shared" si="27"/>
        <v>0</v>
      </c>
      <c r="DW31">
        <f t="shared" si="28"/>
        <v>0</v>
      </c>
      <c r="DX31">
        <f t="shared" si="29"/>
        <v>0</v>
      </c>
      <c r="DY31">
        <f t="shared" si="30"/>
        <v>0</v>
      </c>
      <c r="DZ31">
        <f t="shared" si="31"/>
        <v>0</v>
      </c>
      <c r="EA31">
        <f t="shared" si="31"/>
        <v>0</v>
      </c>
      <c r="EB31">
        <f t="shared" si="32"/>
        <v>0</v>
      </c>
      <c r="EC31"/>
      <c r="ED31"/>
      <c r="EE31"/>
      <c r="EF31"/>
      <c r="EG31"/>
    </row>
    <row r="32" spans="2:137" ht="15" customHeight="1" thickBot="1">
      <c r="B32" s="53">
        <f>X32</f>
        <v>0</v>
      </c>
      <c r="C32" s="578">
        <f t="shared" si="33"/>
        <v>3</v>
      </c>
      <c r="D32" s="579" t="str">
        <f>'Plant Inputs'!$D32</f>
        <v>Pre-Blended Cement</v>
      </c>
      <c r="E32" s="580"/>
      <c r="F32" s="581" t="str">
        <f t="shared" si="6"/>
        <v>short ton</v>
      </c>
      <c r="G32" s="582">
        <f>$AV32</f>
        <v>0</v>
      </c>
      <c r="H32" s="205" t="str">
        <f t="shared" si="7"/>
        <v>short ton</v>
      </c>
      <c r="I32" s="157">
        <f t="shared" si="8"/>
        <v>0</v>
      </c>
      <c r="J32"/>
      <c r="K32"/>
      <c r="L32"/>
      <c r="M32"/>
      <c r="N32"/>
      <c r="O32"/>
      <c r="P32"/>
      <c r="Q32"/>
      <c r="R32"/>
      <c r="S32"/>
      <c r="T32"/>
      <c r="X32" s="67">
        <f>IF(ISBLANK(E32),0,1)</f>
        <v>0</v>
      </c>
      <c r="Y32" s="216">
        <f>IF(AND($X32=1,'Plant Inputs'!$Y32=1),1,0)</f>
        <v>0</v>
      </c>
      <c r="Z32" s="216"/>
      <c r="AA32" s="216">
        <f>IF($Y32=0,0,IF('Plant Inputs'!J32="",0,'Plant Inputs'!J32))</f>
        <v>0</v>
      </c>
      <c r="AB32" s="216">
        <f>IF($Y32=0,0,IF('Plant Inputs'!K32="",0,'Plant Inputs'!K32))</f>
        <v>0</v>
      </c>
      <c r="AC32" s="216">
        <f>IF($Y32=0,0,IF('Plant Inputs'!L32="",0,'Plant Inputs'!L32))</f>
        <v>0</v>
      </c>
      <c r="AD32" s="216">
        <f>IF($Y32=0,0,IF('Plant Inputs'!M32="",0,'Plant Inputs'!M32))</f>
        <v>0</v>
      </c>
      <c r="AE32" s="217" t="str">
        <f>'Plant Inputs'!$O32</f>
        <v>mile</v>
      </c>
      <c r="AF32" s="217">
        <f t="shared" si="9"/>
        <v>1.6093473468862911</v>
      </c>
      <c r="AG32" s="216" t="str">
        <f t="shared" si="34"/>
        <v>km/mile</v>
      </c>
      <c r="AH32" s="216">
        <f t="shared" ref="AH32" si="36">AA32*$AF32</f>
        <v>0</v>
      </c>
      <c r="AI32" s="216">
        <f t="shared" ref="AI32" si="37">AB32*$AF32</f>
        <v>0</v>
      </c>
      <c r="AJ32" s="216">
        <f t="shared" ref="AJ32" si="38">AC32*$AF32</f>
        <v>0</v>
      </c>
      <c r="AK32" s="216">
        <f t="shared" ref="AK32" si="39">AD32*$AF32</f>
        <v>0</v>
      </c>
      <c r="AL32" s="216"/>
      <c r="AM32" s="1" t="str">
        <f t="shared" ref="AM32" si="40">D32</f>
        <v>Pre-Blended Cement</v>
      </c>
      <c r="AN32" t="s">
        <v>127</v>
      </c>
      <c r="AO32">
        <f t="shared" ref="AO32" si="41">VLOOKUP(AM32,Material_Densities,2,FALSE)</f>
        <v>0</v>
      </c>
      <c r="AP32" s="1">
        <f t="shared" si="35"/>
        <v>0</v>
      </c>
      <c r="AQ32" s="1" t="str">
        <f t="shared" ref="AQ32" si="42">F32</f>
        <v>short ton</v>
      </c>
      <c r="AR32" s="1">
        <f t="shared" si="14"/>
        <v>0.90718499588591606</v>
      </c>
      <c r="AS32" s="87" t="str">
        <f t="shared" ref="AS32" si="43">$AT$29&amp;"/"&amp;AQ32</f>
        <v>tonne/short ton</v>
      </c>
      <c r="AT32" s="87">
        <f t="shared" ref="AT32" si="44">AP32*AR32</f>
        <v>0</v>
      </c>
      <c r="AU32" s="87">
        <f t="shared" ref="AU32" si="45">INDEX(Conversion_Table,MATCH($AT$29,Conversion_Rows,0),MATCH($AU$29,Conversion_Columns,0))*AT32</f>
        <v>0</v>
      </c>
      <c r="AV32" s="87">
        <f t="shared" si="18"/>
        <v>0</v>
      </c>
      <c r="AW32" t="str">
        <f t="shared" ref="AW32" si="46">AM32</f>
        <v>Pre-Blended Cement</v>
      </c>
      <c r="AX32" s="148">
        <f>'Cement Sources'!BC$37*$AU32</f>
        <v>0</v>
      </c>
      <c r="AY32" s="148">
        <f>'Cement Sources'!BD$37*$AU32</f>
        <v>0</v>
      </c>
      <c r="AZ32" s="148">
        <f>'Cement Sources'!BE$37*$AU32</f>
        <v>0</v>
      </c>
      <c r="BA32" s="148">
        <f>'Cement Sources'!BF$37*$AU32</f>
        <v>0</v>
      </c>
      <c r="BB32" s="148">
        <f>'Cement Sources'!BG$37*$AU32</f>
        <v>0</v>
      </c>
      <c r="BC32" s="148">
        <f>'Cement Sources'!BH$37*$AU32</f>
        <v>0</v>
      </c>
      <c r="BD32" s="148">
        <f>'Cement Sources'!BI$37*$AU32</f>
        <v>0</v>
      </c>
      <c r="BE32" s="148">
        <f>'Cement Sources'!BJ$37*$AU32</f>
        <v>0</v>
      </c>
      <c r="BF32" s="148">
        <f>'Cement Sources'!BK$37*$AU32</f>
        <v>0</v>
      </c>
      <c r="BG32" s="148">
        <f>'Cement Sources'!BL$37*$AU32</f>
        <v>0</v>
      </c>
      <c r="BH32" s="148">
        <f>'Cement Sources'!BM$37*$AU32</f>
        <v>0</v>
      </c>
      <c r="BI32" s="148">
        <f>'Cement Sources'!BN$37*$AU32</f>
        <v>0</v>
      </c>
      <c r="BJ32" s="148">
        <f>'Cement Sources'!BO$37*$AU32</f>
        <v>0</v>
      </c>
      <c r="BK32" s="148">
        <f>'Cement Sources'!BP$37*$AU32</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IFERROR(INDEX(LCIA_Data,MATCH($AO$15&amp;CM$27,LCIA_Rows_B&amp;LCIA_Rows_C,0),MATCH(CM$26,LCIA_Columns,0)),0)*$AT32*$AJ32*$BN$23</f>
        <v>0</v>
      </c>
      <c r="CN32" s="1">
        <f t="array" ref="CN32">IFERROR(INDEX(LCIA_Data,MATCH($AO$15&amp;CN$27,LCIA_Rows_B&amp;LCIA_Rows_C,0),MATCH(CN$26,LCIA_Columns,0)),0)*$AT32*$AJ32*$BN$23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IFERROR(INDEX(LCIA_Data,MATCH($AO$15&amp;DA$27,LCIA_Rows_B&amp;LCIA_Rows_C,0),MATCH(DA$26,LCIA_Columns,0)),0)*$AT32*$AK32*$BN$23</f>
        <v>0</v>
      </c>
      <c r="DB32" s="1">
        <f t="array" ref="DB32">IFERROR(INDEX(LCIA_Data,MATCH($AO$15&amp;DB$27,LCIA_Rows_B&amp;LCIA_Rows_C,0),MATCH(DB$26,LCIA_Columns,0)),0)*$AT32*$AK32*$BN$23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f t="shared" si="20"/>
        <v>0</v>
      </c>
      <c r="DP32">
        <f t="shared" si="21"/>
        <v>0</v>
      </c>
      <c r="DQ32">
        <f t="shared" si="22"/>
        <v>0</v>
      </c>
      <c r="DR32">
        <f t="shared" si="23"/>
        <v>0</v>
      </c>
      <c r="DS32">
        <f t="shared" si="24"/>
        <v>0</v>
      </c>
      <c r="DT32">
        <f t="shared" si="25"/>
        <v>0</v>
      </c>
      <c r="DU32">
        <f t="shared" si="26"/>
        <v>0</v>
      </c>
      <c r="DV32">
        <f t="shared" si="27"/>
        <v>0</v>
      </c>
      <c r="DW32">
        <f t="shared" si="28"/>
        <v>0</v>
      </c>
      <c r="DX32">
        <f t="shared" si="29"/>
        <v>0</v>
      </c>
      <c r="DY32">
        <f t="shared" si="30"/>
        <v>0</v>
      </c>
      <c r="DZ32">
        <f t="shared" si="31"/>
        <v>0</v>
      </c>
      <c r="EA32">
        <f t="shared" si="31"/>
        <v>0</v>
      </c>
      <c r="EB32">
        <f t="shared" si="32"/>
        <v>0</v>
      </c>
      <c r="EC32"/>
      <c r="ED32"/>
      <c r="EE32"/>
      <c r="EF32"/>
      <c r="EG32"/>
    </row>
    <row r="33" spans="2:137" ht="15" customHeight="1">
      <c r="B33" s="53">
        <f t="shared" ref="B33:B64" si="47">X33</f>
        <v>0</v>
      </c>
      <c r="C33" s="221">
        <f t="shared" si="33"/>
        <v>4</v>
      </c>
      <c r="D33" s="222" t="str">
        <f>'Plant Inputs'!$D33</f>
        <v>Fine Aggregate - natural sand</v>
      </c>
      <c r="E33" s="154"/>
      <c r="F33" s="223" t="str">
        <f t="shared" si="6"/>
        <v>short ton</v>
      </c>
      <c r="G33" s="224">
        <f>$AV33</f>
        <v>0</v>
      </c>
      <c r="H33" s="225" t="str">
        <f t="shared" si="7"/>
        <v>short ton</v>
      </c>
      <c r="I33" s="156">
        <f t="shared" si="8"/>
        <v>0</v>
      </c>
      <c r="J33"/>
      <c r="K33"/>
      <c r="L33"/>
      <c r="M33"/>
      <c r="N33"/>
      <c r="O33"/>
      <c r="P33"/>
      <c r="Q33"/>
      <c r="R33"/>
      <c r="S33"/>
      <c r="T33"/>
      <c r="X33" s="67">
        <f>IF(ISBLANK(E33),0,1)</f>
        <v>0</v>
      </c>
      <c r="Y33" s="216">
        <f>IF(AND($X33=1,'Plant Inputs'!$Y33=1),1,0)</f>
        <v>0</v>
      </c>
      <c r="Z33" s="216"/>
      <c r="AA33" s="216">
        <f>IF($Y33=0,0,IF('Plant Inputs'!J33="",0,'Plant Inputs'!J33))</f>
        <v>0</v>
      </c>
      <c r="AB33" s="216">
        <f>IF($Y33=0,0,IF('Plant Inputs'!K33="",0,'Plant Inputs'!K33))</f>
        <v>0</v>
      </c>
      <c r="AC33" s="216">
        <f>IF($Y33=0,0,IF('Plant Inputs'!L33="",0,'Plant Inputs'!L33))</f>
        <v>0</v>
      </c>
      <c r="AD33" s="216">
        <f>IF($Y33=0,0,IF('Plant Inputs'!M33="",0,'Plant Inputs'!M33))</f>
        <v>0</v>
      </c>
      <c r="AE33" s="217" t="str">
        <f>'Plant Inputs'!$O33</f>
        <v>mile</v>
      </c>
      <c r="AF33" s="217">
        <f t="shared" si="9"/>
        <v>1.6093473468862911</v>
      </c>
      <c r="AG33" s="216" t="str">
        <f t="shared" si="34"/>
        <v>km/mile</v>
      </c>
      <c r="AH33" s="216">
        <f t="shared" si="10"/>
        <v>0</v>
      </c>
      <c r="AI33" s="216">
        <f t="shared" si="10"/>
        <v>0</v>
      </c>
      <c r="AJ33" s="216">
        <f t="shared" si="10"/>
        <v>0</v>
      </c>
      <c r="AK33" s="216">
        <f t="shared" si="10"/>
        <v>0</v>
      </c>
      <c r="AL33" s="216"/>
      <c r="AM33" s="1" t="str">
        <f t="shared" si="11"/>
        <v>Fine Aggregate - natural sand</v>
      </c>
      <c r="AN33" t="s">
        <v>127</v>
      </c>
      <c r="AO33">
        <f t="shared" si="12"/>
        <v>0</v>
      </c>
      <c r="AP33" s="1">
        <f t="shared" si="35"/>
        <v>0</v>
      </c>
      <c r="AQ33" s="1" t="str">
        <f t="shared" si="13"/>
        <v>short ton</v>
      </c>
      <c r="AR33" s="1">
        <f t="shared" si="14"/>
        <v>0.90718499588591606</v>
      </c>
      <c r="AS33" s="87" t="str">
        <f t="shared" si="15"/>
        <v>tonne/short ton</v>
      </c>
      <c r="AT33" s="87">
        <f t="shared" si="16"/>
        <v>0</v>
      </c>
      <c r="AU33" s="87">
        <f t="shared" si="17"/>
        <v>0</v>
      </c>
      <c r="AV33" s="87">
        <f t="shared" si="18"/>
        <v>0</v>
      </c>
      <c r="AW33" t="str">
        <f t="shared" si="19"/>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IFERROR(INDEX(LCIA_Data,MATCH($AO$15&amp;CM$27,LCIA_Rows_B&amp;LCIA_Rows_C,0),MATCH(CM$26,LCIA_Columns,0)),0)*$AT33*$AJ33*$BN$23</f>
        <v>0</v>
      </c>
      <c r="CN33" s="1">
        <f t="array" ref="CN33">IFERROR(INDEX(LCIA_Data,MATCH($AO$15&amp;CN$27,LCIA_Rows_B&amp;LCIA_Rows_C,0),MATCH(CN$26,LCIA_Columns,0)),0)*$AT33*$AJ33*$BN$23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IFERROR(INDEX(LCIA_Data,MATCH($AO$15&amp;DA$27,LCIA_Rows_B&amp;LCIA_Rows_C,0),MATCH(DA$26,LCIA_Columns,0)),0)*$AT33*$AK33*$BN$23</f>
        <v>0</v>
      </c>
      <c r="DB33" s="1">
        <f t="array" ref="DB33">IFERROR(INDEX(LCIA_Data,MATCH($AO$15&amp;DB$27,LCIA_Rows_B&amp;LCIA_Rows_C,0),MATCH(DB$26,LCIA_Columns,0)),0)*$AT33*$AK33*$BN$23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f t="shared" si="20"/>
        <v>0</v>
      </c>
      <c r="DP33">
        <f t="shared" si="21"/>
        <v>0</v>
      </c>
      <c r="DQ33">
        <f t="shared" si="22"/>
        <v>0</v>
      </c>
      <c r="DR33">
        <f t="shared" si="23"/>
        <v>0</v>
      </c>
      <c r="DS33">
        <f t="shared" si="24"/>
        <v>0</v>
      </c>
      <c r="DT33">
        <f t="shared" si="25"/>
        <v>0</v>
      </c>
      <c r="DU33">
        <f t="shared" si="26"/>
        <v>0</v>
      </c>
      <c r="DV33">
        <f t="shared" si="27"/>
        <v>0</v>
      </c>
      <c r="DW33">
        <f t="shared" si="28"/>
        <v>0</v>
      </c>
      <c r="DX33">
        <f t="shared" si="29"/>
        <v>0</v>
      </c>
      <c r="DY33">
        <f t="shared" si="30"/>
        <v>0</v>
      </c>
      <c r="DZ33">
        <f t="shared" si="31"/>
        <v>0</v>
      </c>
      <c r="EA33">
        <f t="shared" si="31"/>
        <v>0</v>
      </c>
      <c r="EB33">
        <f t="shared" si="32"/>
        <v>0</v>
      </c>
      <c r="EC33"/>
      <c r="ED33"/>
      <c r="EE33"/>
      <c r="EF33"/>
      <c r="EG33"/>
    </row>
    <row r="34" spans="2:137" ht="15" customHeight="1">
      <c r="B34" s="53">
        <f t="shared" si="47"/>
        <v>0</v>
      </c>
      <c r="C34" s="26">
        <f t="shared" si="33"/>
        <v>5</v>
      </c>
      <c r="D34" s="46" t="str">
        <f>'Plant Inputs'!$D34</f>
        <v>Fine Aggregate - manufactured</v>
      </c>
      <c r="E34" s="99"/>
      <c r="F34" s="119" t="str">
        <f t="shared" si="6"/>
        <v>short ton</v>
      </c>
      <c r="G34" s="158">
        <f t="shared" ref="G34:G66" si="48">$AV34</f>
        <v>0</v>
      </c>
      <c r="H34" s="204" t="str">
        <f t="shared" si="7"/>
        <v>short ton</v>
      </c>
      <c r="I34" s="156">
        <f t="shared" si="8"/>
        <v>0</v>
      </c>
      <c r="J34"/>
      <c r="K34"/>
      <c r="L34"/>
      <c r="M34"/>
      <c r="N34"/>
      <c r="O34"/>
      <c r="P34"/>
      <c r="Q34"/>
      <c r="R34"/>
      <c r="S34"/>
      <c r="T34"/>
      <c r="X34" s="67">
        <f t="shared" ref="X34:X65" si="49">IF(ISBLANK(E34),0,1)</f>
        <v>0</v>
      </c>
      <c r="Y34" s="216">
        <f>IF(AND($X34=1,'Plant Inputs'!$Y34=1),1,0)</f>
        <v>0</v>
      </c>
      <c r="Z34" s="216"/>
      <c r="AA34" s="216">
        <f>IF($Y34=0,0,IF('Plant Inputs'!J34="",0,'Plant Inputs'!J34))</f>
        <v>0</v>
      </c>
      <c r="AB34" s="216">
        <f>IF($Y34=0,0,IF('Plant Inputs'!K34="",0,'Plant Inputs'!K34))</f>
        <v>0</v>
      </c>
      <c r="AC34" s="216">
        <f>IF($Y34=0,0,IF('Plant Inputs'!L34="",0,'Plant Inputs'!L34))</f>
        <v>0</v>
      </c>
      <c r="AD34" s="216">
        <f>IF($Y34=0,0,IF('Plant Inputs'!M34="",0,'Plant Inputs'!M34))</f>
        <v>0</v>
      </c>
      <c r="AE34" s="217" t="str">
        <f>'Plant Inputs'!$O34</f>
        <v>mile</v>
      </c>
      <c r="AF34" s="217">
        <f t="shared" si="9"/>
        <v>1.6093473468862911</v>
      </c>
      <c r="AG34" s="216" t="str">
        <f t="shared" si="34"/>
        <v>km/mile</v>
      </c>
      <c r="AH34" s="216">
        <f t="shared" si="10"/>
        <v>0</v>
      </c>
      <c r="AI34" s="216">
        <f t="shared" si="10"/>
        <v>0</v>
      </c>
      <c r="AJ34" s="216">
        <f t="shared" si="10"/>
        <v>0</v>
      </c>
      <c r="AK34" s="216">
        <f t="shared" si="10"/>
        <v>0</v>
      </c>
      <c r="AL34" s="216"/>
      <c r="AM34" s="1" t="str">
        <f t="shared" si="11"/>
        <v>Fine Aggregate - manufactured</v>
      </c>
      <c r="AN34" t="s">
        <v>127</v>
      </c>
      <c r="AO34">
        <f t="shared" si="12"/>
        <v>0</v>
      </c>
      <c r="AP34" s="1">
        <f t="shared" si="35"/>
        <v>0</v>
      </c>
      <c r="AQ34" s="1" t="str">
        <f t="shared" si="13"/>
        <v>short ton</v>
      </c>
      <c r="AR34" s="1">
        <f t="shared" si="14"/>
        <v>0.90718499588591606</v>
      </c>
      <c r="AS34" s="87" t="str">
        <f t="shared" si="15"/>
        <v>tonne/short ton</v>
      </c>
      <c r="AT34" s="87">
        <f t="shared" si="16"/>
        <v>0</v>
      </c>
      <c r="AU34" s="87">
        <f t="shared" si="17"/>
        <v>0</v>
      </c>
      <c r="AV34" s="87">
        <f t="shared" si="18"/>
        <v>0</v>
      </c>
      <c r="AW34" t="str">
        <f t="shared" si="19"/>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IFERROR(INDEX(LCIA_Data,MATCH($AO$15&amp;CM$27,LCIA_Rows_B&amp;LCIA_Rows_C,0),MATCH(CM$26,LCIA_Columns,0)),0)*$AT34*$AJ34*$BN$23</f>
        <v>0</v>
      </c>
      <c r="CN34" s="1">
        <f t="array" ref="CN34">IFERROR(INDEX(LCIA_Data,MATCH($AO$15&amp;CN$27,LCIA_Rows_B&amp;LCIA_Rows_C,0),MATCH(CN$26,LCIA_Columns,0)),0)*$AT34*$AJ34*$BN$23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IFERROR(INDEX(LCIA_Data,MATCH($AO$15&amp;DA$27,LCIA_Rows_B&amp;LCIA_Rows_C,0),MATCH(DA$26,LCIA_Columns,0)),0)*$AT34*$AK34*$BN$23</f>
        <v>0</v>
      </c>
      <c r="DB34" s="1">
        <f t="array" ref="DB34">IFERROR(INDEX(LCIA_Data,MATCH($AO$15&amp;DB$27,LCIA_Rows_B&amp;LCIA_Rows_C,0),MATCH(DB$26,LCIA_Columns,0)),0)*$AT34*$AK34*$BN$23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f t="shared" si="20"/>
        <v>0</v>
      </c>
      <c r="DP34">
        <f t="shared" si="21"/>
        <v>0</v>
      </c>
      <c r="DQ34">
        <f t="shared" si="22"/>
        <v>0</v>
      </c>
      <c r="DR34">
        <f t="shared" si="23"/>
        <v>0</v>
      </c>
      <c r="DS34">
        <f t="shared" si="24"/>
        <v>0</v>
      </c>
      <c r="DT34">
        <f t="shared" si="25"/>
        <v>0</v>
      </c>
      <c r="DU34">
        <f t="shared" si="26"/>
        <v>0</v>
      </c>
      <c r="DV34">
        <f t="shared" si="27"/>
        <v>0</v>
      </c>
      <c r="DW34">
        <f t="shared" si="28"/>
        <v>0</v>
      </c>
      <c r="DX34">
        <f t="shared" si="29"/>
        <v>0</v>
      </c>
      <c r="DY34">
        <f t="shared" si="30"/>
        <v>0</v>
      </c>
      <c r="DZ34">
        <f t="shared" si="31"/>
        <v>0</v>
      </c>
      <c r="EA34">
        <f t="shared" si="31"/>
        <v>0</v>
      </c>
      <c r="EB34">
        <f t="shared" si="32"/>
        <v>0</v>
      </c>
      <c r="EC34"/>
      <c r="ED34"/>
      <c r="EE34"/>
      <c r="EF34"/>
      <c r="EG34"/>
    </row>
    <row r="35" spans="2:137" ht="15" customHeight="1">
      <c r="B35" s="53">
        <f t="shared" si="47"/>
        <v>0</v>
      </c>
      <c r="C35" s="26">
        <f t="shared" si="33"/>
        <v>6</v>
      </c>
      <c r="D35" s="41" t="str">
        <f>'Plant Inputs'!$D35</f>
        <v>Coarse Aggregate - natural gravel</v>
      </c>
      <c r="E35" s="99"/>
      <c r="F35" s="119" t="str">
        <f t="shared" si="6"/>
        <v>short ton</v>
      </c>
      <c r="G35" s="158">
        <f t="shared" si="48"/>
        <v>0</v>
      </c>
      <c r="H35" s="204" t="str">
        <f t="shared" si="7"/>
        <v>short ton</v>
      </c>
      <c r="I35" s="156">
        <f t="shared" si="8"/>
        <v>0</v>
      </c>
      <c r="J35"/>
      <c r="K35"/>
      <c r="L35"/>
      <c r="M35"/>
      <c r="N35"/>
      <c r="O35"/>
      <c r="P35"/>
      <c r="Q35"/>
      <c r="R35"/>
      <c r="S35"/>
      <c r="T35"/>
      <c r="X35" s="67">
        <f t="shared" si="49"/>
        <v>0</v>
      </c>
      <c r="Y35" s="216">
        <f>IF(AND($X35=1,'Plant Inputs'!$Y35=1),1,0)</f>
        <v>0</v>
      </c>
      <c r="Z35" s="216"/>
      <c r="AA35" s="216">
        <f>IF($Y35=0,0,IF('Plant Inputs'!J35="",0,'Plant Inputs'!J35))</f>
        <v>0</v>
      </c>
      <c r="AB35" s="216">
        <f>IF($Y35=0,0,IF('Plant Inputs'!K35="",0,'Plant Inputs'!K35))</f>
        <v>0</v>
      </c>
      <c r="AC35" s="216">
        <f>IF($Y35=0,0,IF('Plant Inputs'!L35="",0,'Plant Inputs'!L35))</f>
        <v>0</v>
      </c>
      <c r="AD35" s="216">
        <f>IF($Y35=0,0,IF('Plant Inputs'!M35="",0,'Plant Inputs'!M35))</f>
        <v>0</v>
      </c>
      <c r="AE35" s="217" t="str">
        <f>'Plant Inputs'!$O35</f>
        <v>mile</v>
      </c>
      <c r="AF35" s="217">
        <f t="shared" si="9"/>
        <v>1.6093473468862911</v>
      </c>
      <c r="AG35" s="216" t="str">
        <f t="shared" si="34"/>
        <v>km/mile</v>
      </c>
      <c r="AH35" s="216">
        <f t="shared" si="10"/>
        <v>0</v>
      </c>
      <c r="AI35" s="216">
        <f t="shared" si="10"/>
        <v>0</v>
      </c>
      <c r="AJ35" s="216">
        <f t="shared" si="10"/>
        <v>0</v>
      </c>
      <c r="AK35" s="216">
        <f t="shared" si="10"/>
        <v>0</v>
      </c>
      <c r="AL35" s="216"/>
      <c r="AM35" s="1" t="str">
        <f t="shared" si="11"/>
        <v>Coarse Aggregate - natural gravel</v>
      </c>
      <c r="AN35" t="s">
        <v>127</v>
      </c>
      <c r="AO35">
        <f t="shared" si="12"/>
        <v>0</v>
      </c>
      <c r="AP35" s="1">
        <f t="shared" si="35"/>
        <v>0</v>
      </c>
      <c r="AQ35" s="1" t="str">
        <f t="shared" si="13"/>
        <v>short ton</v>
      </c>
      <c r="AR35" s="1">
        <f t="shared" si="14"/>
        <v>0.90718499588591606</v>
      </c>
      <c r="AS35" s="87" t="str">
        <f t="shared" si="15"/>
        <v>tonne/short ton</v>
      </c>
      <c r="AT35" s="87">
        <f t="shared" si="16"/>
        <v>0</v>
      </c>
      <c r="AU35" s="87">
        <f t="shared" si="17"/>
        <v>0</v>
      </c>
      <c r="AV35" s="87">
        <f t="shared" si="18"/>
        <v>0</v>
      </c>
      <c r="AW35" t="str">
        <f t="shared" si="19"/>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IFERROR(INDEX(LCIA_Data,MATCH($AO$15&amp;CM$27,LCIA_Rows_B&amp;LCIA_Rows_C,0),MATCH(CM$26,LCIA_Columns,0)),0)*$AT35*$AJ35*$BN$23</f>
        <v>0</v>
      </c>
      <c r="CN35" s="1">
        <f t="array" ref="CN35">IFERROR(INDEX(LCIA_Data,MATCH($AO$15&amp;CN$27,LCIA_Rows_B&amp;LCIA_Rows_C,0),MATCH(CN$26,LCIA_Columns,0)),0)*$AT35*$AJ35*$BN$23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IFERROR(INDEX(LCIA_Data,MATCH($AO$15&amp;DA$27,LCIA_Rows_B&amp;LCIA_Rows_C,0),MATCH(DA$26,LCIA_Columns,0)),0)*$AT35*$AK35*$BN$23</f>
        <v>0</v>
      </c>
      <c r="DB35" s="1">
        <f t="array" ref="DB35">IFERROR(INDEX(LCIA_Data,MATCH($AO$15&amp;DB$27,LCIA_Rows_B&amp;LCIA_Rows_C,0),MATCH(DB$26,LCIA_Columns,0)),0)*$AT35*$AK35*$BN$23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f t="shared" si="20"/>
        <v>0</v>
      </c>
      <c r="DP35">
        <f t="shared" si="21"/>
        <v>0</v>
      </c>
      <c r="DQ35">
        <f t="shared" si="22"/>
        <v>0</v>
      </c>
      <c r="DR35">
        <f t="shared" si="23"/>
        <v>0</v>
      </c>
      <c r="DS35">
        <f t="shared" si="24"/>
        <v>0</v>
      </c>
      <c r="DT35">
        <f t="shared" si="25"/>
        <v>0</v>
      </c>
      <c r="DU35">
        <f t="shared" si="26"/>
        <v>0</v>
      </c>
      <c r="DV35">
        <f t="shared" si="27"/>
        <v>0</v>
      </c>
      <c r="DW35">
        <f t="shared" si="28"/>
        <v>0</v>
      </c>
      <c r="DX35">
        <f t="shared" si="29"/>
        <v>0</v>
      </c>
      <c r="DY35">
        <f t="shared" si="30"/>
        <v>0</v>
      </c>
      <c r="DZ35">
        <f t="shared" si="31"/>
        <v>0</v>
      </c>
      <c r="EA35">
        <f t="shared" si="31"/>
        <v>0</v>
      </c>
      <c r="EB35">
        <f t="shared" si="32"/>
        <v>0</v>
      </c>
      <c r="EC35"/>
      <c r="ED35"/>
      <c r="EE35"/>
      <c r="EF35"/>
      <c r="EG35"/>
    </row>
    <row r="36" spans="2:137" ht="15" customHeight="1">
      <c r="B36" s="53">
        <f t="shared" si="47"/>
        <v>0</v>
      </c>
      <c r="C36" s="26">
        <f t="shared" si="33"/>
        <v>7</v>
      </c>
      <c r="D36" s="41" t="str">
        <f>'Plant Inputs'!$D36</f>
        <v>Coarse Aggregate - crushed</v>
      </c>
      <c r="E36" s="99"/>
      <c r="F36" s="119" t="str">
        <f t="shared" si="6"/>
        <v>short ton</v>
      </c>
      <c r="G36" s="158">
        <f t="shared" si="48"/>
        <v>0</v>
      </c>
      <c r="H36" s="204" t="str">
        <f t="shared" si="7"/>
        <v>short ton</v>
      </c>
      <c r="I36" s="156">
        <f t="shared" si="8"/>
        <v>0</v>
      </c>
      <c r="J36"/>
      <c r="K36"/>
      <c r="L36"/>
      <c r="M36"/>
      <c r="N36"/>
      <c r="O36"/>
      <c r="P36"/>
      <c r="Q36"/>
      <c r="R36"/>
      <c r="S36"/>
      <c r="T36"/>
      <c r="X36" s="67">
        <f t="shared" si="49"/>
        <v>0</v>
      </c>
      <c r="Y36" s="216">
        <f>IF(AND($X36=1,'Plant Inputs'!$Y36=1),1,0)</f>
        <v>0</v>
      </c>
      <c r="Z36" s="216"/>
      <c r="AA36" s="216">
        <f>IF($Y36=0,0,IF('Plant Inputs'!J36="",0,'Plant Inputs'!J36))</f>
        <v>0</v>
      </c>
      <c r="AB36" s="216">
        <f>IF($Y36=0,0,IF('Plant Inputs'!K36="",0,'Plant Inputs'!K36))</f>
        <v>0</v>
      </c>
      <c r="AC36" s="216">
        <f>IF($Y36=0,0,IF('Plant Inputs'!L36="",0,'Plant Inputs'!L36))</f>
        <v>0</v>
      </c>
      <c r="AD36" s="216">
        <f>IF($Y36=0,0,IF('Plant Inputs'!M36="",0,'Plant Inputs'!M36))</f>
        <v>0</v>
      </c>
      <c r="AE36" s="217" t="str">
        <f>'Plant Inputs'!$O36</f>
        <v>mile</v>
      </c>
      <c r="AF36" s="217">
        <f t="shared" si="9"/>
        <v>1.6093473468862911</v>
      </c>
      <c r="AG36" s="216" t="str">
        <f t="shared" si="34"/>
        <v>km/mile</v>
      </c>
      <c r="AH36" s="216">
        <f t="shared" si="10"/>
        <v>0</v>
      </c>
      <c r="AI36" s="216">
        <f t="shared" si="10"/>
        <v>0</v>
      </c>
      <c r="AJ36" s="216">
        <f t="shared" si="10"/>
        <v>0</v>
      </c>
      <c r="AK36" s="216">
        <f t="shared" si="10"/>
        <v>0</v>
      </c>
      <c r="AL36" s="216"/>
      <c r="AM36" s="1" t="str">
        <f t="shared" si="11"/>
        <v>Coarse Aggregate - crushed</v>
      </c>
      <c r="AN36" t="s">
        <v>127</v>
      </c>
      <c r="AO36">
        <f t="shared" si="12"/>
        <v>0</v>
      </c>
      <c r="AP36" s="1">
        <f t="shared" si="35"/>
        <v>0</v>
      </c>
      <c r="AQ36" s="1" t="str">
        <f t="shared" si="13"/>
        <v>short ton</v>
      </c>
      <c r="AR36" s="1">
        <f t="shared" si="14"/>
        <v>0.90718499588591606</v>
      </c>
      <c r="AS36" s="87" t="str">
        <f t="shared" si="15"/>
        <v>tonne/short ton</v>
      </c>
      <c r="AT36" s="87">
        <f t="shared" si="16"/>
        <v>0</v>
      </c>
      <c r="AU36" s="87">
        <f t="shared" si="17"/>
        <v>0</v>
      </c>
      <c r="AV36" s="87">
        <f t="shared" si="18"/>
        <v>0</v>
      </c>
      <c r="AW36" t="str">
        <f t="shared" si="19"/>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IFERROR(INDEX(LCIA_Data,MATCH($AO$15&amp;CM$27,LCIA_Rows_B&amp;LCIA_Rows_C,0),MATCH(CM$26,LCIA_Columns,0)),0)*$AT36*$AJ36*$BN$23</f>
        <v>0</v>
      </c>
      <c r="CN36" s="1">
        <f t="array" ref="CN36">IFERROR(INDEX(LCIA_Data,MATCH($AO$15&amp;CN$27,LCIA_Rows_B&amp;LCIA_Rows_C,0),MATCH(CN$26,LCIA_Columns,0)),0)*$AT36*$AJ36*$BN$23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IFERROR(INDEX(LCIA_Data,MATCH($AO$15&amp;DA$27,LCIA_Rows_B&amp;LCIA_Rows_C,0),MATCH(DA$26,LCIA_Columns,0)),0)*$AT36*$AK36*$BN$23</f>
        <v>0</v>
      </c>
      <c r="DB36" s="1">
        <f t="array" ref="DB36">IFERROR(INDEX(LCIA_Data,MATCH($AO$15&amp;DB$27,LCIA_Rows_B&amp;LCIA_Rows_C,0),MATCH(DB$26,LCIA_Columns,0)),0)*$AT36*$AK36*$BN$23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f t="shared" si="20"/>
        <v>0</v>
      </c>
      <c r="DP36">
        <f t="shared" si="21"/>
        <v>0</v>
      </c>
      <c r="DQ36">
        <f t="shared" si="22"/>
        <v>0</v>
      </c>
      <c r="DR36">
        <f t="shared" si="23"/>
        <v>0</v>
      </c>
      <c r="DS36">
        <f t="shared" si="24"/>
        <v>0</v>
      </c>
      <c r="DT36">
        <f t="shared" si="25"/>
        <v>0</v>
      </c>
      <c r="DU36">
        <f t="shared" si="26"/>
        <v>0</v>
      </c>
      <c r="DV36">
        <f t="shared" si="27"/>
        <v>0</v>
      </c>
      <c r="DW36">
        <f t="shared" si="28"/>
        <v>0</v>
      </c>
      <c r="DX36">
        <f t="shared" si="29"/>
        <v>0</v>
      </c>
      <c r="DY36">
        <f t="shared" si="30"/>
        <v>0</v>
      </c>
      <c r="DZ36">
        <f t="shared" si="31"/>
        <v>0</v>
      </c>
      <c r="EA36">
        <f t="shared" si="31"/>
        <v>0</v>
      </c>
      <c r="EB36">
        <f t="shared" si="32"/>
        <v>0</v>
      </c>
      <c r="EC36"/>
      <c r="ED36"/>
      <c r="EE36"/>
      <c r="EF36"/>
      <c r="EG36"/>
    </row>
    <row r="37" spans="2:137" ht="15" customHeight="1">
      <c r="B37" s="53">
        <f t="shared" si="47"/>
        <v>0</v>
      </c>
      <c r="C37" s="26">
        <f t="shared" si="33"/>
        <v>8</v>
      </c>
      <c r="D37" s="41" t="str">
        <f>'Plant Inputs'!$D37</f>
        <v>Manufactured Lightweight Aggregate</v>
      </c>
      <c r="E37" s="99"/>
      <c r="F37" s="119" t="str">
        <f t="shared" si="6"/>
        <v>short ton</v>
      </c>
      <c r="G37" s="158">
        <f t="shared" si="48"/>
        <v>0</v>
      </c>
      <c r="H37" s="204" t="str">
        <f t="shared" si="7"/>
        <v>short ton</v>
      </c>
      <c r="I37" s="156">
        <f t="shared" si="8"/>
        <v>0</v>
      </c>
      <c r="J37"/>
      <c r="K37"/>
      <c r="L37"/>
      <c r="M37"/>
      <c r="N37"/>
      <c r="O37"/>
      <c r="P37"/>
      <c r="Q37"/>
      <c r="R37"/>
      <c r="S37"/>
      <c r="T37"/>
      <c r="X37" s="67">
        <f t="shared" si="49"/>
        <v>0</v>
      </c>
      <c r="Y37" s="216">
        <f>IF(AND($X37=1,'Plant Inputs'!$Y37=1),1,0)</f>
        <v>0</v>
      </c>
      <c r="Z37" s="216"/>
      <c r="AA37" s="216">
        <f>IF($Y37=0,0,IF('Plant Inputs'!J37="",0,'Plant Inputs'!J37))</f>
        <v>0</v>
      </c>
      <c r="AB37" s="216">
        <f>IF($Y37=0,0,IF('Plant Inputs'!K37="",0,'Plant Inputs'!K37))</f>
        <v>0</v>
      </c>
      <c r="AC37" s="216">
        <f>IF($Y37=0,0,IF('Plant Inputs'!L37="",0,'Plant Inputs'!L37))</f>
        <v>0</v>
      </c>
      <c r="AD37" s="216">
        <f>IF($Y37=0,0,IF('Plant Inputs'!M37="",0,'Plant Inputs'!M37))</f>
        <v>0</v>
      </c>
      <c r="AE37" s="217" t="str">
        <f>'Plant Inputs'!$O37</f>
        <v>mile</v>
      </c>
      <c r="AF37" s="217">
        <f t="shared" si="9"/>
        <v>1.6093473468862911</v>
      </c>
      <c r="AG37" s="216" t="str">
        <f t="shared" si="34"/>
        <v>km/mile</v>
      </c>
      <c r="AH37" s="216">
        <f t="shared" si="10"/>
        <v>0</v>
      </c>
      <c r="AI37" s="216">
        <f t="shared" si="10"/>
        <v>0</v>
      </c>
      <c r="AJ37" s="216">
        <f t="shared" si="10"/>
        <v>0</v>
      </c>
      <c r="AK37" s="216">
        <f t="shared" si="10"/>
        <v>0</v>
      </c>
      <c r="AL37" s="216"/>
      <c r="AM37" s="1" t="str">
        <f t="shared" si="11"/>
        <v>Manufactured Lightweight Aggregate</v>
      </c>
      <c r="AN37" t="s">
        <v>127</v>
      </c>
      <c r="AO37">
        <f t="shared" si="12"/>
        <v>0</v>
      </c>
      <c r="AP37" s="1">
        <f t="shared" si="35"/>
        <v>0</v>
      </c>
      <c r="AQ37" s="1" t="str">
        <f t="shared" si="13"/>
        <v>short ton</v>
      </c>
      <c r="AR37" s="1">
        <f t="shared" si="14"/>
        <v>0.90718499588591606</v>
      </c>
      <c r="AS37" s="87" t="str">
        <f t="shared" si="15"/>
        <v>tonne/short ton</v>
      </c>
      <c r="AT37" s="87">
        <f t="shared" si="16"/>
        <v>0</v>
      </c>
      <c r="AU37" s="87">
        <f t="shared" si="17"/>
        <v>0</v>
      </c>
      <c r="AV37" s="87">
        <f t="shared" si="18"/>
        <v>0</v>
      </c>
      <c r="AW37" t="str">
        <f t="shared" si="19"/>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IFERROR(INDEX(LCIA_Data,MATCH($AO$15&amp;CM$27,LCIA_Rows_B&amp;LCIA_Rows_C,0),MATCH(CM$26,LCIA_Columns,0)),0)*$AT37*$AJ37*$BN$23</f>
        <v>0</v>
      </c>
      <c r="CN37" s="1">
        <f t="array" ref="CN37">IFERROR(INDEX(LCIA_Data,MATCH($AO$15&amp;CN$27,LCIA_Rows_B&amp;LCIA_Rows_C,0),MATCH(CN$26,LCIA_Columns,0)),0)*$AT37*$AJ37*$BN$23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IFERROR(INDEX(LCIA_Data,MATCH($AO$15&amp;DA$27,LCIA_Rows_B&amp;LCIA_Rows_C,0),MATCH(DA$26,LCIA_Columns,0)),0)*$AT37*$AK37*$BN$23</f>
        <v>0</v>
      </c>
      <c r="DB37" s="1">
        <f t="array" ref="DB37">IFERROR(INDEX(LCIA_Data,MATCH($AO$15&amp;DB$27,LCIA_Rows_B&amp;LCIA_Rows_C,0),MATCH(DB$26,LCIA_Columns,0)),0)*$AT37*$AK37*$BN$23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f t="shared" si="20"/>
        <v>0</v>
      </c>
      <c r="DP37">
        <f t="shared" si="21"/>
        <v>0</v>
      </c>
      <c r="DQ37">
        <f t="shared" si="22"/>
        <v>0</v>
      </c>
      <c r="DR37">
        <f t="shared" si="23"/>
        <v>0</v>
      </c>
      <c r="DS37">
        <f t="shared" si="24"/>
        <v>0</v>
      </c>
      <c r="DT37">
        <f t="shared" si="25"/>
        <v>0</v>
      </c>
      <c r="DU37">
        <f t="shared" si="26"/>
        <v>0</v>
      </c>
      <c r="DV37">
        <f t="shared" si="27"/>
        <v>0</v>
      </c>
      <c r="DW37">
        <f t="shared" si="28"/>
        <v>0</v>
      </c>
      <c r="DX37">
        <f t="shared" si="29"/>
        <v>0</v>
      </c>
      <c r="DY37">
        <f t="shared" si="30"/>
        <v>0</v>
      </c>
      <c r="DZ37">
        <f t="shared" si="31"/>
        <v>0</v>
      </c>
      <c r="EA37">
        <f t="shared" si="31"/>
        <v>0</v>
      </c>
      <c r="EB37">
        <f t="shared" si="32"/>
        <v>0</v>
      </c>
      <c r="EC37"/>
      <c r="ED37"/>
      <c r="EE37"/>
      <c r="EF37"/>
      <c r="EG37"/>
    </row>
    <row r="38" spans="2:137" ht="15" customHeight="1">
      <c r="B38" s="53">
        <f t="shared" si="47"/>
        <v>0</v>
      </c>
      <c r="C38" s="233">
        <f t="shared" si="33"/>
        <v>9</v>
      </c>
      <c r="D38" s="234" t="str">
        <f>'Plant Inputs'!$D38</f>
        <v>Natural Lightweight Aggregate</v>
      </c>
      <c r="E38" s="101"/>
      <c r="F38" s="235" t="str">
        <f t="shared" si="6"/>
        <v>short ton</v>
      </c>
      <c r="G38" s="236">
        <f t="shared" si="48"/>
        <v>0</v>
      </c>
      <c r="H38" s="237" t="str">
        <f t="shared" si="7"/>
        <v>short ton</v>
      </c>
      <c r="I38" s="398">
        <f t="shared" si="8"/>
        <v>0</v>
      </c>
      <c r="J38"/>
      <c r="K38"/>
      <c r="L38"/>
      <c r="M38"/>
      <c r="N38"/>
      <c r="O38"/>
      <c r="P38"/>
      <c r="Q38"/>
      <c r="R38"/>
      <c r="S38"/>
      <c r="T38"/>
      <c r="X38" s="67">
        <f t="shared" si="49"/>
        <v>0</v>
      </c>
      <c r="Y38" s="216">
        <f>IF(AND($X38=1,'Plant Inputs'!$Y38=1),1,0)</f>
        <v>0</v>
      </c>
      <c r="Z38" s="216"/>
      <c r="AA38" s="216">
        <f>IF($Y38=0,0,IF('Plant Inputs'!J38="",0,'Plant Inputs'!J38))</f>
        <v>0</v>
      </c>
      <c r="AB38" s="216">
        <f>IF($Y38=0,0,IF('Plant Inputs'!K38="",0,'Plant Inputs'!K38))</f>
        <v>0</v>
      </c>
      <c r="AC38" s="216">
        <f>IF($Y38=0,0,IF('Plant Inputs'!L38="",0,'Plant Inputs'!L38))</f>
        <v>0</v>
      </c>
      <c r="AD38" s="216">
        <f>IF($Y38=0,0,IF('Plant Inputs'!M38="",0,'Plant Inputs'!M38))</f>
        <v>0</v>
      </c>
      <c r="AE38" s="217" t="str">
        <f>'Plant Inputs'!$O38</f>
        <v>mile</v>
      </c>
      <c r="AF38" s="217">
        <f t="shared" si="9"/>
        <v>1.6093473468862911</v>
      </c>
      <c r="AG38" s="216" t="str">
        <f t="shared" si="34"/>
        <v>km/mile</v>
      </c>
      <c r="AH38" s="216">
        <f t="shared" si="10"/>
        <v>0</v>
      </c>
      <c r="AI38" s="216">
        <f t="shared" si="10"/>
        <v>0</v>
      </c>
      <c r="AJ38" s="216">
        <f t="shared" si="10"/>
        <v>0</v>
      </c>
      <c r="AK38" s="216">
        <f t="shared" si="10"/>
        <v>0</v>
      </c>
      <c r="AL38" s="216"/>
      <c r="AM38" s="1" t="str">
        <f t="shared" si="11"/>
        <v>Natural Lightweight Aggregate</v>
      </c>
      <c r="AN38" t="s">
        <v>127</v>
      </c>
      <c r="AO38">
        <f t="shared" si="12"/>
        <v>0</v>
      </c>
      <c r="AP38" s="1">
        <f t="shared" si="35"/>
        <v>0</v>
      </c>
      <c r="AQ38" s="1" t="str">
        <f t="shared" si="13"/>
        <v>short ton</v>
      </c>
      <c r="AR38" s="1">
        <f t="shared" si="14"/>
        <v>0.90718499588591606</v>
      </c>
      <c r="AS38" s="87" t="str">
        <f t="shared" si="15"/>
        <v>tonne/short ton</v>
      </c>
      <c r="AT38" s="87">
        <f t="shared" si="16"/>
        <v>0</v>
      </c>
      <c r="AU38" s="87">
        <f t="shared" si="17"/>
        <v>0</v>
      </c>
      <c r="AV38" s="87">
        <f t="shared" si="18"/>
        <v>0</v>
      </c>
      <c r="AW38" t="str">
        <f t="shared" si="19"/>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IFERROR(INDEX(LCIA_Data,MATCH($AO$15&amp;CM$27,LCIA_Rows_B&amp;LCIA_Rows_C,0),MATCH(CM$26,LCIA_Columns,0)),0)*$AT38*$AJ38*$BN$23</f>
        <v>0</v>
      </c>
      <c r="CN38" s="1">
        <f t="array" ref="CN38">IFERROR(INDEX(LCIA_Data,MATCH($AO$15&amp;CN$27,LCIA_Rows_B&amp;LCIA_Rows_C,0),MATCH(CN$26,LCIA_Columns,0)),0)*$AT38*$AJ38*$BN$23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IFERROR(INDEX(LCIA_Data,MATCH($AO$15&amp;DA$27,LCIA_Rows_B&amp;LCIA_Rows_C,0),MATCH(DA$26,LCIA_Columns,0)),0)*$AT38*$AK38*$BN$23</f>
        <v>0</v>
      </c>
      <c r="DB38" s="1">
        <f t="array" ref="DB38">IFERROR(INDEX(LCIA_Data,MATCH($AO$15&amp;DB$27,LCIA_Rows_B&amp;LCIA_Rows_C,0),MATCH(DB$26,LCIA_Columns,0)),0)*$AT38*$AK38*$BN$23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f t="shared" si="20"/>
        <v>0</v>
      </c>
      <c r="DP38">
        <f t="shared" si="21"/>
        <v>0</v>
      </c>
      <c r="DQ38">
        <f t="shared" si="22"/>
        <v>0</v>
      </c>
      <c r="DR38">
        <f t="shared" si="23"/>
        <v>0</v>
      </c>
      <c r="DS38">
        <f t="shared" si="24"/>
        <v>0</v>
      </c>
      <c r="DT38">
        <f t="shared" si="25"/>
        <v>0</v>
      </c>
      <c r="DU38">
        <f t="shared" si="26"/>
        <v>0</v>
      </c>
      <c r="DV38">
        <f t="shared" si="27"/>
        <v>0</v>
      </c>
      <c r="DW38">
        <f t="shared" si="28"/>
        <v>0</v>
      </c>
      <c r="DX38">
        <f t="shared" si="29"/>
        <v>0</v>
      </c>
      <c r="DY38">
        <f t="shared" si="30"/>
        <v>0</v>
      </c>
      <c r="DZ38">
        <f t="shared" si="31"/>
        <v>0</v>
      </c>
      <c r="EA38">
        <f t="shared" si="31"/>
        <v>0</v>
      </c>
      <c r="EB38">
        <f t="shared" si="32"/>
        <v>0</v>
      </c>
      <c r="EC38"/>
      <c r="ED38"/>
      <c r="EE38"/>
      <c r="EF38"/>
      <c r="EG38"/>
    </row>
    <row r="39" spans="2:137" ht="15" customHeight="1">
      <c r="B39" s="53">
        <f t="shared" si="47"/>
        <v>0</v>
      </c>
      <c r="C39" s="26">
        <f t="shared" si="33"/>
        <v>10</v>
      </c>
      <c r="D39" s="46" t="str">
        <f>'Plant Inputs'!$D39</f>
        <v>SCMs - Fly Ash</v>
      </c>
      <c r="E39" s="99"/>
      <c r="F39" s="119" t="str">
        <f t="shared" si="6"/>
        <v>short ton</v>
      </c>
      <c r="G39" s="158">
        <f t="shared" si="48"/>
        <v>0</v>
      </c>
      <c r="H39" s="204" t="str">
        <f t="shared" si="7"/>
        <v>short ton</v>
      </c>
      <c r="I39" s="399">
        <f t="shared" si="8"/>
        <v>0</v>
      </c>
      <c r="J39"/>
      <c r="K39"/>
      <c r="L39"/>
      <c r="M39"/>
      <c r="N39"/>
      <c r="O39"/>
      <c r="P39"/>
      <c r="Q39"/>
      <c r="R39"/>
      <c r="S39"/>
      <c r="T39"/>
      <c r="X39" s="67">
        <f t="shared" si="49"/>
        <v>0</v>
      </c>
      <c r="Y39" s="216">
        <f>IF(AND($X39=1,'Plant Inputs'!$Y39=1),1,0)</f>
        <v>0</v>
      </c>
      <c r="Z39" s="216"/>
      <c r="AA39" s="216">
        <f>IF($Y39=0,0,IF('Plant Inputs'!J39="",0,'Plant Inputs'!J39))</f>
        <v>0</v>
      </c>
      <c r="AB39" s="216">
        <f>IF($Y39=0,0,IF('Plant Inputs'!K39="",0,'Plant Inputs'!K39))</f>
        <v>0</v>
      </c>
      <c r="AC39" s="216">
        <f>IF($Y39=0,0,IF('Plant Inputs'!L39="",0,'Plant Inputs'!L39))</f>
        <v>0</v>
      </c>
      <c r="AD39" s="216">
        <f>IF($Y39=0,0,IF('Plant Inputs'!M39="",0,'Plant Inputs'!M39))</f>
        <v>0</v>
      </c>
      <c r="AE39" s="217" t="str">
        <f>'Plant Inputs'!$O39</f>
        <v>mile</v>
      </c>
      <c r="AF39" s="217">
        <f t="shared" si="9"/>
        <v>1.6093473468862911</v>
      </c>
      <c r="AG39" s="216" t="str">
        <f t="shared" si="34"/>
        <v>km/mile</v>
      </c>
      <c r="AH39" s="216">
        <f t="shared" si="10"/>
        <v>0</v>
      </c>
      <c r="AI39" s="216">
        <f t="shared" si="10"/>
        <v>0</v>
      </c>
      <c r="AJ39" s="216">
        <f t="shared" si="10"/>
        <v>0</v>
      </c>
      <c r="AK39" s="216">
        <f t="shared" si="10"/>
        <v>0</v>
      </c>
      <c r="AL39" s="216"/>
      <c r="AM39" s="1" t="str">
        <f t="shared" si="11"/>
        <v>SCMs - Fly Ash</v>
      </c>
      <c r="AN39" t="s">
        <v>127</v>
      </c>
      <c r="AO39">
        <f t="shared" si="12"/>
        <v>0</v>
      </c>
      <c r="AP39" s="1">
        <f t="shared" si="35"/>
        <v>0</v>
      </c>
      <c r="AQ39" s="1" t="str">
        <f t="shared" si="13"/>
        <v>short ton</v>
      </c>
      <c r="AR39" s="1">
        <f t="shared" si="14"/>
        <v>0.90718499588591606</v>
      </c>
      <c r="AS39" s="87" t="str">
        <f t="shared" si="15"/>
        <v>tonne/short ton</v>
      </c>
      <c r="AT39" s="87">
        <f t="shared" si="16"/>
        <v>0</v>
      </c>
      <c r="AU39" s="87">
        <f t="shared" si="17"/>
        <v>0</v>
      </c>
      <c r="AV39" s="87">
        <f t="shared" si="18"/>
        <v>0</v>
      </c>
      <c r="AW39" t="str">
        <f t="shared" si="19"/>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IFERROR(INDEX(LCIA_Data,MATCH($AO$15&amp;CM$27,LCIA_Rows_B&amp;LCIA_Rows_C,0),MATCH(CM$26,LCIA_Columns,0)),0)*$AT39*$AJ39*$BN$23</f>
        <v>0</v>
      </c>
      <c r="CN39" s="1">
        <f t="array" ref="CN39">IFERROR(INDEX(LCIA_Data,MATCH($AO$15&amp;CN$27,LCIA_Rows_B&amp;LCIA_Rows_C,0),MATCH(CN$26,LCIA_Columns,0)),0)*$AT39*$AJ39*$BN$23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IFERROR(INDEX(LCIA_Data,MATCH($AO$15&amp;DA$27,LCIA_Rows_B&amp;LCIA_Rows_C,0),MATCH(DA$26,LCIA_Columns,0)),0)*$AT39*$AK39*$BN$23</f>
        <v>0</v>
      </c>
      <c r="DB39" s="1">
        <f t="array" ref="DB39">IFERROR(INDEX(LCIA_Data,MATCH($AO$15&amp;DB$27,LCIA_Rows_B&amp;LCIA_Rows_C,0),MATCH(DB$26,LCIA_Columns,0)),0)*$AT39*$AK39*$BN$23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f t="shared" si="20"/>
        <v>0</v>
      </c>
      <c r="DP39">
        <f t="shared" si="21"/>
        <v>0</v>
      </c>
      <c r="DQ39">
        <f t="shared" si="22"/>
        <v>0</v>
      </c>
      <c r="DR39">
        <f t="shared" si="23"/>
        <v>0</v>
      </c>
      <c r="DS39">
        <f t="shared" si="24"/>
        <v>0</v>
      </c>
      <c r="DT39">
        <f t="shared" si="25"/>
        <v>0</v>
      </c>
      <c r="DU39">
        <f t="shared" si="26"/>
        <v>0</v>
      </c>
      <c r="DV39">
        <f t="shared" si="27"/>
        <v>0</v>
      </c>
      <c r="DW39">
        <f t="shared" si="28"/>
        <v>0</v>
      </c>
      <c r="DX39">
        <f t="shared" si="29"/>
        <v>0</v>
      </c>
      <c r="DY39">
        <f t="shared" si="30"/>
        <v>0</v>
      </c>
      <c r="DZ39">
        <f t="shared" si="31"/>
        <v>0</v>
      </c>
      <c r="EA39">
        <f t="shared" si="31"/>
        <v>0</v>
      </c>
      <c r="EB39">
        <f t="shared" si="32"/>
        <v>0</v>
      </c>
      <c r="EC39"/>
      <c r="ED39"/>
      <c r="EE39"/>
      <c r="EF39"/>
      <c r="EG39"/>
    </row>
    <row r="40" spans="2:137" ht="15" customHeight="1">
      <c r="B40" s="53">
        <f t="shared" si="47"/>
        <v>0</v>
      </c>
      <c r="C40" s="26">
        <f t="shared" si="33"/>
        <v>11</v>
      </c>
      <c r="D40" s="46" t="str">
        <f>'Plant Inputs'!$D40</f>
        <v>SCMs - Silica Fume</v>
      </c>
      <c r="E40" s="99"/>
      <c r="F40" s="119" t="str">
        <f t="shared" si="6"/>
        <v>short ton</v>
      </c>
      <c r="G40" s="158">
        <f t="shared" si="48"/>
        <v>0</v>
      </c>
      <c r="H40" s="204" t="str">
        <f t="shared" si="7"/>
        <v>short ton</v>
      </c>
      <c r="I40" s="156">
        <f t="shared" si="8"/>
        <v>0</v>
      </c>
      <c r="J40"/>
      <c r="K40"/>
      <c r="L40"/>
      <c r="M40"/>
      <c r="N40"/>
      <c r="O40"/>
      <c r="P40"/>
      <c r="Q40"/>
      <c r="R40"/>
      <c r="S40"/>
      <c r="T40"/>
      <c r="X40" s="67">
        <f t="shared" si="49"/>
        <v>0</v>
      </c>
      <c r="Y40" s="216">
        <f>IF(AND($X40=1,'Plant Inputs'!$Y40=1),1,0)</f>
        <v>0</v>
      </c>
      <c r="Z40" s="216"/>
      <c r="AA40" s="216">
        <f>IF($Y40=0,0,IF('Plant Inputs'!J40="",0,'Plant Inputs'!J40))</f>
        <v>0</v>
      </c>
      <c r="AB40" s="216">
        <f>IF($Y40=0,0,IF('Plant Inputs'!K40="",0,'Plant Inputs'!K40))</f>
        <v>0</v>
      </c>
      <c r="AC40" s="216">
        <f>IF($Y40=0,0,IF('Plant Inputs'!L40="",0,'Plant Inputs'!L40))</f>
        <v>0</v>
      </c>
      <c r="AD40" s="216">
        <f>IF($Y40=0,0,IF('Plant Inputs'!M40="",0,'Plant Inputs'!M40))</f>
        <v>0</v>
      </c>
      <c r="AE40" s="217" t="str">
        <f>'Plant Inputs'!$O40</f>
        <v>mile</v>
      </c>
      <c r="AF40" s="217">
        <f t="shared" si="9"/>
        <v>1.6093473468862911</v>
      </c>
      <c r="AG40" s="216" t="str">
        <f t="shared" si="34"/>
        <v>km/mile</v>
      </c>
      <c r="AH40" s="216">
        <f t="shared" si="10"/>
        <v>0</v>
      </c>
      <c r="AI40" s="216">
        <f t="shared" si="10"/>
        <v>0</v>
      </c>
      <c r="AJ40" s="216">
        <f t="shared" si="10"/>
        <v>0</v>
      </c>
      <c r="AK40" s="216">
        <f t="shared" si="10"/>
        <v>0</v>
      </c>
      <c r="AL40" s="216"/>
      <c r="AM40" s="1" t="str">
        <f t="shared" si="11"/>
        <v>SCMs - Silica Fume</v>
      </c>
      <c r="AN40" t="s">
        <v>127</v>
      </c>
      <c r="AO40">
        <f t="shared" si="12"/>
        <v>0</v>
      </c>
      <c r="AP40" s="1">
        <f t="shared" si="35"/>
        <v>0</v>
      </c>
      <c r="AQ40" s="1" t="str">
        <f t="shared" si="13"/>
        <v>short ton</v>
      </c>
      <c r="AR40" s="1">
        <f t="shared" si="14"/>
        <v>0.90718499588591606</v>
      </c>
      <c r="AS40" s="87" t="str">
        <f t="shared" si="15"/>
        <v>tonne/short ton</v>
      </c>
      <c r="AT40" s="87">
        <f t="shared" si="16"/>
        <v>0</v>
      </c>
      <c r="AU40" s="87">
        <f t="shared" si="17"/>
        <v>0</v>
      </c>
      <c r="AV40" s="87">
        <f t="shared" si="18"/>
        <v>0</v>
      </c>
      <c r="AW40" t="str">
        <f t="shared" si="19"/>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IFERROR(INDEX(LCIA_Data,MATCH($AO$15&amp;CM$27,LCIA_Rows_B&amp;LCIA_Rows_C,0),MATCH(CM$26,LCIA_Columns,0)),0)*$AT40*$AJ40*$BN$23</f>
        <v>0</v>
      </c>
      <c r="CN40" s="1">
        <f t="array" ref="CN40">IFERROR(INDEX(LCIA_Data,MATCH($AO$15&amp;CN$27,LCIA_Rows_B&amp;LCIA_Rows_C,0),MATCH(CN$26,LCIA_Columns,0)),0)*$AT40*$AJ40*$BN$23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IFERROR(INDEX(LCIA_Data,MATCH($AO$15&amp;DA$27,LCIA_Rows_B&amp;LCIA_Rows_C,0),MATCH(DA$26,LCIA_Columns,0)),0)*$AT40*$AK40*$BN$23</f>
        <v>0</v>
      </c>
      <c r="DB40" s="1">
        <f t="array" ref="DB40">IFERROR(INDEX(LCIA_Data,MATCH($AO$15&amp;DB$27,LCIA_Rows_B&amp;LCIA_Rows_C,0),MATCH(DB$26,LCIA_Columns,0)),0)*$AT40*$AK40*$BN$23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f t="shared" si="20"/>
        <v>0</v>
      </c>
      <c r="DP40">
        <f t="shared" si="21"/>
        <v>0</v>
      </c>
      <c r="DQ40">
        <f t="shared" si="22"/>
        <v>0</v>
      </c>
      <c r="DR40">
        <f t="shared" si="23"/>
        <v>0</v>
      </c>
      <c r="DS40">
        <f t="shared" si="24"/>
        <v>0</v>
      </c>
      <c r="DT40">
        <f t="shared" si="25"/>
        <v>0</v>
      </c>
      <c r="DU40">
        <f t="shared" si="26"/>
        <v>0</v>
      </c>
      <c r="DV40">
        <f t="shared" si="27"/>
        <v>0</v>
      </c>
      <c r="DW40">
        <f t="shared" si="28"/>
        <v>0</v>
      </c>
      <c r="DX40">
        <f t="shared" si="29"/>
        <v>0</v>
      </c>
      <c r="DY40">
        <f t="shared" si="30"/>
        <v>0</v>
      </c>
      <c r="DZ40">
        <f t="shared" si="31"/>
        <v>0</v>
      </c>
      <c r="EA40">
        <f t="shared" si="31"/>
        <v>0</v>
      </c>
      <c r="EB40">
        <f t="shared" si="32"/>
        <v>0</v>
      </c>
      <c r="EC40"/>
      <c r="ED40"/>
      <c r="EE40"/>
      <c r="EF40"/>
      <c r="EG40"/>
    </row>
    <row r="41" spans="2:137" ht="15" customHeight="1" thickBot="1">
      <c r="B41" s="53">
        <f t="shared" si="47"/>
        <v>0</v>
      </c>
      <c r="C41" s="32">
        <f t="shared" si="33"/>
        <v>12</v>
      </c>
      <c r="D41" s="47" t="str">
        <f>'Plant Inputs'!$D41</f>
        <v>Slag Cement</v>
      </c>
      <c r="E41" s="102"/>
      <c r="F41" s="231" t="str">
        <f t="shared" si="6"/>
        <v>short ton</v>
      </c>
      <c r="G41" s="228">
        <f t="shared" si="48"/>
        <v>0</v>
      </c>
      <c r="H41" s="227" t="str">
        <f t="shared" si="7"/>
        <v>short ton</v>
      </c>
      <c r="I41" s="397">
        <f t="shared" si="8"/>
        <v>0</v>
      </c>
      <c r="J41"/>
      <c r="K41"/>
      <c r="L41"/>
      <c r="M41"/>
      <c r="N41"/>
      <c r="O41"/>
      <c r="P41"/>
      <c r="Q41"/>
      <c r="R41"/>
      <c r="S41"/>
      <c r="T41"/>
      <c r="X41" s="67">
        <f t="shared" si="49"/>
        <v>0</v>
      </c>
      <c r="Y41" s="216">
        <f>IF(AND($X41=1,'Plant Inputs'!$Y41=1),1,0)</f>
        <v>0</v>
      </c>
      <c r="Z41" s="216"/>
      <c r="AA41" s="216">
        <f>IF($Y41=0,0,IF('Plant Inputs'!J41="",0,'Plant Inputs'!J41))</f>
        <v>0</v>
      </c>
      <c r="AB41" s="216">
        <f>IF($Y41=0,0,IF('Plant Inputs'!K41="",0,'Plant Inputs'!K41))</f>
        <v>0</v>
      </c>
      <c r="AC41" s="216">
        <f>IF($Y41=0,0,IF('Plant Inputs'!L41="",0,'Plant Inputs'!L41))</f>
        <v>0</v>
      </c>
      <c r="AD41" s="216">
        <f>IF($Y41=0,0,IF('Plant Inputs'!M41="",0,'Plant Inputs'!M41))</f>
        <v>0</v>
      </c>
      <c r="AE41" s="217" t="str">
        <f>'Plant Inputs'!$O41</f>
        <v>mile</v>
      </c>
      <c r="AF41" s="217">
        <f t="shared" si="9"/>
        <v>1.6093473468862911</v>
      </c>
      <c r="AG41" s="216" t="str">
        <f t="shared" si="34"/>
        <v>km/mile</v>
      </c>
      <c r="AH41" s="216">
        <f t="shared" si="10"/>
        <v>0</v>
      </c>
      <c r="AI41" s="216">
        <f t="shared" si="10"/>
        <v>0</v>
      </c>
      <c r="AJ41" s="216">
        <f t="shared" si="10"/>
        <v>0</v>
      </c>
      <c r="AK41" s="216">
        <f t="shared" si="10"/>
        <v>0</v>
      </c>
      <c r="AL41" s="216"/>
      <c r="AM41" s="1" t="str">
        <f t="shared" si="11"/>
        <v>Slag Cement</v>
      </c>
      <c r="AN41" t="s">
        <v>127</v>
      </c>
      <c r="AO41">
        <f t="shared" si="12"/>
        <v>0</v>
      </c>
      <c r="AP41" s="1">
        <f t="shared" si="35"/>
        <v>0</v>
      </c>
      <c r="AQ41" s="1" t="str">
        <f t="shared" si="13"/>
        <v>short ton</v>
      </c>
      <c r="AR41" s="1">
        <f t="shared" si="14"/>
        <v>0.90718499588591606</v>
      </c>
      <c r="AS41" s="87" t="str">
        <f t="shared" si="15"/>
        <v>tonne/short ton</v>
      </c>
      <c r="AT41" s="87">
        <f t="shared" si="16"/>
        <v>0</v>
      </c>
      <c r="AU41" s="87">
        <f t="shared" si="17"/>
        <v>0</v>
      </c>
      <c r="AV41" s="87">
        <f t="shared" si="18"/>
        <v>0</v>
      </c>
      <c r="AW41" t="str">
        <f t="shared" si="19"/>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IFERROR(INDEX(LCIA_Data,MATCH($AO$15&amp;CM$27,LCIA_Rows_B&amp;LCIA_Rows_C,0),MATCH(CM$26,LCIA_Columns,0)),0)*$AT41*$AJ41*$BN$23</f>
        <v>0</v>
      </c>
      <c r="CN41" s="1">
        <f t="array" ref="CN41">IFERROR(INDEX(LCIA_Data,MATCH($AO$15&amp;CN$27,LCIA_Rows_B&amp;LCIA_Rows_C,0),MATCH(CN$26,LCIA_Columns,0)),0)*$AT41*$AJ41*$BN$23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IFERROR(INDEX(LCIA_Data,MATCH($AO$15&amp;DA$27,LCIA_Rows_B&amp;LCIA_Rows_C,0),MATCH(DA$26,LCIA_Columns,0)),0)*$AT41*$AK41*$BN$23</f>
        <v>0</v>
      </c>
      <c r="DB41" s="1">
        <f t="array" ref="DB41">IFERROR(INDEX(LCIA_Data,MATCH($AO$15&amp;DB$27,LCIA_Rows_B&amp;LCIA_Rows_C,0),MATCH(DB$26,LCIA_Columns,0)),0)*$AT41*$AK41*$BN$23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f t="shared" si="20"/>
        <v>0</v>
      </c>
      <c r="DP41">
        <f t="shared" si="21"/>
        <v>0</v>
      </c>
      <c r="DQ41">
        <f t="shared" si="22"/>
        <v>0</v>
      </c>
      <c r="DR41">
        <f t="shared" si="23"/>
        <v>0</v>
      </c>
      <c r="DS41">
        <f t="shared" si="24"/>
        <v>0</v>
      </c>
      <c r="DT41">
        <f t="shared" si="25"/>
        <v>0</v>
      </c>
      <c r="DU41">
        <f t="shared" si="26"/>
        <v>0</v>
      </c>
      <c r="DV41">
        <f t="shared" si="27"/>
        <v>0</v>
      </c>
      <c r="DW41">
        <f t="shared" si="28"/>
        <v>0</v>
      </c>
      <c r="DX41">
        <f t="shared" si="29"/>
        <v>0</v>
      </c>
      <c r="DY41">
        <f t="shared" si="30"/>
        <v>0</v>
      </c>
      <c r="DZ41">
        <f t="shared" si="31"/>
        <v>0</v>
      </c>
      <c r="EA41">
        <f t="shared" si="31"/>
        <v>0</v>
      </c>
      <c r="EB41">
        <f t="shared" si="32"/>
        <v>0</v>
      </c>
      <c r="EC41"/>
      <c r="ED41"/>
      <c r="EE41"/>
      <c r="EF41"/>
      <c r="EG41"/>
    </row>
    <row r="42" spans="2:137" ht="15" customHeight="1">
      <c r="B42" s="53">
        <f t="shared" si="47"/>
        <v>0</v>
      </c>
      <c r="C42" s="221">
        <f t="shared" si="33"/>
        <v>13</v>
      </c>
      <c r="D42" s="222" t="str">
        <f>'Plant Inputs'!$D42</f>
        <v>Chemical Admixture - Air Entraining Agent</v>
      </c>
      <c r="E42" s="154"/>
      <c r="F42" s="240" t="str">
        <f t="shared" ref="F42:F48" si="50">VolumeDisplayUnit</f>
        <v>gallon</v>
      </c>
      <c r="G42" s="224">
        <f t="shared" si="48"/>
        <v>0</v>
      </c>
      <c r="H42" s="225" t="str">
        <f t="shared" si="7"/>
        <v>short ton</v>
      </c>
      <c r="I42" s="156">
        <f t="shared" si="8"/>
        <v>0</v>
      </c>
      <c r="J42"/>
      <c r="K42"/>
      <c r="L42"/>
      <c r="M42"/>
      <c r="N42"/>
      <c r="O42"/>
      <c r="P42"/>
      <c r="Q42"/>
      <c r="R42"/>
      <c r="S42"/>
      <c r="T42"/>
      <c r="X42" s="67">
        <f t="shared" si="49"/>
        <v>0</v>
      </c>
      <c r="Y42" s="216">
        <f>IF(AND($X42=1,'Plant Inputs'!$Y42=1),1,0)</f>
        <v>0</v>
      </c>
      <c r="Z42" s="216"/>
      <c r="AA42" s="216">
        <f>IF($Y42=0,0,IF('Plant Inputs'!J42="",0,'Plant Inputs'!J42))</f>
        <v>0</v>
      </c>
      <c r="AB42" s="216">
        <f>IF($Y42=0,0,IF('Plant Inputs'!K42="",0,'Plant Inputs'!K42))</f>
        <v>0</v>
      </c>
      <c r="AC42" s="216">
        <f>IF($Y42=0,0,IF('Plant Inputs'!L42="",0,'Plant Inputs'!L42))</f>
        <v>0</v>
      </c>
      <c r="AD42" s="216">
        <f>IF($Y42=0,0,IF('Plant Inputs'!M42="",0,'Plant Inputs'!M42))</f>
        <v>0</v>
      </c>
      <c r="AE42" s="217" t="str">
        <f>'Plant Inputs'!$O42</f>
        <v>mile</v>
      </c>
      <c r="AF42" s="217">
        <f t="shared" si="9"/>
        <v>1.6093473468862911</v>
      </c>
      <c r="AG42" s="216" t="str">
        <f t="shared" si="34"/>
        <v>km/mile</v>
      </c>
      <c r="AH42" s="216">
        <f t="shared" si="10"/>
        <v>0</v>
      </c>
      <c r="AI42" s="216">
        <f t="shared" si="10"/>
        <v>0</v>
      </c>
      <c r="AJ42" s="216">
        <f t="shared" si="10"/>
        <v>0</v>
      </c>
      <c r="AK42" s="216">
        <f t="shared" si="10"/>
        <v>0</v>
      </c>
      <c r="AL42" s="216"/>
      <c r="AM42" s="1" t="str">
        <f t="shared" si="11"/>
        <v>Chemical Admixture - Air Entraining Agent</v>
      </c>
      <c r="AN42" s="12" t="s">
        <v>128</v>
      </c>
      <c r="AO42">
        <f t="shared" si="12"/>
        <v>1.1982656298327359</v>
      </c>
      <c r="AP42" s="1">
        <f t="shared" si="35"/>
        <v>0</v>
      </c>
      <c r="AQ42" s="1" t="str">
        <f t="shared" si="13"/>
        <v>gallon</v>
      </c>
      <c r="AR42" s="1">
        <f t="shared" si="14"/>
        <v>4.535929094356397E-3</v>
      </c>
      <c r="AS42" s="87" t="str">
        <f t="shared" si="15"/>
        <v>tonne/gallon</v>
      </c>
      <c r="AT42" s="87">
        <f t="shared" si="16"/>
        <v>0</v>
      </c>
      <c r="AU42" s="87">
        <f t="shared" si="17"/>
        <v>0</v>
      </c>
      <c r="AV42" s="87">
        <f t="shared" si="18"/>
        <v>0</v>
      </c>
      <c r="AW42" t="str">
        <f t="shared" si="19"/>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IFERROR(INDEX(LCIA_Data,MATCH($AO$15&amp;CM$27,LCIA_Rows_B&amp;LCIA_Rows_C,0),MATCH(CM$26,LCIA_Columns,0)),0)*$AT42*$AJ42*$BN$23</f>
        <v>0</v>
      </c>
      <c r="CN42" s="1">
        <f t="array" ref="CN42">IFERROR(INDEX(LCIA_Data,MATCH($AO$15&amp;CN$27,LCIA_Rows_B&amp;LCIA_Rows_C,0),MATCH(CN$26,LCIA_Columns,0)),0)*$AT42*$AJ42*$BN$23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IFERROR(INDEX(LCIA_Data,MATCH($AO$15&amp;DA$27,LCIA_Rows_B&amp;LCIA_Rows_C,0),MATCH(DA$26,LCIA_Columns,0)),0)*$AT42*$AK42*$BN$23</f>
        <v>0</v>
      </c>
      <c r="DB42" s="1">
        <f t="array" ref="DB42">IFERROR(INDEX(LCIA_Data,MATCH($AO$15&amp;DB$27,LCIA_Rows_B&amp;LCIA_Rows_C,0),MATCH(DB$26,LCIA_Columns,0)),0)*$AT42*$AK42*$BN$23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f t="shared" si="20"/>
        <v>0</v>
      </c>
      <c r="DP42">
        <f t="shared" si="21"/>
        <v>0</v>
      </c>
      <c r="DQ42">
        <f t="shared" si="22"/>
        <v>0</v>
      </c>
      <c r="DR42">
        <f t="shared" si="23"/>
        <v>0</v>
      </c>
      <c r="DS42">
        <f t="shared" si="24"/>
        <v>0</v>
      </c>
      <c r="DT42">
        <f t="shared" si="25"/>
        <v>0</v>
      </c>
      <c r="DU42">
        <f t="shared" si="26"/>
        <v>0</v>
      </c>
      <c r="DV42">
        <f t="shared" si="27"/>
        <v>0</v>
      </c>
      <c r="DW42">
        <f t="shared" si="28"/>
        <v>0</v>
      </c>
      <c r="DX42">
        <f t="shared" si="29"/>
        <v>0</v>
      </c>
      <c r="DY42">
        <f t="shared" si="30"/>
        <v>0</v>
      </c>
      <c r="DZ42">
        <f t="shared" si="31"/>
        <v>0</v>
      </c>
      <c r="EA42">
        <f t="shared" si="31"/>
        <v>0</v>
      </c>
      <c r="EB42">
        <f t="shared" si="32"/>
        <v>0</v>
      </c>
      <c r="EC42"/>
      <c r="ED42"/>
      <c r="EE42"/>
      <c r="EF42"/>
      <c r="EG42"/>
    </row>
    <row r="43" spans="2:137" ht="15" customHeight="1">
      <c r="B43" s="53">
        <f t="shared" si="47"/>
        <v>0</v>
      </c>
      <c r="C43" s="26">
        <f t="shared" si="33"/>
        <v>14</v>
      </c>
      <c r="D43" s="46" t="str">
        <f>'Plant Inputs'!$D43</f>
        <v>Chemical Admixture - Water Reducer/Plasticizer</v>
      </c>
      <c r="E43" s="99"/>
      <c r="F43" s="106" t="str">
        <f t="shared" si="50"/>
        <v>gallon</v>
      </c>
      <c r="G43" s="158">
        <f t="shared" si="48"/>
        <v>0</v>
      </c>
      <c r="H43" s="204" t="str">
        <f t="shared" si="7"/>
        <v>short ton</v>
      </c>
      <c r="I43" s="156">
        <f t="shared" si="8"/>
        <v>0</v>
      </c>
      <c r="J43"/>
      <c r="K43"/>
      <c r="L43"/>
      <c r="M43"/>
      <c r="N43"/>
      <c r="O43"/>
      <c r="P43"/>
      <c r="Q43"/>
      <c r="R43"/>
      <c r="S43"/>
      <c r="T43"/>
      <c r="X43" s="67">
        <f t="shared" si="49"/>
        <v>0</v>
      </c>
      <c r="Y43" s="216">
        <f>IF(AND($X43=1,'Plant Inputs'!$Y43=1),1,0)</f>
        <v>0</v>
      </c>
      <c r="Z43" s="216"/>
      <c r="AA43" s="216">
        <f>IF($Y43=0,0,IF('Plant Inputs'!J43="",0,'Plant Inputs'!J43))</f>
        <v>0</v>
      </c>
      <c r="AB43" s="216">
        <f>IF($Y43=0,0,IF('Plant Inputs'!K43="",0,'Plant Inputs'!K43))</f>
        <v>0</v>
      </c>
      <c r="AC43" s="216">
        <f>IF($Y43=0,0,IF('Plant Inputs'!L43="",0,'Plant Inputs'!L43))</f>
        <v>0</v>
      </c>
      <c r="AD43" s="216">
        <f>IF($Y43=0,0,IF('Plant Inputs'!M43="",0,'Plant Inputs'!M43))</f>
        <v>0</v>
      </c>
      <c r="AE43" s="217" t="str">
        <f>'Plant Inputs'!$O43</f>
        <v>mile</v>
      </c>
      <c r="AF43" s="217">
        <f t="shared" si="9"/>
        <v>1.6093473468862911</v>
      </c>
      <c r="AG43" s="216" t="str">
        <f t="shared" si="34"/>
        <v>km/mile</v>
      </c>
      <c r="AH43" s="216">
        <f t="shared" si="10"/>
        <v>0</v>
      </c>
      <c r="AI43" s="216">
        <f t="shared" si="10"/>
        <v>0</v>
      </c>
      <c r="AJ43" s="216">
        <f t="shared" si="10"/>
        <v>0</v>
      </c>
      <c r="AK43" s="216">
        <f t="shared" si="10"/>
        <v>0</v>
      </c>
      <c r="AL43" s="216"/>
      <c r="AM43" s="1" t="str">
        <f t="shared" si="11"/>
        <v>Chemical Admixture - Water Reducer/Plasticizer</v>
      </c>
      <c r="AN43" s="12" t="s">
        <v>128</v>
      </c>
      <c r="AO43">
        <f t="shared" si="12"/>
        <v>1.1982656298327359</v>
      </c>
      <c r="AP43" s="1">
        <f t="shared" si="35"/>
        <v>0</v>
      </c>
      <c r="AQ43" s="1" t="str">
        <f t="shared" si="13"/>
        <v>gallon</v>
      </c>
      <c r="AR43" s="1">
        <f t="shared" si="14"/>
        <v>4.535929094356397E-3</v>
      </c>
      <c r="AS43" s="87" t="str">
        <f t="shared" si="15"/>
        <v>tonne/gallon</v>
      </c>
      <c r="AT43" s="87">
        <f t="shared" si="16"/>
        <v>0</v>
      </c>
      <c r="AU43" s="87">
        <f t="shared" si="17"/>
        <v>0</v>
      </c>
      <c r="AV43" s="87">
        <f t="shared" si="18"/>
        <v>0</v>
      </c>
      <c r="AW43" t="str">
        <f t="shared" si="19"/>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IFERROR(INDEX(LCIA_Data,MATCH($AO$15&amp;CM$27,LCIA_Rows_B&amp;LCIA_Rows_C,0),MATCH(CM$26,LCIA_Columns,0)),0)*$AT43*$AJ43*$BN$23</f>
        <v>0</v>
      </c>
      <c r="CN43" s="1">
        <f t="array" ref="CN43">IFERROR(INDEX(LCIA_Data,MATCH($AO$15&amp;CN$27,LCIA_Rows_B&amp;LCIA_Rows_C,0),MATCH(CN$26,LCIA_Columns,0)),0)*$AT43*$AJ43*$BN$23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IFERROR(INDEX(LCIA_Data,MATCH($AO$15&amp;DA$27,LCIA_Rows_B&amp;LCIA_Rows_C,0),MATCH(DA$26,LCIA_Columns,0)),0)*$AT43*$AK43*$BN$23</f>
        <v>0</v>
      </c>
      <c r="DB43" s="1">
        <f t="array" ref="DB43">IFERROR(INDEX(LCIA_Data,MATCH($AO$15&amp;DB$27,LCIA_Rows_B&amp;LCIA_Rows_C,0),MATCH(DB$26,LCIA_Columns,0)),0)*$AT43*$AK43*$BN$23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f t="shared" si="20"/>
        <v>0</v>
      </c>
      <c r="DP43">
        <f t="shared" si="21"/>
        <v>0</v>
      </c>
      <c r="DQ43">
        <f t="shared" si="22"/>
        <v>0</v>
      </c>
      <c r="DR43">
        <f t="shared" si="23"/>
        <v>0</v>
      </c>
      <c r="DS43">
        <f t="shared" si="24"/>
        <v>0</v>
      </c>
      <c r="DT43">
        <f t="shared" si="25"/>
        <v>0</v>
      </c>
      <c r="DU43">
        <f t="shared" si="26"/>
        <v>0</v>
      </c>
      <c r="DV43">
        <f t="shared" si="27"/>
        <v>0</v>
      </c>
      <c r="DW43">
        <f t="shared" si="28"/>
        <v>0</v>
      </c>
      <c r="DX43">
        <f t="shared" si="29"/>
        <v>0</v>
      </c>
      <c r="DY43">
        <f t="shared" si="30"/>
        <v>0</v>
      </c>
      <c r="DZ43">
        <f t="shared" si="31"/>
        <v>0</v>
      </c>
      <c r="EA43">
        <f t="shared" si="31"/>
        <v>0</v>
      </c>
      <c r="EB43">
        <f t="shared" si="32"/>
        <v>0</v>
      </c>
      <c r="EC43"/>
      <c r="ED43"/>
      <c r="EE43"/>
      <c r="EF43"/>
      <c r="EG43"/>
    </row>
    <row r="44" spans="2:137" ht="15" customHeight="1">
      <c r="B44" s="53">
        <f t="shared" si="47"/>
        <v>0</v>
      </c>
      <c r="C44" s="26">
        <f t="shared" si="33"/>
        <v>15</v>
      </c>
      <c r="D44" s="46" t="str">
        <f>'Plant Inputs'!$D44</f>
        <v>Chemical Admixture - Accelerator</v>
      </c>
      <c r="E44" s="99"/>
      <c r="F44" s="106" t="str">
        <f t="shared" si="50"/>
        <v>gallon</v>
      </c>
      <c r="G44" s="158">
        <f t="shared" si="48"/>
        <v>0</v>
      </c>
      <c r="H44" s="204" t="str">
        <f t="shared" si="7"/>
        <v>short ton</v>
      </c>
      <c r="I44" s="156">
        <f t="shared" si="8"/>
        <v>0</v>
      </c>
      <c r="J44"/>
      <c r="K44"/>
      <c r="L44"/>
      <c r="M44"/>
      <c r="N44"/>
      <c r="O44"/>
      <c r="P44"/>
      <c r="Q44"/>
      <c r="R44"/>
      <c r="S44"/>
      <c r="T44"/>
      <c r="X44" s="67">
        <f t="shared" si="49"/>
        <v>0</v>
      </c>
      <c r="Y44" s="216">
        <f>IF(AND($X44=1,'Plant Inputs'!$Y44=1),1,0)</f>
        <v>0</v>
      </c>
      <c r="Z44" s="216"/>
      <c r="AA44" s="216">
        <f>IF($Y44=0,0,IF('Plant Inputs'!J44="",0,'Plant Inputs'!J44))</f>
        <v>0</v>
      </c>
      <c r="AB44" s="216">
        <f>IF($Y44=0,0,IF('Plant Inputs'!K44="",0,'Plant Inputs'!K44))</f>
        <v>0</v>
      </c>
      <c r="AC44" s="216">
        <f>IF($Y44=0,0,IF('Plant Inputs'!L44="",0,'Plant Inputs'!L44))</f>
        <v>0</v>
      </c>
      <c r="AD44" s="216">
        <f>IF($Y44=0,0,IF('Plant Inputs'!M44="",0,'Plant Inputs'!M44))</f>
        <v>0</v>
      </c>
      <c r="AE44" s="217" t="str">
        <f>'Plant Inputs'!$O44</f>
        <v>mile</v>
      </c>
      <c r="AF44" s="217">
        <f t="shared" si="9"/>
        <v>1.6093473468862911</v>
      </c>
      <c r="AG44" s="216" t="str">
        <f t="shared" si="34"/>
        <v>km/mile</v>
      </c>
      <c r="AH44" s="216">
        <f t="shared" si="10"/>
        <v>0</v>
      </c>
      <c r="AI44" s="216">
        <f t="shared" si="10"/>
        <v>0</v>
      </c>
      <c r="AJ44" s="216">
        <f t="shared" si="10"/>
        <v>0</v>
      </c>
      <c r="AK44" s="216">
        <f t="shared" si="10"/>
        <v>0</v>
      </c>
      <c r="AL44" s="216"/>
      <c r="AM44" s="1" t="str">
        <f t="shared" si="11"/>
        <v>Chemical Admixture - Accelerator</v>
      </c>
      <c r="AN44" s="12" t="s">
        <v>128</v>
      </c>
      <c r="AO44">
        <f t="shared" si="12"/>
        <v>1.1982656298327359</v>
      </c>
      <c r="AP44" s="1">
        <f t="shared" si="35"/>
        <v>0</v>
      </c>
      <c r="AQ44" s="1" t="str">
        <f t="shared" si="13"/>
        <v>gallon</v>
      </c>
      <c r="AR44" s="1">
        <f t="shared" si="14"/>
        <v>4.535929094356397E-3</v>
      </c>
      <c r="AS44" s="87" t="str">
        <f t="shared" si="15"/>
        <v>tonne/gallon</v>
      </c>
      <c r="AT44" s="87">
        <f t="shared" si="16"/>
        <v>0</v>
      </c>
      <c r="AU44" s="87">
        <f t="shared" si="17"/>
        <v>0</v>
      </c>
      <c r="AV44" s="87">
        <f t="shared" si="18"/>
        <v>0</v>
      </c>
      <c r="AW44" t="str">
        <f t="shared" si="19"/>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IFERROR(INDEX(LCIA_Data,MATCH($AO$15&amp;CM$27,LCIA_Rows_B&amp;LCIA_Rows_C,0),MATCH(CM$26,LCIA_Columns,0)),0)*$AT44*$AJ44*$BN$23</f>
        <v>0</v>
      </c>
      <c r="CN44" s="1">
        <f t="array" ref="CN44">IFERROR(INDEX(LCIA_Data,MATCH($AO$15&amp;CN$27,LCIA_Rows_B&amp;LCIA_Rows_C,0),MATCH(CN$26,LCIA_Columns,0)),0)*$AT44*$AJ44*$BN$23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IFERROR(INDEX(LCIA_Data,MATCH($AO$15&amp;DA$27,LCIA_Rows_B&amp;LCIA_Rows_C,0),MATCH(DA$26,LCIA_Columns,0)),0)*$AT44*$AK44*$BN$23</f>
        <v>0</v>
      </c>
      <c r="DB44" s="1">
        <f t="array" ref="DB44">IFERROR(INDEX(LCIA_Data,MATCH($AO$15&amp;DB$27,LCIA_Rows_B&amp;LCIA_Rows_C,0),MATCH(DB$26,LCIA_Columns,0)),0)*$AT44*$AK44*$BN$23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f t="shared" si="20"/>
        <v>0</v>
      </c>
      <c r="DP44">
        <f t="shared" si="21"/>
        <v>0</v>
      </c>
      <c r="DQ44">
        <f t="shared" si="22"/>
        <v>0</v>
      </c>
      <c r="DR44">
        <f t="shared" si="23"/>
        <v>0</v>
      </c>
      <c r="DS44">
        <f t="shared" si="24"/>
        <v>0</v>
      </c>
      <c r="DT44">
        <f t="shared" si="25"/>
        <v>0</v>
      </c>
      <c r="DU44">
        <f t="shared" si="26"/>
        <v>0</v>
      </c>
      <c r="DV44">
        <f t="shared" si="27"/>
        <v>0</v>
      </c>
      <c r="DW44">
        <f t="shared" si="28"/>
        <v>0</v>
      </c>
      <c r="DX44">
        <f t="shared" si="29"/>
        <v>0</v>
      </c>
      <c r="DY44">
        <f t="shared" si="30"/>
        <v>0</v>
      </c>
      <c r="DZ44">
        <f t="shared" si="31"/>
        <v>0</v>
      </c>
      <c r="EA44">
        <f t="shared" si="31"/>
        <v>0</v>
      </c>
      <c r="EB44">
        <f t="shared" si="32"/>
        <v>0</v>
      </c>
      <c r="EC44"/>
      <c r="ED44"/>
      <c r="EE44"/>
      <c r="EF44"/>
      <c r="EG44"/>
    </row>
    <row r="45" spans="2:137" ht="26.25" customHeight="1">
      <c r="B45" s="53">
        <f t="shared" si="47"/>
        <v>0</v>
      </c>
      <c r="C45" s="26">
        <f t="shared" si="33"/>
        <v>16</v>
      </c>
      <c r="D45" s="46" t="str">
        <f>'Plant Inputs'!$D45</f>
        <v>Chemical Admixture - High Range Water Reducer (HRWR)/Super Plasticizer</v>
      </c>
      <c r="E45" s="99"/>
      <c r="F45" s="106" t="str">
        <f t="shared" si="50"/>
        <v>gallon</v>
      </c>
      <c r="G45" s="158">
        <f t="shared" si="48"/>
        <v>0</v>
      </c>
      <c r="H45" s="204" t="str">
        <f t="shared" si="7"/>
        <v>short ton</v>
      </c>
      <c r="I45" s="156">
        <f t="shared" si="8"/>
        <v>0</v>
      </c>
      <c r="J45"/>
      <c r="K45"/>
      <c r="L45"/>
      <c r="M45"/>
      <c r="N45"/>
      <c r="O45"/>
      <c r="P45"/>
      <c r="Q45"/>
      <c r="R45"/>
      <c r="S45"/>
      <c r="T45"/>
      <c r="X45" s="67">
        <f t="shared" si="49"/>
        <v>0</v>
      </c>
      <c r="Y45" s="216">
        <f>IF(AND($X45=1,'Plant Inputs'!$Y45=1),1,0)</f>
        <v>0</v>
      </c>
      <c r="Z45" s="216"/>
      <c r="AA45" s="216">
        <f>IF($Y45=0,0,IF('Plant Inputs'!J45="",0,'Plant Inputs'!J45))</f>
        <v>0</v>
      </c>
      <c r="AB45" s="216">
        <f>IF($Y45=0,0,IF('Plant Inputs'!K45="",0,'Plant Inputs'!K45))</f>
        <v>0</v>
      </c>
      <c r="AC45" s="216">
        <f>IF($Y45=0,0,IF('Plant Inputs'!L45="",0,'Plant Inputs'!L45))</f>
        <v>0</v>
      </c>
      <c r="AD45" s="216">
        <f>IF($Y45=0,0,IF('Plant Inputs'!M45="",0,'Plant Inputs'!M45))</f>
        <v>0</v>
      </c>
      <c r="AE45" s="217" t="str">
        <f>'Plant Inputs'!$O45</f>
        <v>mile</v>
      </c>
      <c r="AF45" s="217">
        <f t="shared" si="9"/>
        <v>1.6093473468862911</v>
      </c>
      <c r="AG45" s="216" t="str">
        <f t="shared" si="34"/>
        <v>km/mile</v>
      </c>
      <c r="AH45" s="216">
        <f t="shared" si="10"/>
        <v>0</v>
      </c>
      <c r="AI45" s="216">
        <f t="shared" si="10"/>
        <v>0</v>
      </c>
      <c r="AJ45" s="216">
        <f t="shared" si="10"/>
        <v>0</v>
      </c>
      <c r="AK45" s="216">
        <f t="shared" si="10"/>
        <v>0</v>
      </c>
      <c r="AL45" s="216"/>
      <c r="AM45" s="1" t="str">
        <f t="shared" si="11"/>
        <v>Chemical Admixture - High Range Water Reducer (HRWR)/Super Plasticizer</v>
      </c>
      <c r="AN45" s="12" t="s">
        <v>128</v>
      </c>
      <c r="AO45">
        <f t="shared" si="12"/>
        <v>1.1982656298327359</v>
      </c>
      <c r="AP45" s="1">
        <f t="shared" si="35"/>
        <v>0</v>
      </c>
      <c r="AQ45" s="1" t="str">
        <f t="shared" si="13"/>
        <v>gallon</v>
      </c>
      <c r="AR45" s="1">
        <f t="shared" si="14"/>
        <v>4.535929094356397E-3</v>
      </c>
      <c r="AS45" s="87" t="str">
        <f t="shared" si="15"/>
        <v>tonne/gallon</v>
      </c>
      <c r="AT45" s="87">
        <f t="shared" si="16"/>
        <v>0</v>
      </c>
      <c r="AU45" s="87">
        <f t="shared" si="17"/>
        <v>0</v>
      </c>
      <c r="AV45" s="87">
        <f t="shared" si="18"/>
        <v>0</v>
      </c>
      <c r="AW45" t="str">
        <f t="shared" si="19"/>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IFERROR(INDEX(LCIA_Data,MATCH($AO$15&amp;CM$27,LCIA_Rows_B&amp;LCIA_Rows_C,0),MATCH(CM$26,LCIA_Columns,0)),0)*$AT45*$AJ45*$BN$23</f>
        <v>0</v>
      </c>
      <c r="CN45" s="1">
        <f t="array" ref="CN45">IFERROR(INDEX(LCIA_Data,MATCH($AO$15&amp;CN$27,LCIA_Rows_B&amp;LCIA_Rows_C,0),MATCH(CN$26,LCIA_Columns,0)),0)*$AT45*$AJ45*$BN$23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IFERROR(INDEX(LCIA_Data,MATCH($AO$15&amp;DA$27,LCIA_Rows_B&amp;LCIA_Rows_C,0),MATCH(DA$26,LCIA_Columns,0)),0)*$AT45*$AK45*$BN$23</f>
        <v>0</v>
      </c>
      <c r="DB45" s="1">
        <f t="array" ref="DB45">IFERROR(INDEX(LCIA_Data,MATCH($AO$15&amp;DB$27,LCIA_Rows_B&amp;LCIA_Rows_C,0),MATCH(DB$26,LCIA_Columns,0)),0)*$AT45*$AK45*$BN$23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f t="shared" si="20"/>
        <v>0</v>
      </c>
      <c r="DP45">
        <f t="shared" si="21"/>
        <v>0</v>
      </c>
      <c r="DQ45">
        <f t="shared" si="22"/>
        <v>0</v>
      </c>
      <c r="DR45">
        <f t="shared" si="23"/>
        <v>0</v>
      </c>
      <c r="DS45">
        <f t="shared" si="24"/>
        <v>0</v>
      </c>
      <c r="DT45">
        <f t="shared" si="25"/>
        <v>0</v>
      </c>
      <c r="DU45">
        <f t="shared" si="26"/>
        <v>0</v>
      </c>
      <c r="DV45">
        <f t="shared" si="27"/>
        <v>0</v>
      </c>
      <c r="DW45">
        <f t="shared" si="28"/>
        <v>0</v>
      </c>
      <c r="DX45">
        <f t="shared" si="29"/>
        <v>0</v>
      </c>
      <c r="DY45">
        <f t="shared" si="30"/>
        <v>0</v>
      </c>
      <c r="DZ45">
        <f t="shared" si="31"/>
        <v>0</v>
      </c>
      <c r="EA45">
        <f t="shared" si="31"/>
        <v>0</v>
      </c>
      <c r="EB45">
        <f t="shared" si="32"/>
        <v>0</v>
      </c>
      <c r="EC45"/>
      <c r="ED45"/>
      <c r="EE45"/>
      <c r="EF45"/>
      <c r="EG45"/>
    </row>
    <row r="46" spans="2:137" ht="15" customHeight="1">
      <c r="B46" s="53">
        <f>X46</f>
        <v>0</v>
      </c>
      <c r="C46" s="26">
        <f t="shared" si="33"/>
        <v>17</v>
      </c>
      <c r="D46" s="46" t="str">
        <f>'Plant Inputs'!$D46</f>
        <v>Chemical Admixture - Corrosion Inhibiting</v>
      </c>
      <c r="E46" s="99"/>
      <c r="F46" s="106" t="str">
        <f t="shared" si="50"/>
        <v>gallon</v>
      </c>
      <c r="G46" s="158">
        <f t="shared" si="48"/>
        <v>0</v>
      </c>
      <c r="H46" s="204" t="str">
        <f t="shared" si="7"/>
        <v>short ton</v>
      </c>
      <c r="I46" s="156">
        <f t="shared" si="8"/>
        <v>0</v>
      </c>
      <c r="J46"/>
      <c r="K46"/>
      <c r="L46"/>
      <c r="M46"/>
      <c r="N46"/>
      <c r="O46"/>
      <c r="P46"/>
      <c r="Q46"/>
      <c r="R46"/>
      <c r="S46"/>
      <c r="T46"/>
      <c r="X46" s="67">
        <f>IF(ISBLANK(E46),0,1)</f>
        <v>0</v>
      </c>
      <c r="Y46" s="216">
        <f>IF(AND($X46=1,'Plant Inputs'!$Y46=1),1,0)</f>
        <v>0</v>
      </c>
      <c r="Z46" s="216"/>
      <c r="AA46" s="216">
        <f>IF($Y46=0,0,IF('Plant Inputs'!J46="",0,'Plant Inputs'!J46))</f>
        <v>0</v>
      </c>
      <c r="AB46" s="216">
        <f>IF($Y46=0,0,IF('Plant Inputs'!K46="",0,'Plant Inputs'!K46))</f>
        <v>0</v>
      </c>
      <c r="AC46" s="216">
        <f>IF($Y46=0,0,IF('Plant Inputs'!L46="",0,'Plant Inputs'!L46))</f>
        <v>0</v>
      </c>
      <c r="AD46" s="216">
        <f>IF($Y46=0,0,IF('Plant Inputs'!M46="",0,'Plant Inputs'!M46))</f>
        <v>0</v>
      </c>
      <c r="AE46" s="217" t="str">
        <f>'Plant Inputs'!$O46</f>
        <v>mile</v>
      </c>
      <c r="AF46" s="217">
        <f t="shared" si="9"/>
        <v>1.6093473468862911</v>
      </c>
      <c r="AG46" s="216" t="str">
        <f t="shared" si="34"/>
        <v>km/mile</v>
      </c>
      <c r="AH46" s="216">
        <f>AA46*$AF46</f>
        <v>0</v>
      </c>
      <c r="AI46" s="216">
        <f>AB46*$AF46</f>
        <v>0</v>
      </c>
      <c r="AJ46" s="216">
        <f>AC46*$AF46</f>
        <v>0</v>
      </c>
      <c r="AK46" s="216">
        <f>AD46*$AF46</f>
        <v>0</v>
      </c>
      <c r="AL46" s="216"/>
      <c r="AM46" s="1" t="str">
        <f>D46</f>
        <v>Chemical Admixture - Corrosion Inhibiting</v>
      </c>
      <c r="AN46" s="12" t="s">
        <v>128</v>
      </c>
      <c r="AO46">
        <f>VLOOKUP(AM46,Material_Densities,2,FALSE)</f>
        <v>1.1982656298327359</v>
      </c>
      <c r="AP46" s="1">
        <f t="shared" si="35"/>
        <v>0</v>
      </c>
      <c r="AQ46" s="1" t="str">
        <f>F46</f>
        <v>gallon</v>
      </c>
      <c r="AR46" s="1">
        <f t="shared" si="14"/>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IFERROR(INDEX(LCIA_Data,MATCH($AO$15&amp;CM$27,LCIA_Rows_B&amp;LCIA_Rows_C,0),MATCH(CM$26,LCIA_Columns,0)),0)*$AT46*$AJ46*$BN$23</f>
        <v>0</v>
      </c>
      <c r="CN46" s="1">
        <f t="array" ref="CN46">IFERROR(INDEX(LCIA_Data,MATCH($AO$15&amp;CN$27,LCIA_Rows_B&amp;LCIA_Rows_C,0),MATCH(CN$26,LCIA_Columns,0)),0)*$AT46*$AJ46*$BN$23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IFERROR(INDEX(LCIA_Data,MATCH($AO$15&amp;DA$27,LCIA_Rows_B&amp;LCIA_Rows_C,0),MATCH(DA$26,LCIA_Columns,0)),0)*$AT46*$AK46*$BN$23</f>
        <v>0</v>
      </c>
      <c r="DB46" s="1">
        <f t="array" ref="DB46">IFERROR(INDEX(LCIA_Data,MATCH($AO$15&amp;DB$27,LCIA_Rows_B&amp;LCIA_Rows_C,0),MATCH(DB$26,LCIA_Columns,0)),0)*$AT46*$AK46*$BN$23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f t="shared" si="20"/>
        <v>0</v>
      </c>
      <c r="DP46">
        <f t="shared" si="21"/>
        <v>0</v>
      </c>
      <c r="DQ46">
        <f t="shared" si="22"/>
        <v>0</v>
      </c>
      <c r="DR46">
        <f t="shared" si="23"/>
        <v>0</v>
      </c>
      <c r="DS46">
        <f t="shared" si="24"/>
        <v>0</v>
      </c>
      <c r="DT46">
        <f t="shared" si="25"/>
        <v>0</v>
      </c>
      <c r="DU46">
        <f t="shared" si="26"/>
        <v>0</v>
      </c>
      <c r="DV46">
        <f t="shared" si="27"/>
        <v>0</v>
      </c>
      <c r="DW46">
        <f t="shared" si="28"/>
        <v>0</v>
      </c>
      <c r="DX46">
        <f t="shared" si="29"/>
        <v>0</v>
      </c>
      <c r="DY46">
        <f t="shared" si="30"/>
        <v>0</v>
      </c>
      <c r="DZ46">
        <f t="shared" ref="DZ46:EA61" si="51">BX46+CL46+CX46+DL46</f>
        <v>0</v>
      </c>
      <c r="EA46">
        <f t="shared" si="51"/>
        <v>0</v>
      </c>
      <c r="EB46">
        <f t="shared" si="32"/>
        <v>0</v>
      </c>
      <c r="EC46"/>
      <c r="ED46"/>
      <c r="EE46"/>
      <c r="EF46"/>
      <c r="EG46"/>
    </row>
    <row r="47" spans="2:137" ht="15" customHeight="1">
      <c r="B47" s="53">
        <f t="shared" si="47"/>
        <v>0</v>
      </c>
      <c r="C47" s="26">
        <f t="shared" si="33"/>
        <v>18</v>
      </c>
      <c r="D47" s="46" t="str">
        <f>'Plant Inputs'!$D47</f>
        <v>Chemical Admixture - Viscosity Modifying Admixture (VMA)</v>
      </c>
      <c r="E47" s="99"/>
      <c r="F47" s="106" t="str">
        <f t="shared" si="50"/>
        <v>gallon</v>
      </c>
      <c r="G47" s="158">
        <f t="shared" si="48"/>
        <v>0</v>
      </c>
      <c r="H47" s="204" t="str">
        <f t="shared" si="7"/>
        <v>short ton</v>
      </c>
      <c r="I47" s="156">
        <f t="shared" si="8"/>
        <v>0</v>
      </c>
      <c r="J47"/>
      <c r="K47"/>
      <c r="L47"/>
      <c r="M47"/>
      <c r="N47"/>
      <c r="O47"/>
      <c r="P47"/>
      <c r="Q47"/>
      <c r="R47"/>
      <c r="S47"/>
      <c r="T47"/>
      <c r="X47" s="67">
        <f t="shared" si="49"/>
        <v>0</v>
      </c>
      <c r="Y47" s="216">
        <f>IF(AND($X47=1,'Plant Inputs'!$Y47=1),1,0)</f>
        <v>0</v>
      </c>
      <c r="Z47" s="216"/>
      <c r="AA47" s="216">
        <f>IF($Y47=0,0,IF('Plant Inputs'!J47="",0,'Plant Inputs'!J47))</f>
        <v>0</v>
      </c>
      <c r="AB47" s="216">
        <f>IF($Y47=0,0,IF('Plant Inputs'!K47="",0,'Plant Inputs'!K47))</f>
        <v>0</v>
      </c>
      <c r="AC47" s="216">
        <f>IF($Y47=0,0,IF('Plant Inputs'!L47="",0,'Plant Inputs'!L47))</f>
        <v>0</v>
      </c>
      <c r="AD47" s="216">
        <f>IF($Y47=0,0,IF('Plant Inputs'!M47="",0,'Plant Inputs'!M47))</f>
        <v>0</v>
      </c>
      <c r="AE47" s="217" t="str">
        <f>'Plant Inputs'!$O47</f>
        <v>mile</v>
      </c>
      <c r="AF47" s="217">
        <f t="shared" si="9"/>
        <v>1.6093473468862911</v>
      </c>
      <c r="AG47" s="216" t="str">
        <f t="shared" si="34"/>
        <v>km/mile</v>
      </c>
      <c r="AH47" s="216">
        <f t="shared" si="10"/>
        <v>0</v>
      </c>
      <c r="AI47" s="216">
        <f t="shared" si="10"/>
        <v>0</v>
      </c>
      <c r="AJ47" s="216">
        <f t="shared" si="10"/>
        <v>0</v>
      </c>
      <c r="AK47" s="216">
        <f t="shared" si="10"/>
        <v>0</v>
      </c>
      <c r="AL47" s="216"/>
      <c r="AM47" s="1" t="str">
        <f t="shared" si="11"/>
        <v>Chemical Admixture - Viscosity Modifying Admixture (VMA)</v>
      </c>
      <c r="AN47" s="12" t="s">
        <v>128</v>
      </c>
      <c r="AO47">
        <f t="shared" si="12"/>
        <v>1.1982656298327359</v>
      </c>
      <c r="AP47" s="1">
        <f t="shared" si="35"/>
        <v>0</v>
      </c>
      <c r="AQ47" s="1" t="str">
        <f t="shared" si="13"/>
        <v>gallon</v>
      </c>
      <c r="AR47" s="1">
        <f t="shared" si="14"/>
        <v>4.535929094356397E-3</v>
      </c>
      <c r="AS47" s="87" t="str">
        <f t="shared" si="15"/>
        <v>tonne/gallon</v>
      </c>
      <c r="AT47" s="87">
        <f t="shared" si="16"/>
        <v>0</v>
      </c>
      <c r="AU47" s="87">
        <f t="shared" si="17"/>
        <v>0</v>
      </c>
      <c r="AV47" s="87">
        <f t="shared" si="18"/>
        <v>0</v>
      </c>
      <c r="AW47" t="str">
        <f t="shared" si="19"/>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IFERROR(INDEX(LCIA_Data,MATCH($AO$15&amp;CM$27,LCIA_Rows_B&amp;LCIA_Rows_C,0),MATCH(CM$26,LCIA_Columns,0)),0)*$AT47*$AJ47*$BN$23</f>
        <v>0</v>
      </c>
      <c r="CN47" s="1">
        <f t="array" ref="CN47">IFERROR(INDEX(LCIA_Data,MATCH($AO$15&amp;CN$27,LCIA_Rows_B&amp;LCIA_Rows_C,0),MATCH(CN$26,LCIA_Columns,0)),0)*$AT47*$AJ47*$BN$23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IFERROR(INDEX(LCIA_Data,MATCH($AO$15&amp;DA$27,LCIA_Rows_B&amp;LCIA_Rows_C,0),MATCH(DA$26,LCIA_Columns,0)),0)*$AT47*$AK47*$BN$23</f>
        <v>0</v>
      </c>
      <c r="DB47" s="1">
        <f t="array" ref="DB47">IFERROR(INDEX(LCIA_Data,MATCH($AO$15&amp;DB$27,LCIA_Rows_B&amp;LCIA_Rows_C,0),MATCH(DB$26,LCIA_Columns,0)),0)*$AT47*$AK47*$BN$23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f t="shared" si="20"/>
        <v>0</v>
      </c>
      <c r="DP47">
        <f t="shared" si="21"/>
        <v>0</v>
      </c>
      <c r="DQ47">
        <f t="shared" si="22"/>
        <v>0</v>
      </c>
      <c r="DR47">
        <f t="shared" si="23"/>
        <v>0</v>
      </c>
      <c r="DS47">
        <f t="shared" si="24"/>
        <v>0</v>
      </c>
      <c r="DT47">
        <f t="shared" si="25"/>
        <v>0</v>
      </c>
      <c r="DU47">
        <f t="shared" si="26"/>
        <v>0</v>
      </c>
      <c r="DV47">
        <f t="shared" si="27"/>
        <v>0</v>
      </c>
      <c r="DW47">
        <f t="shared" si="28"/>
        <v>0</v>
      </c>
      <c r="DX47">
        <f t="shared" si="29"/>
        <v>0</v>
      </c>
      <c r="DY47">
        <f t="shared" si="30"/>
        <v>0</v>
      </c>
      <c r="DZ47">
        <f t="shared" si="51"/>
        <v>0</v>
      </c>
      <c r="EA47">
        <f t="shared" si="51"/>
        <v>0</v>
      </c>
      <c r="EB47">
        <f t="shared" si="32"/>
        <v>0</v>
      </c>
      <c r="EC47"/>
      <c r="ED47"/>
      <c r="EE47"/>
      <c r="EF47"/>
      <c r="EG47"/>
    </row>
    <row r="48" spans="2:137" ht="15" customHeight="1" thickBot="1">
      <c r="B48" s="53">
        <f t="shared" si="47"/>
        <v>0</v>
      </c>
      <c r="C48" s="32">
        <f t="shared" si="33"/>
        <v>19</v>
      </c>
      <c r="D48" s="47" t="str">
        <f>'Plant Inputs'!$D48</f>
        <v>Form Release Agent</v>
      </c>
      <c r="E48" s="102"/>
      <c r="F48" s="247" t="str">
        <f t="shared" si="50"/>
        <v>gallon</v>
      </c>
      <c r="G48" s="228">
        <f t="shared" si="48"/>
        <v>0</v>
      </c>
      <c r="H48" s="227" t="str">
        <f t="shared" si="7"/>
        <v>short ton</v>
      </c>
      <c r="I48" s="157">
        <f t="shared" si="8"/>
        <v>0</v>
      </c>
      <c r="J48"/>
      <c r="K48"/>
      <c r="L48"/>
      <c r="M48"/>
      <c r="N48"/>
      <c r="O48"/>
      <c r="P48"/>
      <c r="Q48"/>
      <c r="R48"/>
      <c r="S48"/>
      <c r="T48"/>
      <c r="X48" s="67">
        <f t="shared" si="49"/>
        <v>0</v>
      </c>
      <c r="Y48" s="216">
        <f>IF(AND($X48=1,'Plant Inputs'!$Y48=1),1,0)</f>
        <v>0</v>
      </c>
      <c r="Z48" s="216"/>
      <c r="AA48" s="216">
        <f>IF($Y48=0,0,IF('Plant Inputs'!J48="",0,'Plant Inputs'!J48))</f>
        <v>0</v>
      </c>
      <c r="AB48" s="216">
        <f>IF($Y48=0,0,IF('Plant Inputs'!K48="",0,'Plant Inputs'!K48))</f>
        <v>0</v>
      </c>
      <c r="AC48" s="216">
        <f>IF($Y48=0,0,IF('Plant Inputs'!L48="",0,'Plant Inputs'!L48))</f>
        <v>0</v>
      </c>
      <c r="AD48" s="216">
        <f>IF($Y48=0,0,IF('Plant Inputs'!M48="",0,'Plant Inputs'!M48))</f>
        <v>0</v>
      </c>
      <c r="AE48" s="217" t="str">
        <f>'Plant Inputs'!$O48</f>
        <v>mile</v>
      </c>
      <c r="AF48" s="217">
        <f t="shared" si="9"/>
        <v>1.6093473468862911</v>
      </c>
      <c r="AG48" s="216" t="str">
        <f t="shared" si="34"/>
        <v>km/mile</v>
      </c>
      <c r="AH48" s="216">
        <f t="shared" ref="AH48:AK52" si="52">AA48*$AF48</f>
        <v>0</v>
      </c>
      <c r="AI48" s="216">
        <f t="shared" si="52"/>
        <v>0</v>
      </c>
      <c r="AJ48" s="216">
        <f t="shared" si="52"/>
        <v>0</v>
      </c>
      <c r="AK48" s="216">
        <f t="shared" si="52"/>
        <v>0</v>
      </c>
      <c r="AL48" s="216"/>
      <c r="AM48" s="1" t="str">
        <f t="shared" si="11"/>
        <v>Form Release Agent</v>
      </c>
      <c r="AN48" s="12" t="s">
        <v>128</v>
      </c>
      <c r="AO48">
        <f t="shared" si="12"/>
        <v>0.86599999999999999</v>
      </c>
      <c r="AP48" s="1">
        <f t="shared" si="35"/>
        <v>0</v>
      </c>
      <c r="AQ48" s="1" t="str">
        <f t="shared" si="13"/>
        <v>gallon</v>
      </c>
      <c r="AR48" s="1">
        <f t="shared" si="14"/>
        <v>3.2781667920000006E-3</v>
      </c>
      <c r="AS48" s="87" t="str">
        <f t="shared" si="15"/>
        <v>tonne/gallon</v>
      </c>
      <c r="AT48" s="87">
        <f t="shared" si="16"/>
        <v>0</v>
      </c>
      <c r="AU48" s="87">
        <f t="shared" si="17"/>
        <v>0</v>
      </c>
      <c r="AV48" s="87">
        <f t="shared" si="18"/>
        <v>0</v>
      </c>
      <c r="AW48" t="str">
        <f t="shared" si="19"/>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IFERROR(INDEX(LCIA_Data,MATCH($AO$15&amp;CM$27,LCIA_Rows_B&amp;LCIA_Rows_C,0),MATCH(CM$26,LCIA_Columns,0)),0)*$AT48*$AJ48*$BN$23</f>
        <v>0</v>
      </c>
      <c r="CN48" s="1">
        <f t="array" ref="CN48">IFERROR(INDEX(LCIA_Data,MATCH($AO$15&amp;CN$27,LCIA_Rows_B&amp;LCIA_Rows_C,0),MATCH(CN$26,LCIA_Columns,0)),0)*$AT48*$AJ48*$BN$23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IFERROR(INDEX(LCIA_Data,MATCH($AO$15&amp;DA$27,LCIA_Rows_B&amp;LCIA_Rows_C,0),MATCH(DA$26,LCIA_Columns,0)),0)*$AT48*$AK48*$BN$23</f>
        <v>0</v>
      </c>
      <c r="DB48" s="1">
        <f t="array" ref="DB48">IFERROR(INDEX(LCIA_Data,MATCH($AO$15&amp;DB$27,LCIA_Rows_B&amp;LCIA_Rows_C,0),MATCH(DB$26,LCIA_Columns,0)),0)*$AT48*$AK48*$BN$23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f t="shared" si="20"/>
        <v>0</v>
      </c>
      <c r="DP48">
        <f t="shared" si="21"/>
        <v>0</v>
      </c>
      <c r="DQ48">
        <f t="shared" si="22"/>
        <v>0</v>
      </c>
      <c r="DR48">
        <f t="shared" si="23"/>
        <v>0</v>
      </c>
      <c r="DS48">
        <f t="shared" si="24"/>
        <v>0</v>
      </c>
      <c r="DT48">
        <f t="shared" si="25"/>
        <v>0</v>
      </c>
      <c r="DU48">
        <f t="shared" si="26"/>
        <v>0</v>
      </c>
      <c r="DV48">
        <f t="shared" si="27"/>
        <v>0</v>
      </c>
      <c r="DW48">
        <f t="shared" si="28"/>
        <v>0</v>
      </c>
      <c r="DX48">
        <f t="shared" si="29"/>
        <v>0</v>
      </c>
      <c r="DY48">
        <f t="shared" si="30"/>
        <v>0</v>
      </c>
      <c r="DZ48">
        <f t="shared" si="51"/>
        <v>0</v>
      </c>
      <c r="EA48">
        <f t="shared" si="51"/>
        <v>0</v>
      </c>
      <c r="EB48">
        <f t="shared" si="32"/>
        <v>0</v>
      </c>
      <c r="EC48"/>
      <c r="ED48"/>
      <c r="EE48"/>
      <c r="EF48"/>
      <c r="EG48"/>
    </row>
    <row r="49" spans="2:137" ht="15" customHeight="1">
      <c r="B49" s="53">
        <f t="shared" si="47"/>
        <v>0</v>
      </c>
      <c r="C49" s="221">
        <f t="shared" si="33"/>
        <v>20</v>
      </c>
      <c r="D49" s="222" t="str">
        <f>'Plant Inputs'!$D49</f>
        <v>Rebar</v>
      </c>
      <c r="E49" s="154"/>
      <c r="F49" s="223" t="str">
        <f t="shared" ref="F49:F58" si="53">MassDisplayUnit</f>
        <v>short ton</v>
      </c>
      <c r="G49" s="224">
        <f t="shared" si="48"/>
        <v>0</v>
      </c>
      <c r="H49" s="225" t="str">
        <f t="shared" si="7"/>
        <v>short ton</v>
      </c>
      <c r="I49" s="156">
        <f t="shared" si="8"/>
        <v>0</v>
      </c>
      <c r="J49"/>
      <c r="K49"/>
      <c r="L49"/>
      <c r="M49"/>
      <c r="N49"/>
      <c r="O49"/>
      <c r="P49"/>
      <c r="Q49"/>
      <c r="R49"/>
      <c r="S49"/>
      <c r="T49"/>
      <c r="X49" s="67">
        <f t="shared" si="49"/>
        <v>0</v>
      </c>
      <c r="Y49" s="216">
        <f>IF(AND($X49=1,'Plant Inputs'!$Y49=1),1,0)</f>
        <v>0</v>
      </c>
      <c r="Z49" s="216"/>
      <c r="AA49" s="216">
        <f>IF($Y49=0,0,IF('Plant Inputs'!J49="",0,'Plant Inputs'!J49))</f>
        <v>0</v>
      </c>
      <c r="AB49" s="216">
        <f>IF($Y49=0,0,IF('Plant Inputs'!K49="",0,'Plant Inputs'!K49))</f>
        <v>0</v>
      </c>
      <c r="AC49" s="216">
        <f>IF($Y49=0,0,IF('Plant Inputs'!L49="",0,'Plant Inputs'!L49))</f>
        <v>0</v>
      </c>
      <c r="AD49" s="216">
        <f>IF($Y49=0,0,IF('Plant Inputs'!M49="",0,'Plant Inputs'!M49))</f>
        <v>0</v>
      </c>
      <c r="AE49" s="217" t="str">
        <f>'Plant Inputs'!$O49</f>
        <v>mile</v>
      </c>
      <c r="AF49" s="217">
        <f t="shared" si="9"/>
        <v>1.6093473468862911</v>
      </c>
      <c r="AG49" s="216" t="str">
        <f t="shared" si="34"/>
        <v>km/mile</v>
      </c>
      <c r="AH49" s="216">
        <f t="shared" si="52"/>
        <v>0</v>
      </c>
      <c r="AI49" s="216">
        <f t="shared" si="52"/>
        <v>0</v>
      </c>
      <c r="AJ49" s="216">
        <f t="shared" si="52"/>
        <v>0</v>
      </c>
      <c r="AK49" s="216">
        <f t="shared" si="52"/>
        <v>0</v>
      </c>
      <c r="AL49" s="216"/>
      <c r="AM49" s="1" t="str">
        <f t="shared" si="11"/>
        <v>Rebar</v>
      </c>
      <c r="AN49" t="s">
        <v>127</v>
      </c>
      <c r="AO49">
        <f t="shared" si="12"/>
        <v>0</v>
      </c>
      <c r="AP49" s="1">
        <f t="shared" si="35"/>
        <v>0</v>
      </c>
      <c r="AQ49" s="1" t="str">
        <f t="shared" si="13"/>
        <v>short ton</v>
      </c>
      <c r="AR49" s="1">
        <f t="shared" si="14"/>
        <v>0.90718499588591606</v>
      </c>
      <c r="AS49" s="87" t="str">
        <f t="shared" si="15"/>
        <v>tonne/short ton</v>
      </c>
      <c r="AT49" s="87">
        <f t="shared" si="16"/>
        <v>0</v>
      </c>
      <c r="AU49" s="87">
        <f t="shared" si="17"/>
        <v>0</v>
      </c>
      <c r="AV49" s="87">
        <f t="shared" si="18"/>
        <v>0</v>
      </c>
      <c r="AW49" t="str">
        <f t="shared" si="19"/>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IFERROR(INDEX(LCIA_Data,MATCH($AO$15&amp;CM$27,LCIA_Rows_B&amp;LCIA_Rows_C,0),MATCH(CM$26,LCIA_Columns,0)),0)*$AT49*$AJ49*$BN$23</f>
        <v>0</v>
      </c>
      <c r="CN49" s="1">
        <f t="array" ref="CN49">IFERROR(INDEX(LCIA_Data,MATCH($AO$15&amp;CN$27,LCIA_Rows_B&amp;LCIA_Rows_C,0),MATCH(CN$26,LCIA_Columns,0)),0)*$AT49*$AJ49*$BN$23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IFERROR(INDEX(LCIA_Data,MATCH($AO$15&amp;DA$27,LCIA_Rows_B&amp;LCIA_Rows_C,0),MATCH(DA$26,LCIA_Columns,0)),0)*$AT49*$AK49*$BN$23</f>
        <v>0</v>
      </c>
      <c r="DB49" s="1">
        <f t="array" ref="DB49">IFERROR(INDEX(LCIA_Data,MATCH($AO$15&amp;DB$27,LCIA_Rows_B&amp;LCIA_Rows_C,0),MATCH(DB$26,LCIA_Columns,0)),0)*$AT49*$AK49*$BN$23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f t="shared" si="20"/>
        <v>0</v>
      </c>
      <c r="DP49">
        <f t="shared" si="21"/>
        <v>0</v>
      </c>
      <c r="DQ49">
        <f t="shared" si="22"/>
        <v>0</v>
      </c>
      <c r="DR49">
        <f t="shared" si="23"/>
        <v>0</v>
      </c>
      <c r="DS49">
        <f t="shared" si="24"/>
        <v>0</v>
      </c>
      <c r="DT49">
        <f t="shared" si="25"/>
        <v>0</v>
      </c>
      <c r="DU49">
        <f t="shared" si="26"/>
        <v>0</v>
      </c>
      <c r="DV49">
        <f t="shared" si="27"/>
        <v>0</v>
      </c>
      <c r="DW49">
        <f t="shared" si="28"/>
        <v>0</v>
      </c>
      <c r="DX49">
        <f t="shared" si="29"/>
        <v>0</v>
      </c>
      <c r="DY49">
        <f t="shared" si="30"/>
        <v>0</v>
      </c>
      <c r="DZ49">
        <f t="shared" si="51"/>
        <v>0</v>
      </c>
      <c r="EA49">
        <f t="shared" si="51"/>
        <v>0</v>
      </c>
      <c r="EB49">
        <f t="shared" si="32"/>
        <v>0</v>
      </c>
      <c r="EC49"/>
      <c r="ED49"/>
      <c r="EE49"/>
      <c r="EF49"/>
      <c r="EG49"/>
    </row>
    <row r="50" spans="2:137" ht="15" customHeight="1">
      <c r="B50" s="53">
        <f t="shared" si="47"/>
        <v>0</v>
      </c>
      <c r="C50" s="26">
        <f t="shared" si="33"/>
        <v>21</v>
      </c>
      <c r="D50" s="46" t="str">
        <f>'Plant Inputs'!$D50</f>
        <v>Welded Wire Reinforcement (WWR)</v>
      </c>
      <c r="E50" s="99"/>
      <c r="F50" s="119" t="str">
        <f t="shared" si="53"/>
        <v>short ton</v>
      </c>
      <c r="G50" s="158">
        <f t="shared" si="48"/>
        <v>0</v>
      </c>
      <c r="H50" s="204" t="str">
        <f t="shared" si="7"/>
        <v>short ton</v>
      </c>
      <c r="I50" s="156">
        <f t="shared" si="8"/>
        <v>0</v>
      </c>
      <c r="J50"/>
      <c r="K50"/>
      <c r="L50"/>
      <c r="M50"/>
      <c r="N50"/>
      <c r="O50"/>
      <c r="P50"/>
      <c r="Q50"/>
      <c r="R50"/>
      <c r="S50"/>
      <c r="T50"/>
      <c r="X50" s="67">
        <f t="shared" si="49"/>
        <v>0</v>
      </c>
      <c r="Y50" s="216">
        <f>IF(AND($X50=1,'Plant Inputs'!$Y50=1),1,0)</f>
        <v>0</v>
      </c>
      <c r="Z50" s="216"/>
      <c r="AA50" s="216">
        <f>IF($Y50=0,0,IF('Plant Inputs'!J50="",0,'Plant Inputs'!J50))</f>
        <v>0</v>
      </c>
      <c r="AB50" s="216">
        <f>IF($Y50=0,0,IF('Plant Inputs'!K50="",0,'Plant Inputs'!K50))</f>
        <v>0</v>
      </c>
      <c r="AC50" s="216">
        <f>IF($Y50=0,0,IF('Plant Inputs'!L50="",0,'Plant Inputs'!L50))</f>
        <v>0</v>
      </c>
      <c r="AD50" s="216">
        <f>IF($Y50=0,0,IF('Plant Inputs'!M50="",0,'Plant Inputs'!M50))</f>
        <v>0</v>
      </c>
      <c r="AE50" s="217" t="str">
        <f>'Plant Inputs'!$O50</f>
        <v>mile</v>
      </c>
      <c r="AF50" s="217">
        <f t="shared" si="9"/>
        <v>1.6093473468862911</v>
      </c>
      <c r="AG50" s="216" t="str">
        <f t="shared" si="34"/>
        <v>km/mile</v>
      </c>
      <c r="AH50" s="216">
        <f t="shared" si="52"/>
        <v>0</v>
      </c>
      <c r="AI50" s="216">
        <f t="shared" si="52"/>
        <v>0</v>
      </c>
      <c r="AJ50" s="216">
        <f t="shared" si="52"/>
        <v>0</v>
      </c>
      <c r="AK50" s="216">
        <f t="shared" si="52"/>
        <v>0</v>
      </c>
      <c r="AL50" s="216"/>
      <c r="AM50" s="1" t="str">
        <f t="shared" si="11"/>
        <v>Welded Wire Reinforcement (WWR)</v>
      </c>
      <c r="AN50" t="s">
        <v>127</v>
      </c>
      <c r="AO50">
        <f t="shared" si="12"/>
        <v>0</v>
      </c>
      <c r="AP50" s="1">
        <f t="shared" si="35"/>
        <v>0</v>
      </c>
      <c r="AQ50" s="1" t="str">
        <f t="shared" si="13"/>
        <v>short ton</v>
      </c>
      <c r="AR50" s="1">
        <f t="shared" si="14"/>
        <v>0.90718499588591606</v>
      </c>
      <c r="AS50" s="87" t="str">
        <f t="shared" si="15"/>
        <v>tonne/short ton</v>
      </c>
      <c r="AT50" s="87">
        <f t="shared" si="16"/>
        <v>0</v>
      </c>
      <c r="AU50" s="87">
        <f t="shared" si="17"/>
        <v>0</v>
      </c>
      <c r="AV50" s="87">
        <f t="shared" si="18"/>
        <v>0</v>
      </c>
      <c r="AW50" t="str">
        <f t="shared" si="19"/>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IFERROR(INDEX(LCIA_Data,MATCH($AO$15&amp;CM$27,LCIA_Rows_B&amp;LCIA_Rows_C,0),MATCH(CM$26,LCIA_Columns,0)),0)*$AT50*$AJ50*$BN$23</f>
        <v>0</v>
      </c>
      <c r="CN50" s="1">
        <f t="array" ref="CN50">IFERROR(INDEX(LCIA_Data,MATCH($AO$15&amp;CN$27,LCIA_Rows_B&amp;LCIA_Rows_C,0),MATCH(CN$26,LCIA_Columns,0)),0)*$AT50*$AJ50*$BN$23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IFERROR(INDEX(LCIA_Data,MATCH($AO$15&amp;DA$27,LCIA_Rows_B&amp;LCIA_Rows_C,0),MATCH(DA$26,LCIA_Columns,0)),0)*$AT50*$AK50*$BN$23</f>
        <v>0</v>
      </c>
      <c r="DB50" s="1">
        <f t="array" ref="DB50">IFERROR(INDEX(LCIA_Data,MATCH($AO$15&amp;DB$27,LCIA_Rows_B&amp;LCIA_Rows_C,0),MATCH(DB$26,LCIA_Columns,0)),0)*$AT50*$AK50*$BN$23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f t="shared" si="20"/>
        <v>0</v>
      </c>
      <c r="DP50">
        <f t="shared" si="21"/>
        <v>0</v>
      </c>
      <c r="DQ50">
        <f t="shared" si="22"/>
        <v>0</v>
      </c>
      <c r="DR50">
        <f t="shared" si="23"/>
        <v>0</v>
      </c>
      <c r="DS50">
        <f t="shared" si="24"/>
        <v>0</v>
      </c>
      <c r="DT50">
        <f t="shared" si="25"/>
        <v>0</v>
      </c>
      <c r="DU50">
        <f t="shared" si="26"/>
        <v>0</v>
      </c>
      <c r="DV50">
        <f t="shared" si="27"/>
        <v>0</v>
      </c>
      <c r="DW50">
        <f t="shared" si="28"/>
        <v>0</v>
      </c>
      <c r="DX50">
        <f t="shared" si="29"/>
        <v>0</v>
      </c>
      <c r="DY50">
        <f t="shared" si="30"/>
        <v>0</v>
      </c>
      <c r="DZ50">
        <f t="shared" si="51"/>
        <v>0</v>
      </c>
      <c r="EA50">
        <f t="shared" si="51"/>
        <v>0</v>
      </c>
      <c r="EB50">
        <f t="shared" si="32"/>
        <v>0</v>
      </c>
      <c r="EC50"/>
      <c r="ED50"/>
      <c r="EE50"/>
      <c r="EF50"/>
      <c r="EG50"/>
    </row>
    <row r="51" spans="2:137" ht="15" customHeight="1" thickBot="1">
      <c r="B51" s="53">
        <f t="shared" si="47"/>
        <v>0</v>
      </c>
      <c r="C51" s="32">
        <f t="shared" si="33"/>
        <v>22</v>
      </c>
      <c r="D51" s="47" t="str">
        <f>'Plant Inputs'!$D51</f>
        <v>Steel Anchors</v>
      </c>
      <c r="E51" s="102"/>
      <c r="F51" s="231" t="str">
        <f t="shared" si="53"/>
        <v>short ton</v>
      </c>
      <c r="G51" s="228">
        <f t="shared" si="48"/>
        <v>0</v>
      </c>
      <c r="H51" s="227" t="str">
        <f t="shared" si="7"/>
        <v>short ton</v>
      </c>
      <c r="I51" s="397">
        <f t="shared" si="8"/>
        <v>0</v>
      </c>
      <c r="J51"/>
      <c r="K51"/>
      <c r="L51"/>
      <c r="M51"/>
      <c r="N51"/>
      <c r="O51"/>
      <c r="P51"/>
      <c r="Q51"/>
      <c r="R51"/>
      <c r="S51"/>
      <c r="T51"/>
      <c r="X51" s="67">
        <f t="shared" si="49"/>
        <v>0</v>
      </c>
      <c r="Y51" s="216">
        <f>IF(AND($X51=1,'Plant Inputs'!$Y51=1),1,0)</f>
        <v>0</v>
      </c>
      <c r="Z51" s="216"/>
      <c r="AA51" s="216">
        <f>IF($Y51=0,0,IF('Plant Inputs'!J51="",0,'Plant Inputs'!J51))</f>
        <v>0</v>
      </c>
      <c r="AB51" s="216">
        <f>IF($Y51=0,0,IF('Plant Inputs'!K51="",0,'Plant Inputs'!K51))</f>
        <v>0</v>
      </c>
      <c r="AC51" s="216">
        <f>IF($Y51=0,0,IF('Plant Inputs'!L51="",0,'Plant Inputs'!L51))</f>
        <v>0</v>
      </c>
      <c r="AD51" s="216">
        <f>IF($Y51=0,0,IF('Plant Inputs'!M51="",0,'Plant Inputs'!M51))</f>
        <v>0</v>
      </c>
      <c r="AE51" s="217" t="str">
        <f>'Plant Inputs'!$O51</f>
        <v>mile</v>
      </c>
      <c r="AF51" s="217">
        <f t="shared" si="9"/>
        <v>1.6093473468862911</v>
      </c>
      <c r="AG51" s="216" t="str">
        <f t="shared" si="34"/>
        <v>km/mile</v>
      </c>
      <c r="AH51" s="216">
        <f t="shared" si="52"/>
        <v>0</v>
      </c>
      <c r="AI51" s="216">
        <f t="shared" si="52"/>
        <v>0</v>
      </c>
      <c r="AJ51" s="216">
        <f t="shared" si="52"/>
        <v>0</v>
      </c>
      <c r="AK51" s="216">
        <f t="shared" si="52"/>
        <v>0</v>
      </c>
      <c r="AL51" s="216"/>
      <c r="AM51" s="1" t="str">
        <f t="shared" si="11"/>
        <v>Steel Anchors</v>
      </c>
      <c r="AN51" t="s">
        <v>127</v>
      </c>
      <c r="AO51">
        <f t="shared" si="12"/>
        <v>0</v>
      </c>
      <c r="AP51" s="1">
        <f t="shared" si="35"/>
        <v>0</v>
      </c>
      <c r="AQ51" s="1" t="str">
        <f t="shared" si="13"/>
        <v>short ton</v>
      </c>
      <c r="AR51" s="1">
        <f t="shared" si="14"/>
        <v>0.90718499588591606</v>
      </c>
      <c r="AS51" s="87" t="str">
        <f t="shared" si="15"/>
        <v>tonne/short ton</v>
      </c>
      <c r="AT51" s="87">
        <f t="shared" si="16"/>
        <v>0</v>
      </c>
      <c r="AU51" s="87">
        <f t="shared" si="17"/>
        <v>0</v>
      </c>
      <c r="AV51" s="87">
        <f t="shared" si="18"/>
        <v>0</v>
      </c>
      <c r="AW51" t="str">
        <f t="shared" si="19"/>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IFERROR(INDEX(LCIA_Data,MATCH($AO$15&amp;CM$27,LCIA_Rows_B&amp;LCIA_Rows_C,0),MATCH(CM$26,LCIA_Columns,0)),0)*$AT51*$AJ51*$BN$23</f>
        <v>0</v>
      </c>
      <c r="CN51" s="1">
        <f t="array" ref="CN51">IFERROR(INDEX(LCIA_Data,MATCH($AO$15&amp;CN$27,LCIA_Rows_B&amp;LCIA_Rows_C,0),MATCH(CN$26,LCIA_Columns,0)),0)*$AT51*$AJ51*$BN$23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IFERROR(INDEX(LCIA_Data,MATCH($AO$15&amp;DA$27,LCIA_Rows_B&amp;LCIA_Rows_C,0),MATCH(DA$26,LCIA_Columns,0)),0)*$AT51*$AK51*$BN$23</f>
        <v>0</v>
      </c>
      <c r="DB51" s="1">
        <f t="array" ref="DB51">IFERROR(INDEX(LCIA_Data,MATCH($AO$15&amp;DB$27,LCIA_Rows_B&amp;LCIA_Rows_C,0),MATCH(DB$26,LCIA_Columns,0)),0)*$AT51*$AK51*$BN$23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f t="shared" si="20"/>
        <v>0</v>
      </c>
      <c r="DP51">
        <f t="shared" si="21"/>
        <v>0</v>
      </c>
      <c r="DQ51">
        <f t="shared" si="22"/>
        <v>0</v>
      </c>
      <c r="DR51">
        <f t="shared" si="23"/>
        <v>0</v>
      </c>
      <c r="DS51">
        <f t="shared" si="24"/>
        <v>0</v>
      </c>
      <c r="DT51">
        <f t="shared" si="25"/>
        <v>0</v>
      </c>
      <c r="DU51">
        <f t="shared" si="26"/>
        <v>0</v>
      </c>
      <c r="DV51">
        <f t="shared" si="27"/>
        <v>0</v>
      </c>
      <c r="DW51">
        <f t="shared" si="28"/>
        <v>0</v>
      </c>
      <c r="DX51">
        <f t="shared" si="29"/>
        <v>0</v>
      </c>
      <c r="DY51">
        <f t="shared" si="30"/>
        <v>0</v>
      </c>
      <c r="DZ51">
        <f t="shared" si="51"/>
        <v>0</v>
      </c>
      <c r="EA51">
        <f t="shared" si="51"/>
        <v>0</v>
      </c>
      <c r="EB51">
        <f t="shared" si="32"/>
        <v>0</v>
      </c>
      <c r="EC51"/>
      <c r="ED51"/>
      <c r="EE51"/>
      <c r="EF51"/>
      <c r="EG51"/>
    </row>
    <row r="52" spans="2:137" ht="15" customHeight="1">
      <c r="B52" s="53">
        <f t="shared" si="47"/>
        <v>0</v>
      </c>
      <c r="C52" s="221">
        <f t="shared" si="33"/>
        <v>23</v>
      </c>
      <c r="D52" s="222" t="str">
        <f>'Plant Inputs'!$D52</f>
        <v>Steel Stressing Strand</v>
      </c>
      <c r="E52" s="154"/>
      <c r="F52" s="223" t="str">
        <f t="shared" si="53"/>
        <v>short ton</v>
      </c>
      <c r="G52" s="224">
        <f t="shared" si="48"/>
        <v>0</v>
      </c>
      <c r="H52" s="225" t="str">
        <f t="shared" si="7"/>
        <v>short ton</v>
      </c>
      <c r="I52" s="156">
        <f t="shared" si="8"/>
        <v>0</v>
      </c>
      <c r="J52"/>
      <c r="K52"/>
      <c r="L52"/>
      <c r="M52"/>
      <c r="N52"/>
      <c r="O52"/>
      <c r="P52"/>
      <c r="Q52"/>
      <c r="R52"/>
      <c r="S52"/>
      <c r="T52"/>
      <c r="X52" s="67">
        <f t="shared" si="49"/>
        <v>0</v>
      </c>
      <c r="Y52" s="216">
        <f>IF(AND($X52=1,'Plant Inputs'!$Y52=1),1,0)</f>
        <v>0</v>
      </c>
      <c r="Z52" s="216"/>
      <c r="AA52" s="216">
        <f>IF($Y52=0,0,IF('Plant Inputs'!J52="",0,'Plant Inputs'!J52))</f>
        <v>0</v>
      </c>
      <c r="AB52" s="216">
        <f>IF($Y52=0,0,IF('Plant Inputs'!K52="",0,'Plant Inputs'!K52))</f>
        <v>0</v>
      </c>
      <c r="AC52" s="216">
        <f>IF($Y52=0,0,IF('Plant Inputs'!L52="",0,'Plant Inputs'!L52))</f>
        <v>0</v>
      </c>
      <c r="AD52" s="216">
        <f>IF($Y52=0,0,IF('Plant Inputs'!M52="",0,'Plant Inputs'!M52))</f>
        <v>0</v>
      </c>
      <c r="AE52" s="217" t="str">
        <f>'Plant Inputs'!$O52</f>
        <v>mile</v>
      </c>
      <c r="AF52" s="217">
        <f t="shared" si="9"/>
        <v>1.6093473468862911</v>
      </c>
      <c r="AG52" s="216" t="str">
        <f t="shared" si="34"/>
        <v>km/mile</v>
      </c>
      <c r="AH52" s="216">
        <f t="shared" si="52"/>
        <v>0</v>
      </c>
      <c r="AI52" s="216">
        <f t="shared" si="52"/>
        <v>0</v>
      </c>
      <c r="AJ52" s="216">
        <f t="shared" si="52"/>
        <v>0</v>
      </c>
      <c r="AK52" s="216">
        <f t="shared" si="52"/>
        <v>0</v>
      </c>
      <c r="AL52" s="216"/>
      <c r="AM52" s="1" t="str">
        <f t="shared" si="11"/>
        <v>Steel Stressing Strand</v>
      </c>
      <c r="AN52" t="s">
        <v>127</v>
      </c>
      <c r="AO52">
        <f t="shared" si="12"/>
        <v>0</v>
      </c>
      <c r="AP52" s="1">
        <f t="shared" si="35"/>
        <v>0</v>
      </c>
      <c r="AQ52" s="1" t="str">
        <f t="shared" si="13"/>
        <v>short ton</v>
      </c>
      <c r="AR52" s="1">
        <f t="shared" si="14"/>
        <v>0.90718499588591606</v>
      </c>
      <c r="AS52" s="87" t="str">
        <f t="shared" si="15"/>
        <v>tonne/short ton</v>
      </c>
      <c r="AT52" s="87">
        <f t="shared" si="16"/>
        <v>0</v>
      </c>
      <c r="AU52" s="87">
        <f t="shared" si="17"/>
        <v>0</v>
      </c>
      <c r="AV52" s="87">
        <f t="shared" si="18"/>
        <v>0</v>
      </c>
      <c r="AW52" t="str">
        <f t="shared" si="19"/>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IFERROR(INDEX(LCIA_Data,MATCH($AO$15&amp;CM$27,LCIA_Rows_B&amp;LCIA_Rows_C,0),MATCH(CM$26,LCIA_Columns,0)),0)*$AT52*$AJ52*$BN$23</f>
        <v>0</v>
      </c>
      <c r="CN52" s="1">
        <f t="array" ref="CN52">IFERROR(INDEX(LCIA_Data,MATCH($AO$15&amp;CN$27,LCIA_Rows_B&amp;LCIA_Rows_C,0),MATCH(CN$26,LCIA_Columns,0)),0)*$AT52*$AJ52*$BN$23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IFERROR(INDEX(LCIA_Data,MATCH($AO$15&amp;DA$27,LCIA_Rows_B&amp;LCIA_Rows_C,0),MATCH(DA$26,LCIA_Columns,0)),0)*$AT52*$AK52*$BN$23</f>
        <v>0</v>
      </c>
      <c r="DB52" s="1">
        <f t="array" ref="DB52">IFERROR(INDEX(LCIA_Data,MATCH($AO$15&amp;DB$27,LCIA_Rows_B&amp;LCIA_Rows_C,0),MATCH(DB$26,LCIA_Columns,0)),0)*$AT52*$AK52*$BN$23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f t="shared" si="20"/>
        <v>0</v>
      </c>
      <c r="DP52">
        <f t="shared" si="21"/>
        <v>0</v>
      </c>
      <c r="DQ52">
        <f t="shared" si="22"/>
        <v>0</v>
      </c>
      <c r="DR52">
        <f t="shared" si="23"/>
        <v>0</v>
      </c>
      <c r="DS52">
        <f t="shared" si="24"/>
        <v>0</v>
      </c>
      <c r="DT52">
        <f t="shared" si="25"/>
        <v>0</v>
      </c>
      <c r="DU52">
        <f t="shared" si="26"/>
        <v>0</v>
      </c>
      <c r="DV52">
        <f t="shared" si="27"/>
        <v>0</v>
      </c>
      <c r="DW52">
        <f t="shared" si="28"/>
        <v>0</v>
      </c>
      <c r="DX52">
        <f t="shared" si="29"/>
        <v>0</v>
      </c>
      <c r="DY52">
        <f t="shared" si="30"/>
        <v>0</v>
      </c>
      <c r="DZ52">
        <f t="shared" si="51"/>
        <v>0</v>
      </c>
      <c r="EA52">
        <f t="shared" si="51"/>
        <v>0</v>
      </c>
      <c r="EB52">
        <f t="shared" si="32"/>
        <v>0</v>
      </c>
      <c r="EC52"/>
      <c r="ED52"/>
      <c r="EE52"/>
      <c r="EF52"/>
      <c r="EG52"/>
    </row>
    <row r="53" spans="2:137" ht="15" customHeight="1">
      <c r="B53" s="53">
        <f t="shared" si="47"/>
        <v>0</v>
      </c>
      <c r="C53" s="233">
        <f t="shared" si="33"/>
        <v>24</v>
      </c>
      <c r="D53" s="244" t="str">
        <f>'Plant Inputs'!$D53</f>
        <v>Carbon Fibre Reinforced Polymer (CFRP) strand</v>
      </c>
      <c r="E53" s="101"/>
      <c r="F53" s="235" t="str">
        <f t="shared" si="53"/>
        <v>short ton</v>
      </c>
      <c r="G53" s="236">
        <f t="shared" si="48"/>
        <v>0</v>
      </c>
      <c r="H53" s="237" t="str">
        <f t="shared" si="7"/>
        <v>short ton</v>
      </c>
      <c r="I53" s="398">
        <f t="shared" si="8"/>
        <v>0</v>
      </c>
      <c r="J53"/>
      <c r="K53"/>
      <c r="L53"/>
      <c r="M53"/>
      <c r="N53"/>
      <c r="O53"/>
      <c r="P53"/>
      <c r="Q53"/>
      <c r="R53"/>
      <c r="S53"/>
      <c r="T53"/>
      <c r="X53" s="67">
        <f t="shared" si="49"/>
        <v>0</v>
      </c>
      <c r="Y53" s="216">
        <f>IF(AND($X53=1,'Plant Inputs'!$Y53=1),1,0)</f>
        <v>0</v>
      </c>
      <c r="Z53" s="216"/>
      <c r="AA53" s="216">
        <f>IF($Y53=0,0,IF('Plant Inputs'!J53="",0,'Plant Inputs'!J53))</f>
        <v>0</v>
      </c>
      <c r="AB53" s="216">
        <f>IF($Y53=0,0,IF('Plant Inputs'!K53="",0,'Plant Inputs'!K53))</f>
        <v>0</v>
      </c>
      <c r="AC53" s="216">
        <f>IF($Y53=0,0,IF('Plant Inputs'!L53="",0,'Plant Inputs'!L53))</f>
        <v>0</v>
      </c>
      <c r="AD53" s="216">
        <f>IF($Y53=0,0,IF('Plant Inputs'!M53="",0,'Plant Inputs'!M53))</f>
        <v>0</v>
      </c>
      <c r="AE53" s="217" t="str">
        <f>'Plant Inputs'!$O53</f>
        <v>mile</v>
      </c>
      <c r="AF53" s="217">
        <f t="shared" si="9"/>
        <v>1.6093473468862911</v>
      </c>
      <c r="AG53" s="216" t="str">
        <f t="shared" si="34"/>
        <v>km/mile</v>
      </c>
      <c r="AH53" s="216">
        <f>AA53*$AF53</f>
        <v>0</v>
      </c>
      <c r="AI53" s="216">
        <f>AB53*$AF53</f>
        <v>0</v>
      </c>
      <c r="AJ53" s="216">
        <f>AC53*$AF53</f>
        <v>0</v>
      </c>
      <c r="AK53" s="216">
        <f>AD53*$AF53</f>
        <v>0</v>
      </c>
      <c r="AL53" s="216"/>
      <c r="AM53" s="1" t="str">
        <f t="shared" si="11"/>
        <v>Carbon Fibre Reinforced Polymer (CFRP) strand</v>
      </c>
      <c r="AN53" s="12" t="s">
        <v>127</v>
      </c>
      <c r="AO53">
        <f t="shared" si="12"/>
        <v>0</v>
      </c>
      <c r="AP53" s="1">
        <f t="shared" si="35"/>
        <v>0</v>
      </c>
      <c r="AQ53" s="1" t="str">
        <f t="shared" si="13"/>
        <v>short ton</v>
      </c>
      <c r="AR53" s="1">
        <f t="shared" si="14"/>
        <v>0.90718499588591606</v>
      </c>
      <c r="AS53" s="87" t="str">
        <f t="shared" si="15"/>
        <v>tonne/short ton</v>
      </c>
      <c r="AT53" s="87">
        <f t="shared" si="16"/>
        <v>0</v>
      </c>
      <c r="AU53" s="87">
        <f t="shared" si="17"/>
        <v>0</v>
      </c>
      <c r="AV53" s="87">
        <f t="shared" si="18"/>
        <v>0</v>
      </c>
      <c r="AW53" t="str">
        <f t="shared" si="19"/>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IFERROR(INDEX(LCIA_Data,MATCH($AO$15&amp;CM$27,LCIA_Rows_B&amp;LCIA_Rows_C,0),MATCH(CM$26,LCIA_Columns,0)),0)*$AT53*$AJ53*$BN$23</f>
        <v>0</v>
      </c>
      <c r="CN53" s="1">
        <f t="array" ref="CN53">IFERROR(INDEX(LCIA_Data,MATCH($AO$15&amp;CN$27,LCIA_Rows_B&amp;LCIA_Rows_C,0),MATCH(CN$26,LCIA_Columns,0)),0)*$AT53*$AJ53*$BN$23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IFERROR(INDEX(LCIA_Data,MATCH($AO$15&amp;DA$27,LCIA_Rows_B&amp;LCIA_Rows_C,0),MATCH(DA$26,LCIA_Columns,0)),0)*$AT53*$AK53*$BN$23</f>
        <v>0</v>
      </c>
      <c r="DB53" s="1">
        <f t="array" ref="DB53">IFERROR(INDEX(LCIA_Data,MATCH($AO$15&amp;DB$27,LCIA_Rows_B&amp;LCIA_Rows_C,0),MATCH(DB$26,LCIA_Columns,0)),0)*$AT53*$AK53*$BN$23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f t="shared" si="20"/>
        <v>0</v>
      </c>
      <c r="DP53">
        <f t="shared" si="21"/>
        <v>0</v>
      </c>
      <c r="DQ53">
        <f t="shared" si="22"/>
        <v>0</v>
      </c>
      <c r="DR53">
        <f t="shared" si="23"/>
        <v>0</v>
      </c>
      <c r="DS53">
        <f t="shared" si="24"/>
        <v>0</v>
      </c>
      <c r="DT53">
        <f t="shared" si="25"/>
        <v>0</v>
      </c>
      <c r="DU53">
        <f t="shared" si="26"/>
        <v>0</v>
      </c>
      <c r="DV53">
        <f t="shared" si="27"/>
        <v>0</v>
      </c>
      <c r="DW53">
        <f t="shared" si="28"/>
        <v>0</v>
      </c>
      <c r="DX53">
        <f t="shared" si="29"/>
        <v>0</v>
      </c>
      <c r="DY53">
        <f t="shared" si="30"/>
        <v>0</v>
      </c>
      <c r="DZ53">
        <f t="shared" si="51"/>
        <v>0</v>
      </c>
      <c r="EA53">
        <f t="shared" si="51"/>
        <v>0</v>
      </c>
      <c r="EB53">
        <f t="shared" si="32"/>
        <v>0</v>
      </c>
      <c r="EC53"/>
      <c r="ED53"/>
      <c r="EE53"/>
      <c r="EF53"/>
      <c r="EG53"/>
    </row>
    <row r="54" spans="2:137" ht="15" customHeight="1">
      <c r="B54" s="53">
        <f t="shared" si="47"/>
        <v>0</v>
      </c>
      <c r="C54" s="26">
        <f t="shared" si="33"/>
        <v>25</v>
      </c>
      <c r="D54" s="46" t="str">
        <f>'Plant Inputs'!$D54</f>
        <v>Polypropylene Fibers</v>
      </c>
      <c r="E54" s="99"/>
      <c r="F54" s="119" t="str">
        <f t="shared" si="53"/>
        <v>short ton</v>
      </c>
      <c r="G54" s="158">
        <f t="shared" si="48"/>
        <v>0</v>
      </c>
      <c r="H54" s="204" t="str">
        <f t="shared" si="7"/>
        <v>short ton</v>
      </c>
      <c r="I54" s="399">
        <f t="shared" si="8"/>
        <v>0</v>
      </c>
      <c r="J54"/>
      <c r="K54"/>
      <c r="L54"/>
      <c r="M54"/>
      <c r="N54"/>
      <c r="O54"/>
      <c r="P54"/>
      <c r="Q54"/>
      <c r="R54"/>
      <c r="S54"/>
      <c r="T54"/>
      <c r="X54" s="67">
        <f t="shared" si="49"/>
        <v>0</v>
      </c>
      <c r="Y54" s="216">
        <f>IF(AND($X54=1,'Plant Inputs'!$Y54=1),1,0)</f>
        <v>0</v>
      </c>
      <c r="Z54" s="216"/>
      <c r="AA54" s="216">
        <f>IF($Y54=0,0,IF('Plant Inputs'!J54="",0,'Plant Inputs'!J54))</f>
        <v>0</v>
      </c>
      <c r="AB54" s="216">
        <f>IF($Y54=0,0,IF('Plant Inputs'!K54="",0,'Plant Inputs'!K54))</f>
        <v>0</v>
      </c>
      <c r="AC54" s="216">
        <f>IF($Y54=0,0,IF('Plant Inputs'!L54="",0,'Plant Inputs'!L54))</f>
        <v>0</v>
      </c>
      <c r="AD54" s="216">
        <f>IF($Y54=0,0,IF('Plant Inputs'!M54="",0,'Plant Inputs'!M54))</f>
        <v>0</v>
      </c>
      <c r="AE54" s="217" t="str">
        <f>'Plant Inputs'!$O54</f>
        <v>mile</v>
      </c>
      <c r="AF54" s="217">
        <f t="shared" si="9"/>
        <v>1.6093473468862911</v>
      </c>
      <c r="AG54" s="216" t="str">
        <f t="shared" si="34"/>
        <v>km/mile</v>
      </c>
      <c r="AH54" s="216">
        <f t="shared" ref="AH54:AK64" si="54">AA54*$AF54</f>
        <v>0</v>
      </c>
      <c r="AI54" s="216">
        <f t="shared" si="54"/>
        <v>0</v>
      </c>
      <c r="AJ54" s="216">
        <f t="shared" si="54"/>
        <v>0</v>
      </c>
      <c r="AK54" s="216">
        <f t="shared" si="54"/>
        <v>0</v>
      </c>
      <c r="AL54" s="216"/>
      <c r="AM54" s="1" t="str">
        <f t="shared" si="11"/>
        <v>Polypropylene Fibers</v>
      </c>
      <c r="AN54" s="12" t="s">
        <v>127</v>
      </c>
      <c r="AO54">
        <f t="shared" si="12"/>
        <v>0</v>
      </c>
      <c r="AP54" s="1">
        <f t="shared" si="35"/>
        <v>0</v>
      </c>
      <c r="AQ54" s="1" t="str">
        <f t="shared" si="13"/>
        <v>short ton</v>
      </c>
      <c r="AR54" s="1">
        <f t="shared" si="14"/>
        <v>0.90718499588591606</v>
      </c>
      <c r="AS54" s="87" t="str">
        <f t="shared" si="15"/>
        <v>tonne/short ton</v>
      </c>
      <c r="AT54" s="87">
        <f t="shared" si="16"/>
        <v>0</v>
      </c>
      <c r="AU54" s="87">
        <f t="shared" si="17"/>
        <v>0</v>
      </c>
      <c r="AV54" s="87">
        <f t="shared" si="18"/>
        <v>0</v>
      </c>
      <c r="AW54" t="str">
        <f t="shared" si="19"/>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IFERROR(INDEX(LCIA_Data,MATCH($AO$15&amp;CM$27,LCIA_Rows_B&amp;LCIA_Rows_C,0),MATCH(CM$26,LCIA_Columns,0)),0)*$AT54*$AJ54*$BN$23</f>
        <v>0</v>
      </c>
      <c r="CN54" s="1">
        <f t="array" ref="CN54">IFERROR(INDEX(LCIA_Data,MATCH($AO$15&amp;CN$27,LCIA_Rows_B&amp;LCIA_Rows_C,0),MATCH(CN$26,LCIA_Columns,0)),0)*$AT54*$AJ54*$BN$23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IFERROR(INDEX(LCIA_Data,MATCH($AO$15&amp;DA$27,LCIA_Rows_B&amp;LCIA_Rows_C,0),MATCH(DA$26,LCIA_Columns,0)),0)*$AT54*$AK54*$BN$23</f>
        <v>0</v>
      </c>
      <c r="DB54" s="1">
        <f t="array" ref="DB54">IFERROR(INDEX(LCIA_Data,MATCH($AO$15&amp;DB$27,LCIA_Rows_B&amp;LCIA_Rows_C,0),MATCH(DB$26,LCIA_Columns,0)),0)*$AT54*$AK54*$BN$23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f t="shared" si="20"/>
        <v>0</v>
      </c>
      <c r="DP54">
        <f t="shared" si="21"/>
        <v>0</v>
      </c>
      <c r="DQ54">
        <f t="shared" si="22"/>
        <v>0</v>
      </c>
      <c r="DR54">
        <f t="shared" si="23"/>
        <v>0</v>
      </c>
      <c r="DS54">
        <f t="shared" si="24"/>
        <v>0</v>
      </c>
      <c r="DT54">
        <f t="shared" si="25"/>
        <v>0</v>
      </c>
      <c r="DU54">
        <f t="shared" si="26"/>
        <v>0</v>
      </c>
      <c r="DV54">
        <f t="shared" si="27"/>
        <v>0</v>
      </c>
      <c r="DW54">
        <f t="shared" si="28"/>
        <v>0</v>
      </c>
      <c r="DX54">
        <f t="shared" si="29"/>
        <v>0</v>
      </c>
      <c r="DY54">
        <f t="shared" si="30"/>
        <v>0</v>
      </c>
      <c r="DZ54">
        <f t="shared" si="51"/>
        <v>0</v>
      </c>
      <c r="EA54">
        <f t="shared" si="51"/>
        <v>0</v>
      </c>
      <c r="EB54">
        <f t="shared" si="32"/>
        <v>0</v>
      </c>
      <c r="EC54"/>
      <c r="ED54"/>
      <c r="EE54"/>
      <c r="EF54"/>
      <c r="EG54"/>
    </row>
    <row r="55" spans="2:137" ht="15" customHeight="1">
      <c r="B55" s="53">
        <f t="shared" si="47"/>
        <v>0</v>
      </c>
      <c r="C55" s="26">
        <f t="shared" si="33"/>
        <v>26</v>
      </c>
      <c r="D55" s="46" t="str">
        <f>'Plant Inputs'!$D55</f>
        <v>Steel Fibers</v>
      </c>
      <c r="E55" s="99"/>
      <c r="F55" s="119" t="str">
        <f t="shared" si="53"/>
        <v>short ton</v>
      </c>
      <c r="G55" s="158">
        <f t="shared" si="48"/>
        <v>0</v>
      </c>
      <c r="H55" s="204" t="str">
        <f t="shared" si="7"/>
        <v>short ton</v>
      </c>
      <c r="I55" s="156">
        <f t="shared" si="8"/>
        <v>0</v>
      </c>
      <c r="J55"/>
      <c r="K55"/>
      <c r="L55"/>
      <c r="M55"/>
      <c r="N55"/>
      <c r="O55"/>
      <c r="P55"/>
      <c r="Q55"/>
      <c r="R55"/>
      <c r="S55"/>
      <c r="T55"/>
      <c r="X55" s="67">
        <f t="shared" si="49"/>
        <v>0</v>
      </c>
      <c r="Y55" s="216">
        <f>IF(AND($X55=1,'Plant Inputs'!$Y55=1),1,0)</f>
        <v>0</v>
      </c>
      <c r="Z55" s="216"/>
      <c r="AA55" s="216">
        <f>IF($Y55=0,0,IF('Plant Inputs'!J55="",0,'Plant Inputs'!J55))</f>
        <v>0</v>
      </c>
      <c r="AB55" s="216">
        <f>IF($Y55=0,0,IF('Plant Inputs'!K55="",0,'Plant Inputs'!K55))</f>
        <v>0</v>
      </c>
      <c r="AC55" s="216">
        <f>IF($Y55=0,0,IF('Plant Inputs'!L55="",0,'Plant Inputs'!L55))</f>
        <v>0</v>
      </c>
      <c r="AD55" s="216">
        <f>IF($Y55=0,0,IF('Plant Inputs'!M55="",0,'Plant Inputs'!M55))</f>
        <v>0</v>
      </c>
      <c r="AE55" s="217" t="str">
        <f>'Plant Inputs'!$O55</f>
        <v>mile</v>
      </c>
      <c r="AF55" s="217">
        <f t="shared" si="9"/>
        <v>1.6093473468862911</v>
      </c>
      <c r="AG55" s="216" t="str">
        <f t="shared" si="34"/>
        <v>km/mile</v>
      </c>
      <c r="AH55" s="216">
        <f t="shared" si="54"/>
        <v>0</v>
      </c>
      <c r="AI55" s="216">
        <f t="shared" si="54"/>
        <v>0</v>
      </c>
      <c r="AJ55" s="216">
        <f t="shared" si="54"/>
        <v>0</v>
      </c>
      <c r="AK55" s="216">
        <f t="shared" si="54"/>
        <v>0</v>
      </c>
      <c r="AL55" s="216"/>
      <c r="AM55" s="1" t="str">
        <f t="shared" si="11"/>
        <v>Steel Fibers</v>
      </c>
      <c r="AN55" s="12" t="s">
        <v>127</v>
      </c>
      <c r="AO55">
        <f t="shared" si="12"/>
        <v>0</v>
      </c>
      <c r="AP55" s="1">
        <f t="shared" si="35"/>
        <v>0</v>
      </c>
      <c r="AQ55" s="1" t="str">
        <f t="shared" si="13"/>
        <v>short ton</v>
      </c>
      <c r="AR55" s="1">
        <f t="shared" si="14"/>
        <v>0.90718499588591606</v>
      </c>
      <c r="AS55" s="87" t="str">
        <f t="shared" si="15"/>
        <v>tonne/short ton</v>
      </c>
      <c r="AT55" s="87">
        <f t="shared" si="16"/>
        <v>0</v>
      </c>
      <c r="AU55" s="87">
        <f t="shared" si="17"/>
        <v>0</v>
      </c>
      <c r="AV55" s="87">
        <f t="shared" si="18"/>
        <v>0</v>
      </c>
      <c r="AW55" t="str">
        <f t="shared" si="19"/>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IFERROR(INDEX(LCIA_Data,MATCH($AO$15&amp;CM$27,LCIA_Rows_B&amp;LCIA_Rows_C,0),MATCH(CM$26,LCIA_Columns,0)),0)*$AT55*$AJ55*$BN$23</f>
        <v>0</v>
      </c>
      <c r="CN55" s="1">
        <f t="array" ref="CN55">IFERROR(INDEX(LCIA_Data,MATCH($AO$15&amp;CN$27,LCIA_Rows_B&amp;LCIA_Rows_C,0),MATCH(CN$26,LCIA_Columns,0)),0)*$AT55*$AJ55*$BN$23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IFERROR(INDEX(LCIA_Data,MATCH($AO$15&amp;DA$27,LCIA_Rows_B&amp;LCIA_Rows_C,0),MATCH(DA$26,LCIA_Columns,0)),0)*$AT55*$AK55*$BN$23</f>
        <v>0</v>
      </c>
      <c r="DB55" s="1">
        <f t="array" ref="DB55">IFERROR(INDEX(LCIA_Data,MATCH($AO$15&amp;DB$27,LCIA_Rows_B&amp;LCIA_Rows_C,0),MATCH(DB$26,LCIA_Columns,0)),0)*$AT55*$AK55*$BN$23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f t="shared" si="20"/>
        <v>0</v>
      </c>
      <c r="DP55">
        <f t="shared" si="21"/>
        <v>0</v>
      </c>
      <c r="DQ55">
        <f t="shared" si="22"/>
        <v>0</v>
      </c>
      <c r="DR55">
        <f t="shared" si="23"/>
        <v>0</v>
      </c>
      <c r="DS55">
        <f t="shared" si="24"/>
        <v>0</v>
      </c>
      <c r="DT55">
        <f t="shared" si="25"/>
        <v>0</v>
      </c>
      <c r="DU55">
        <f t="shared" si="26"/>
        <v>0</v>
      </c>
      <c r="DV55">
        <f t="shared" si="27"/>
        <v>0</v>
      </c>
      <c r="DW55">
        <f t="shared" si="28"/>
        <v>0</v>
      </c>
      <c r="DX55">
        <f t="shared" si="29"/>
        <v>0</v>
      </c>
      <c r="DY55">
        <f t="shared" si="30"/>
        <v>0</v>
      </c>
      <c r="DZ55">
        <f t="shared" si="51"/>
        <v>0</v>
      </c>
      <c r="EA55">
        <f t="shared" si="51"/>
        <v>0</v>
      </c>
      <c r="EB55">
        <f t="shared" si="32"/>
        <v>0</v>
      </c>
      <c r="EC55"/>
      <c r="ED55"/>
      <c r="EE55"/>
      <c r="EF55"/>
      <c r="EG55"/>
    </row>
    <row r="56" spans="2:137" ht="15" customHeight="1">
      <c r="B56" s="53">
        <f t="shared" si="47"/>
        <v>0</v>
      </c>
      <c r="C56" s="26">
        <f t="shared" si="33"/>
        <v>27</v>
      </c>
      <c r="D56" s="46" t="str">
        <f>'Plant Inputs'!$D56</f>
        <v>Glass Fibre Reinforced Polymer (GFRP) reinforcing bars</v>
      </c>
      <c r="E56" s="99"/>
      <c r="F56" s="119" t="str">
        <f t="shared" si="53"/>
        <v>short ton</v>
      </c>
      <c r="G56" s="158">
        <f t="shared" si="48"/>
        <v>0</v>
      </c>
      <c r="H56" s="204" t="str">
        <f t="shared" si="7"/>
        <v>short ton</v>
      </c>
      <c r="I56" s="156">
        <f t="shared" si="8"/>
        <v>0</v>
      </c>
      <c r="J56"/>
      <c r="K56"/>
      <c r="L56"/>
      <c r="M56"/>
      <c r="N56"/>
      <c r="O56"/>
      <c r="P56"/>
      <c r="Q56"/>
      <c r="R56"/>
      <c r="S56"/>
      <c r="T56"/>
      <c r="X56" s="67">
        <f t="shared" si="49"/>
        <v>0</v>
      </c>
      <c r="Y56" s="216">
        <f>IF(AND($X56=1,'Plant Inputs'!$Y56=1),1,0)</f>
        <v>0</v>
      </c>
      <c r="Z56" s="216"/>
      <c r="AA56" s="216">
        <f>IF($Y56=0,0,IF('Plant Inputs'!J56="",0,'Plant Inputs'!J56))</f>
        <v>0</v>
      </c>
      <c r="AB56" s="216">
        <f>IF($Y56=0,0,IF('Plant Inputs'!K56="",0,'Plant Inputs'!K56))</f>
        <v>0</v>
      </c>
      <c r="AC56" s="216">
        <f>IF($Y56=0,0,IF('Plant Inputs'!L56="",0,'Plant Inputs'!L56))</f>
        <v>0</v>
      </c>
      <c r="AD56" s="216">
        <f>IF($Y56=0,0,IF('Plant Inputs'!M56="",0,'Plant Inputs'!M56))</f>
        <v>0</v>
      </c>
      <c r="AE56" s="217" t="str">
        <f>'Plant Inputs'!$O56</f>
        <v>mile</v>
      </c>
      <c r="AF56" s="217">
        <f t="shared" si="9"/>
        <v>1.6093473468862911</v>
      </c>
      <c r="AG56" s="216" t="str">
        <f t="shared" si="34"/>
        <v>km/mile</v>
      </c>
      <c r="AH56" s="216">
        <f t="shared" si="54"/>
        <v>0</v>
      </c>
      <c r="AI56" s="216">
        <f t="shared" si="54"/>
        <v>0</v>
      </c>
      <c r="AJ56" s="216">
        <f t="shared" si="54"/>
        <v>0</v>
      </c>
      <c r="AK56" s="216">
        <f t="shared" si="54"/>
        <v>0</v>
      </c>
      <c r="AL56" s="216"/>
      <c r="AM56" s="1" t="str">
        <f t="shared" si="11"/>
        <v>Glass Fibre Reinforced Polymer (GFRP) reinforcing bars</v>
      </c>
      <c r="AN56" s="12" t="s">
        <v>127</v>
      </c>
      <c r="AO56">
        <f t="shared" si="12"/>
        <v>0</v>
      </c>
      <c r="AP56" s="1">
        <f t="shared" si="35"/>
        <v>0</v>
      </c>
      <c r="AQ56" s="1" t="str">
        <f t="shared" si="13"/>
        <v>short ton</v>
      </c>
      <c r="AR56" s="1">
        <f t="shared" si="14"/>
        <v>0.90718499588591606</v>
      </c>
      <c r="AS56" s="87" t="str">
        <f t="shared" si="15"/>
        <v>tonne/short ton</v>
      </c>
      <c r="AT56" s="87">
        <f t="shared" si="16"/>
        <v>0</v>
      </c>
      <c r="AU56" s="87">
        <f t="shared" si="17"/>
        <v>0</v>
      </c>
      <c r="AV56" s="87">
        <f t="shared" si="18"/>
        <v>0</v>
      </c>
      <c r="AW56" t="str">
        <f t="shared" si="19"/>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IFERROR(INDEX(LCIA_Data,MATCH($AO$15&amp;CM$27,LCIA_Rows_B&amp;LCIA_Rows_C,0),MATCH(CM$26,LCIA_Columns,0)),0)*$AT56*$AJ56*$BN$23</f>
        <v>0</v>
      </c>
      <c r="CN56" s="1">
        <f t="array" ref="CN56">IFERROR(INDEX(LCIA_Data,MATCH($AO$15&amp;CN$27,LCIA_Rows_B&amp;LCIA_Rows_C,0),MATCH(CN$26,LCIA_Columns,0)),0)*$AT56*$AJ56*$BN$23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IFERROR(INDEX(LCIA_Data,MATCH($AO$15&amp;DA$27,LCIA_Rows_B&amp;LCIA_Rows_C,0),MATCH(DA$26,LCIA_Columns,0)),0)*$AT56*$AK56*$BN$23</f>
        <v>0</v>
      </c>
      <c r="DB56" s="1">
        <f t="array" ref="DB56">IFERROR(INDEX(LCIA_Data,MATCH($AO$15&amp;DB$27,LCIA_Rows_B&amp;LCIA_Rows_C,0),MATCH(DB$26,LCIA_Columns,0)),0)*$AT56*$AK56*$BN$23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f t="shared" si="20"/>
        <v>0</v>
      </c>
      <c r="DP56">
        <f t="shared" si="21"/>
        <v>0</v>
      </c>
      <c r="DQ56">
        <f t="shared" si="22"/>
        <v>0</v>
      </c>
      <c r="DR56">
        <f t="shared" si="23"/>
        <v>0</v>
      </c>
      <c r="DS56">
        <f t="shared" si="24"/>
        <v>0</v>
      </c>
      <c r="DT56">
        <f t="shared" si="25"/>
        <v>0</v>
      </c>
      <c r="DU56">
        <f t="shared" si="26"/>
        <v>0</v>
      </c>
      <c r="DV56">
        <f t="shared" si="27"/>
        <v>0</v>
      </c>
      <c r="DW56">
        <f t="shared" si="28"/>
        <v>0</v>
      </c>
      <c r="DX56">
        <f t="shared" si="29"/>
        <v>0</v>
      </c>
      <c r="DY56">
        <f t="shared" si="30"/>
        <v>0</v>
      </c>
      <c r="DZ56">
        <f t="shared" si="51"/>
        <v>0</v>
      </c>
      <c r="EA56">
        <f t="shared" si="51"/>
        <v>0</v>
      </c>
      <c r="EB56">
        <f t="shared" si="32"/>
        <v>0</v>
      </c>
      <c r="EC56"/>
      <c r="ED56"/>
      <c r="EE56"/>
      <c r="EF56"/>
      <c r="EG56"/>
    </row>
    <row r="57" spans="2:137" ht="15" customHeight="1">
      <c r="B57" s="53">
        <f t="shared" si="47"/>
        <v>0</v>
      </c>
      <c r="C57" s="26">
        <f t="shared" si="33"/>
        <v>28</v>
      </c>
      <c r="D57" s="46" t="str">
        <f>'Plant Inputs'!$D57</f>
        <v>Carbon Fibre Reinforced Polymer (CFRP) reinforcing bars</v>
      </c>
      <c r="E57" s="99"/>
      <c r="F57" s="119" t="str">
        <f t="shared" si="53"/>
        <v>short ton</v>
      </c>
      <c r="G57" s="158">
        <f t="shared" si="48"/>
        <v>0</v>
      </c>
      <c r="H57" s="204" t="str">
        <f t="shared" si="7"/>
        <v>short ton</v>
      </c>
      <c r="I57" s="156">
        <f t="shared" si="8"/>
        <v>0</v>
      </c>
      <c r="J57"/>
      <c r="K57"/>
      <c r="L57"/>
      <c r="M57"/>
      <c r="N57"/>
      <c r="O57"/>
      <c r="P57"/>
      <c r="Q57"/>
      <c r="R57"/>
      <c r="S57"/>
      <c r="T57"/>
      <c r="X57" s="67">
        <f t="shared" si="49"/>
        <v>0</v>
      </c>
      <c r="Y57" s="216">
        <f>IF(AND($X57=1,'Plant Inputs'!$Y57=1),1,0)</f>
        <v>0</v>
      </c>
      <c r="Z57" s="216"/>
      <c r="AA57" s="216">
        <f>IF($Y57=0,0,IF('Plant Inputs'!J57="",0,'Plant Inputs'!J57))</f>
        <v>0</v>
      </c>
      <c r="AB57" s="216">
        <f>IF($Y57=0,0,IF('Plant Inputs'!K57="",0,'Plant Inputs'!K57))</f>
        <v>0</v>
      </c>
      <c r="AC57" s="216">
        <f>IF($Y57=0,0,IF('Plant Inputs'!L57="",0,'Plant Inputs'!L57))</f>
        <v>0</v>
      </c>
      <c r="AD57" s="216">
        <f>IF($Y57=0,0,IF('Plant Inputs'!M57="",0,'Plant Inputs'!M57))</f>
        <v>0</v>
      </c>
      <c r="AE57" s="217" t="str">
        <f>'Plant Inputs'!$O57</f>
        <v>mile</v>
      </c>
      <c r="AF57" s="217">
        <f t="shared" si="9"/>
        <v>1.6093473468862911</v>
      </c>
      <c r="AG57" s="216" t="str">
        <f t="shared" si="34"/>
        <v>km/mile</v>
      </c>
      <c r="AH57" s="216">
        <f t="shared" si="54"/>
        <v>0</v>
      </c>
      <c r="AI57" s="216">
        <f t="shared" si="54"/>
        <v>0</v>
      </c>
      <c r="AJ57" s="216">
        <f t="shared" si="54"/>
        <v>0</v>
      </c>
      <c r="AK57" s="216">
        <f t="shared" si="54"/>
        <v>0</v>
      </c>
      <c r="AL57" s="216"/>
      <c r="AM57" s="1" t="str">
        <f t="shared" si="11"/>
        <v>Carbon Fibre Reinforced Polymer (CFRP) reinforcing bars</v>
      </c>
      <c r="AN57" s="12" t="s">
        <v>127</v>
      </c>
      <c r="AO57">
        <f t="shared" si="12"/>
        <v>0</v>
      </c>
      <c r="AP57" s="1">
        <f t="shared" si="35"/>
        <v>0</v>
      </c>
      <c r="AQ57" s="1" t="str">
        <f t="shared" si="13"/>
        <v>short ton</v>
      </c>
      <c r="AR57" s="1">
        <f t="shared" si="14"/>
        <v>0.90718499588591606</v>
      </c>
      <c r="AS57" s="87" t="str">
        <f t="shared" si="15"/>
        <v>tonne/short ton</v>
      </c>
      <c r="AT57" s="87">
        <f t="shared" si="16"/>
        <v>0</v>
      </c>
      <c r="AU57" s="87">
        <f t="shared" si="17"/>
        <v>0</v>
      </c>
      <c r="AV57" s="87">
        <f t="shared" si="18"/>
        <v>0</v>
      </c>
      <c r="AW57" t="str">
        <f t="shared" si="19"/>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IFERROR(INDEX(LCIA_Data,MATCH($AO$15&amp;CM$27,LCIA_Rows_B&amp;LCIA_Rows_C,0),MATCH(CM$26,LCIA_Columns,0)),0)*$AT57*$AJ57*$BN$23</f>
        <v>0</v>
      </c>
      <c r="CN57" s="1">
        <f t="array" ref="CN57">IFERROR(INDEX(LCIA_Data,MATCH($AO$15&amp;CN$27,LCIA_Rows_B&amp;LCIA_Rows_C,0),MATCH(CN$26,LCIA_Columns,0)),0)*$AT57*$AJ57*$BN$23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IFERROR(INDEX(LCIA_Data,MATCH($AO$15&amp;DA$27,LCIA_Rows_B&amp;LCIA_Rows_C,0),MATCH(DA$26,LCIA_Columns,0)),0)*$AT57*$AK57*$BN$23</f>
        <v>0</v>
      </c>
      <c r="DB57" s="1">
        <f t="array" ref="DB57">IFERROR(INDEX(LCIA_Data,MATCH($AO$15&amp;DB$27,LCIA_Rows_B&amp;LCIA_Rows_C,0),MATCH(DB$26,LCIA_Columns,0)),0)*$AT57*$AK57*$BN$23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f t="shared" si="20"/>
        <v>0</v>
      </c>
      <c r="DP57">
        <f t="shared" si="21"/>
        <v>0</v>
      </c>
      <c r="DQ57">
        <f t="shared" si="22"/>
        <v>0</v>
      </c>
      <c r="DR57">
        <f t="shared" si="23"/>
        <v>0</v>
      </c>
      <c r="DS57">
        <f t="shared" si="24"/>
        <v>0</v>
      </c>
      <c r="DT57">
        <f t="shared" si="25"/>
        <v>0</v>
      </c>
      <c r="DU57">
        <f t="shared" si="26"/>
        <v>0</v>
      </c>
      <c r="DV57">
        <f t="shared" si="27"/>
        <v>0</v>
      </c>
      <c r="DW57">
        <f t="shared" si="28"/>
        <v>0</v>
      </c>
      <c r="DX57">
        <f t="shared" si="29"/>
        <v>0</v>
      </c>
      <c r="DY57">
        <f t="shared" si="30"/>
        <v>0</v>
      </c>
      <c r="DZ57">
        <f t="shared" si="51"/>
        <v>0</v>
      </c>
      <c r="EA57">
        <f t="shared" si="51"/>
        <v>0</v>
      </c>
      <c r="EB57">
        <f t="shared" si="32"/>
        <v>0</v>
      </c>
      <c r="EC57"/>
      <c r="ED57"/>
      <c r="EE57"/>
      <c r="EF57"/>
      <c r="EG57"/>
    </row>
    <row r="58" spans="2:137" ht="15" customHeight="1">
      <c r="B58" s="53">
        <f t="shared" si="47"/>
        <v>0</v>
      </c>
      <c r="C58" s="233">
        <f t="shared" si="33"/>
        <v>29</v>
      </c>
      <c r="D58" s="244" t="str">
        <f>'Plant Inputs'!$D58</f>
        <v>Fibre Reinforced Polymer (FRP) wrap</v>
      </c>
      <c r="E58" s="101"/>
      <c r="F58" s="235" t="str">
        <f t="shared" si="53"/>
        <v>short ton</v>
      </c>
      <c r="G58" s="236">
        <f t="shared" si="48"/>
        <v>0</v>
      </c>
      <c r="H58" s="237" t="str">
        <f t="shared" si="7"/>
        <v>short ton</v>
      </c>
      <c r="I58" s="400">
        <f t="shared" si="8"/>
        <v>0</v>
      </c>
      <c r="J58"/>
      <c r="K58"/>
      <c r="L58"/>
      <c r="M58"/>
      <c r="N58"/>
      <c r="O58"/>
      <c r="P58"/>
      <c r="Q58"/>
      <c r="R58"/>
      <c r="S58"/>
      <c r="T58"/>
      <c r="X58" s="67">
        <f t="shared" si="49"/>
        <v>0</v>
      </c>
      <c r="Y58" s="216">
        <f>IF(AND($X58=1,'Plant Inputs'!$Y58=1),1,0)</f>
        <v>0</v>
      </c>
      <c r="Z58" s="216"/>
      <c r="AA58" s="216">
        <f>IF($Y58=0,0,IF('Plant Inputs'!J58="",0,'Plant Inputs'!J58))</f>
        <v>0</v>
      </c>
      <c r="AB58" s="216">
        <f>IF($Y58=0,0,IF('Plant Inputs'!K58="",0,'Plant Inputs'!K58))</f>
        <v>0</v>
      </c>
      <c r="AC58" s="216">
        <f>IF($Y58=0,0,IF('Plant Inputs'!L58="",0,'Plant Inputs'!L58))</f>
        <v>0</v>
      </c>
      <c r="AD58" s="216">
        <f>IF($Y58=0,0,IF('Plant Inputs'!M58="",0,'Plant Inputs'!M58))</f>
        <v>0</v>
      </c>
      <c r="AE58" s="217" t="str">
        <f>'Plant Inputs'!$O58</f>
        <v>mile</v>
      </c>
      <c r="AF58" s="217">
        <f t="shared" si="9"/>
        <v>1.6093473468862911</v>
      </c>
      <c r="AG58" s="216" t="str">
        <f t="shared" si="34"/>
        <v>km/mile</v>
      </c>
      <c r="AH58" s="216">
        <f t="shared" si="54"/>
        <v>0</v>
      </c>
      <c r="AI58" s="216">
        <f t="shared" si="54"/>
        <v>0</v>
      </c>
      <c r="AJ58" s="216">
        <f t="shared" si="54"/>
        <v>0</v>
      </c>
      <c r="AK58" s="216">
        <f t="shared" si="54"/>
        <v>0</v>
      </c>
      <c r="AL58" s="216"/>
      <c r="AM58" s="1" t="str">
        <f t="shared" si="11"/>
        <v>Fibre Reinforced Polymer (FRP) wrap</v>
      </c>
      <c r="AN58" s="12" t="s">
        <v>127</v>
      </c>
      <c r="AO58">
        <f t="shared" ref="AO58:AO65" si="55">VLOOKUP(AM58,Material_Densities,2,FALSE)</f>
        <v>0</v>
      </c>
      <c r="AP58" s="1">
        <f t="shared" si="35"/>
        <v>0</v>
      </c>
      <c r="AQ58" s="1" t="str">
        <f t="shared" ref="AQ58:AQ65" si="56">F58</f>
        <v>short ton</v>
      </c>
      <c r="AR58" s="1">
        <f t="shared" si="14"/>
        <v>0.90718499588591606</v>
      </c>
      <c r="AS58" s="87" t="str">
        <f t="shared" ref="AS58:AS65" si="57">$AT$29&amp;"/"&amp;AQ58</f>
        <v>tonne/short ton</v>
      </c>
      <c r="AT58" s="87">
        <f t="shared" ref="AT58:AT65" si="58">AP58*AR58</f>
        <v>0</v>
      </c>
      <c r="AU58" s="87">
        <f t="shared" ref="AU58:AU65" si="59">INDEX(Conversion_Table,MATCH($AT$29,Conversion_Rows,0),MATCH($AU$29,Conversion_Columns,0))*AT58</f>
        <v>0</v>
      </c>
      <c r="AV58" s="87">
        <f t="shared" si="18"/>
        <v>0</v>
      </c>
      <c r="AW58" t="str">
        <f t="shared" ref="AW58:AW65" si="60">AM58</f>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IFERROR(INDEX(LCIA_Data,MATCH($AO$15&amp;CM$27,LCIA_Rows_B&amp;LCIA_Rows_C,0),MATCH(CM$26,LCIA_Columns,0)),0)*$AT58*$AJ58*$BN$23</f>
        <v>0</v>
      </c>
      <c r="CN58" s="1">
        <f t="array" ref="CN58">IFERROR(INDEX(LCIA_Data,MATCH($AO$15&amp;CN$27,LCIA_Rows_B&amp;LCIA_Rows_C,0),MATCH(CN$26,LCIA_Columns,0)),0)*$AT58*$AJ58*$BN$23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IFERROR(INDEX(LCIA_Data,MATCH($AO$15&amp;DA$27,LCIA_Rows_B&amp;LCIA_Rows_C,0),MATCH(DA$26,LCIA_Columns,0)),0)*$AT58*$AK58*$BN$23</f>
        <v>0</v>
      </c>
      <c r="DB58" s="1">
        <f t="array" ref="DB58">IFERROR(INDEX(LCIA_Data,MATCH($AO$15&amp;DB$27,LCIA_Rows_B&amp;LCIA_Rows_C,0),MATCH(DB$26,LCIA_Columns,0)),0)*$AT58*$AK58*$BN$23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f t="shared" si="20"/>
        <v>0</v>
      </c>
      <c r="DP58">
        <f t="shared" si="21"/>
        <v>0</v>
      </c>
      <c r="DQ58">
        <f t="shared" si="22"/>
        <v>0</v>
      </c>
      <c r="DR58">
        <f t="shared" si="23"/>
        <v>0</v>
      </c>
      <c r="DS58">
        <f t="shared" si="24"/>
        <v>0</v>
      </c>
      <c r="DT58">
        <f t="shared" si="25"/>
        <v>0</v>
      </c>
      <c r="DU58">
        <f t="shared" si="26"/>
        <v>0</v>
      </c>
      <c r="DV58">
        <f t="shared" si="27"/>
        <v>0</v>
      </c>
      <c r="DW58">
        <f t="shared" si="28"/>
        <v>0</v>
      </c>
      <c r="DX58">
        <f t="shared" si="29"/>
        <v>0</v>
      </c>
      <c r="DY58">
        <f t="shared" si="30"/>
        <v>0</v>
      </c>
      <c r="DZ58">
        <f t="shared" si="51"/>
        <v>0</v>
      </c>
      <c r="EA58">
        <f t="shared" si="51"/>
        <v>0</v>
      </c>
      <c r="EB58">
        <f t="shared" si="32"/>
        <v>0</v>
      </c>
      <c r="EC58"/>
      <c r="ED58"/>
      <c r="EE58"/>
      <c r="EF58"/>
      <c r="EG58"/>
    </row>
    <row r="59" spans="2:137" ht="15" customHeight="1">
      <c r="B59" s="53">
        <f t="shared" si="47"/>
        <v>0</v>
      </c>
      <c r="C59" s="26">
        <f t="shared" si="33"/>
        <v>30</v>
      </c>
      <c r="D59" s="46" t="str">
        <f>'Plant Inputs'!$D59</f>
        <v>Expanded Polystyrene</v>
      </c>
      <c r="E59" s="99"/>
      <c r="F59" s="106" t="s">
        <v>247</v>
      </c>
      <c r="G59" s="158">
        <f t="shared" si="48"/>
        <v>0</v>
      </c>
      <c r="H59" s="204" t="str">
        <f t="shared" si="7"/>
        <v>short ton</v>
      </c>
      <c r="I59" s="399">
        <f t="shared" si="8"/>
        <v>0</v>
      </c>
      <c r="J59"/>
      <c r="K59"/>
      <c r="L59"/>
      <c r="M59"/>
      <c r="N59"/>
      <c r="O59"/>
      <c r="P59"/>
      <c r="Q59"/>
      <c r="R59"/>
      <c r="S59"/>
      <c r="T59"/>
      <c r="X59" s="67">
        <f t="shared" si="49"/>
        <v>0</v>
      </c>
      <c r="Y59" s="216">
        <f>IF(AND($X59=1,'Plant Inputs'!$Y59=1),1,0)</f>
        <v>0</v>
      </c>
      <c r="Z59" s="216"/>
      <c r="AA59" s="216">
        <f>IF($Y59=0,0,IF('Plant Inputs'!J59="",0,'Plant Inputs'!J59))</f>
        <v>0</v>
      </c>
      <c r="AB59" s="216">
        <f>IF($Y59=0,0,IF('Plant Inputs'!K59="",0,'Plant Inputs'!K59))</f>
        <v>0</v>
      </c>
      <c r="AC59" s="216">
        <f>IF($Y59=0,0,IF('Plant Inputs'!L59="",0,'Plant Inputs'!L59))</f>
        <v>0</v>
      </c>
      <c r="AD59" s="216">
        <f>IF($Y59=0,0,IF('Plant Inputs'!M59="",0,'Plant Inputs'!M59))</f>
        <v>0</v>
      </c>
      <c r="AE59" s="217" t="str">
        <f>'Plant Inputs'!$O59</f>
        <v>mile</v>
      </c>
      <c r="AF59" s="217">
        <f t="shared" si="9"/>
        <v>1.6093473468862911</v>
      </c>
      <c r="AG59" s="216" t="str">
        <f t="shared" si="34"/>
        <v>km/mile</v>
      </c>
      <c r="AH59" s="216">
        <f t="shared" si="54"/>
        <v>0</v>
      </c>
      <c r="AI59" s="216">
        <f t="shared" si="54"/>
        <v>0</v>
      </c>
      <c r="AJ59" s="216">
        <f t="shared" si="54"/>
        <v>0</v>
      </c>
      <c r="AK59" s="216">
        <f t="shared" si="54"/>
        <v>0</v>
      </c>
      <c r="AL59" s="216"/>
      <c r="AM59" s="1" t="str">
        <f t="shared" si="11"/>
        <v>Expanded Polystyrene</v>
      </c>
      <c r="AN59" t="s">
        <v>128</v>
      </c>
      <c r="AO59">
        <f t="shared" si="55"/>
        <v>1.6E-2</v>
      </c>
      <c r="AP59" s="1">
        <f t="shared" si="35"/>
        <v>0</v>
      </c>
      <c r="AQ59" s="1" t="str">
        <f t="shared" si="56"/>
        <v>board feet</v>
      </c>
      <c r="AR59" s="1">
        <f t="shared" si="14"/>
        <v>3.7755795455999999E-5</v>
      </c>
      <c r="AS59" s="87" t="str">
        <f t="shared" si="57"/>
        <v>tonne/board feet</v>
      </c>
      <c r="AT59" s="87">
        <f t="shared" si="58"/>
        <v>0</v>
      </c>
      <c r="AU59" s="87">
        <f t="shared" si="59"/>
        <v>0</v>
      </c>
      <c r="AV59" s="87">
        <f t="shared" si="18"/>
        <v>0</v>
      </c>
      <c r="AW59" t="str">
        <f t="shared" si="60"/>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IFERROR(INDEX(LCIA_Data,MATCH($AO$15&amp;CM$27,LCIA_Rows_B&amp;LCIA_Rows_C,0),MATCH(CM$26,LCIA_Columns,0)),0)*$AT59*$AJ59*$BN$23</f>
        <v>0</v>
      </c>
      <c r="CN59" s="1">
        <f t="array" ref="CN59">IFERROR(INDEX(LCIA_Data,MATCH($AO$15&amp;CN$27,LCIA_Rows_B&amp;LCIA_Rows_C,0),MATCH(CN$26,LCIA_Columns,0)),0)*$AT59*$AJ59*$BN$23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IFERROR(INDEX(LCIA_Data,MATCH($AO$15&amp;DA$27,LCIA_Rows_B&amp;LCIA_Rows_C,0),MATCH(DA$26,LCIA_Columns,0)),0)*$AT59*$AK59*$BN$23</f>
        <v>0</v>
      </c>
      <c r="DB59" s="1">
        <f t="array" ref="DB59">IFERROR(INDEX(LCIA_Data,MATCH($AO$15&amp;DB$27,LCIA_Rows_B&amp;LCIA_Rows_C,0),MATCH(DB$26,LCIA_Columns,0)),0)*$AT59*$AK59*$BN$23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f t="shared" si="20"/>
        <v>0</v>
      </c>
      <c r="DP59">
        <f t="shared" si="21"/>
        <v>0</v>
      </c>
      <c r="DQ59">
        <f t="shared" si="22"/>
        <v>0</v>
      </c>
      <c r="DR59">
        <f t="shared" si="23"/>
        <v>0</v>
      </c>
      <c r="DS59">
        <f t="shared" si="24"/>
        <v>0</v>
      </c>
      <c r="DT59">
        <f t="shared" si="25"/>
        <v>0</v>
      </c>
      <c r="DU59">
        <f t="shared" si="26"/>
        <v>0</v>
      </c>
      <c r="DV59">
        <f t="shared" si="27"/>
        <v>0</v>
      </c>
      <c r="DW59">
        <f t="shared" si="28"/>
        <v>0</v>
      </c>
      <c r="DX59">
        <f t="shared" si="29"/>
        <v>0</v>
      </c>
      <c r="DY59">
        <f t="shared" si="30"/>
        <v>0</v>
      </c>
      <c r="DZ59">
        <f t="shared" si="51"/>
        <v>0</v>
      </c>
      <c r="EA59">
        <f t="shared" si="51"/>
        <v>0</v>
      </c>
      <c r="EB59">
        <f t="shared" si="32"/>
        <v>0</v>
      </c>
      <c r="EC59"/>
      <c r="ED59"/>
      <c r="EE59"/>
      <c r="EF59"/>
      <c r="EG59"/>
    </row>
    <row r="60" spans="2:137" ht="15" customHeight="1">
      <c r="B60" s="53">
        <f t="shared" si="47"/>
        <v>0</v>
      </c>
      <c r="C60" s="233">
        <f t="shared" si="33"/>
        <v>31</v>
      </c>
      <c r="D60" s="244" t="str">
        <f>'Plant Inputs'!$D60</f>
        <v>Extruded Polystyrene</v>
      </c>
      <c r="E60" s="101"/>
      <c r="F60" s="248" t="s">
        <v>247</v>
      </c>
      <c r="G60" s="236">
        <f t="shared" si="48"/>
        <v>0</v>
      </c>
      <c r="H60" s="237" t="str">
        <f t="shared" si="7"/>
        <v>short ton</v>
      </c>
      <c r="I60" s="400">
        <f t="shared" si="8"/>
        <v>0</v>
      </c>
      <c r="J60"/>
      <c r="K60"/>
      <c r="L60"/>
      <c r="M60"/>
      <c r="N60"/>
      <c r="O60"/>
      <c r="P60"/>
      <c r="Q60"/>
      <c r="R60"/>
      <c r="S60"/>
      <c r="T60"/>
      <c r="X60" s="67">
        <f t="shared" si="49"/>
        <v>0</v>
      </c>
      <c r="Y60" s="216">
        <f>IF(AND($X60=1,'Plant Inputs'!$Y60=1),1,0)</f>
        <v>0</v>
      </c>
      <c r="Z60" s="216"/>
      <c r="AA60" s="216">
        <f>IF($Y60=0,0,IF('Plant Inputs'!J60="",0,'Plant Inputs'!J60))</f>
        <v>0</v>
      </c>
      <c r="AB60" s="216">
        <f>IF($Y60=0,0,IF('Plant Inputs'!K60="",0,'Plant Inputs'!K60))</f>
        <v>0</v>
      </c>
      <c r="AC60" s="216">
        <f>IF($Y60=0,0,IF('Plant Inputs'!L60="",0,'Plant Inputs'!L60))</f>
        <v>0</v>
      </c>
      <c r="AD60" s="216">
        <f>IF($Y60=0,0,IF('Plant Inputs'!M60="",0,'Plant Inputs'!M60))</f>
        <v>0</v>
      </c>
      <c r="AE60" s="217" t="str">
        <f>'Plant Inputs'!$O60</f>
        <v>mile</v>
      </c>
      <c r="AF60" s="217">
        <f t="shared" si="9"/>
        <v>1.6093473468862911</v>
      </c>
      <c r="AG60" s="216" t="str">
        <f t="shared" si="34"/>
        <v>km/mile</v>
      </c>
      <c r="AH60" s="216">
        <f t="shared" si="54"/>
        <v>0</v>
      </c>
      <c r="AI60" s="216">
        <f t="shared" si="54"/>
        <v>0</v>
      </c>
      <c r="AJ60" s="216">
        <f t="shared" si="54"/>
        <v>0</v>
      </c>
      <c r="AK60" s="216">
        <f t="shared" si="54"/>
        <v>0</v>
      </c>
      <c r="AL60" s="216"/>
      <c r="AM60" s="1" t="str">
        <f t="shared" si="11"/>
        <v>Extruded Polystyrene</v>
      </c>
      <c r="AN60" t="s">
        <v>128</v>
      </c>
      <c r="AO60">
        <f t="shared" si="55"/>
        <v>3.2000000000000001E-2</v>
      </c>
      <c r="AP60" s="1">
        <f t="shared" si="35"/>
        <v>0</v>
      </c>
      <c r="AQ60" s="1" t="str">
        <f t="shared" si="56"/>
        <v>board feet</v>
      </c>
      <c r="AR60" s="1">
        <f t="shared" si="14"/>
        <v>7.5511590911999998E-5</v>
      </c>
      <c r="AS60" s="87" t="str">
        <f t="shared" si="57"/>
        <v>tonne/board feet</v>
      </c>
      <c r="AT60" s="87">
        <f t="shared" si="58"/>
        <v>0</v>
      </c>
      <c r="AU60" s="87">
        <f t="shared" si="59"/>
        <v>0</v>
      </c>
      <c r="AV60" s="87">
        <f t="shared" si="18"/>
        <v>0</v>
      </c>
      <c r="AW60" t="str">
        <f t="shared" si="60"/>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IFERROR(INDEX(LCIA_Data,MATCH($AO$15&amp;CM$27,LCIA_Rows_B&amp;LCIA_Rows_C,0),MATCH(CM$26,LCIA_Columns,0)),0)*$AT60*$AJ60*$BN$23</f>
        <v>0</v>
      </c>
      <c r="CN60" s="1">
        <f t="array" ref="CN60">IFERROR(INDEX(LCIA_Data,MATCH($AO$15&amp;CN$27,LCIA_Rows_B&amp;LCIA_Rows_C,0),MATCH(CN$26,LCIA_Columns,0)),0)*$AT60*$AJ60*$BN$23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IFERROR(INDEX(LCIA_Data,MATCH($AO$15&amp;DA$27,LCIA_Rows_B&amp;LCIA_Rows_C,0),MATCH(DA$26,LCIA_Columns,0)),0)*$AT60*$AK60*$BN$23</f>
        <v>0</v>
      </c>
      <c r="DB60" s="1">
        <f t="array" ref="DB60">IFERROR(INDEX(LCIA_Data,MATCH($AO$15&amp;DB$27,LCIA_Rows_B&amp;LCIA_Rows_C,0),MATCH(DB$26,LCIA_Columns,0)),0)*$AT60*$AK60*$BN$23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f t="shared" si="20"/>
        <v>0</v>
      </c>
      <c r="DP60">
        <f t="shared" si="21"/>
        <v>0</v>
      </c>
      <c r="DQ60">
        <f t="shared" si="22"/>
        <v>0</v>
      </c>
      <c r="DR60">
        <f t="shared" si="23"/>
        <v>0</v>
      </c>
      <c r="DS60">
        <f t="shared" si="24"/>
        <v>0</v>
      </c>
      <c r="DT60">
        <f t="shared" si="25"/>
        <v>0</v>
      </c>
      <c r="DU60">
        <f t="shared" si="26"/>
        <v>0</v>
      </c>
      <c r="DV60">
        <f t="shared" si="27"/>
        <v>0</v>
      </c>
      <c r="DW60">
        <f t="shared" si="28"/>
        <v>0</v>
      </c>
      <c r="DX60">
        <f t="shared" si="29"/>
        <v>0</v>
      </c>
      <c r="DY60">
        <f t="shared" si="30"/>
        <v>0</v>
      </c>
      <c r="DZ60">
        <f t="shared" si="51"/>
        <v>0</v>
      </c>
      <c r="EA60">
        <f t="shared" si="51"/>
        <v>0</v>
      </c>
      <c r="EB60">
        <f t="shared" si="32"/>
        <v>0</v>
      </c>
      <c r="EC60"/>
      <c r="ED60"/>
      <c r="EE60"/>
      <c r="EF60"/>
      <c r="EG60"/>
    </row>
    <row r="61" spans="2:137" ht="15" customHeight="1">
      <c r="B61" s="53">
        <f t="shared" si="47"/>
        <v>0</v>
      </c>
      <c r="C61" s="26">
        <f t="shared" si="33"/>
        <v>32</v>
      </c>
      <c r="D61" s="46" t="str">
        <f>'Plant Inputs'!$D61</f>
        <v>Brick</v>
      </c>
      <c r="E61" s="99"/>
      <c r="F61" s="119" t="str">
        <f>MassDisplayUnit</f>
        <v>short ton</v>
      </c>
      <c r="G61" s="158">
        <f t="shared" si="48"/>
        <v>0</v>
      </c>
      <c r="H61" s="204" t="str">
        <f t="shared" si="7"/>
        <v>short ton</v>
      </c>
      <c r="I61" s="399">
        <f t="shared" si="8"/>
        <v>0</v>
      </c>
      <c r="J61"/>
      <c r="K61"/>
      <c r="L61"/>
      <c r="M61"/>
      <c r="N61"/>
      <c r="O61"/>
      <c r="P61"/>
      <c r="Q61"/>
      <c r="R61"/>
      <c r="S61"/>
      <c r="T61"/>
      <c r="X61" s="67">
        <f t="shared" si="49"/>
        <v>0</v>
      </c>
      <c r="Y61" s="216">
        <f>IF(AND($X61=1,'Plant Inputs'!$Y61=1),1,0)</f>
        <v>0</v>
      </c>
      <c r="Z61" s="216"/>
      <c r="AA61" s="216">
        <f>IF($Y61=0,0,IF('Plant Inputs'!J61="",0,'Plant Inputs'!J61))</f>
        <v>0</v>
      </c>
      <c r="AB61" s="216">
        <f>IF($Y61=0,0,IF('Plant Inputs'!K61="",0,'Plant Inputs'!K61))</f>
        <v>0</v>
      </c>
      <c r="AC61" s="216">
        <f>IF($Y61=0,0,IF('Plant Inputs'!L61="",0,'Plant Inputs'!L61))</f>
        <v>0</v>
      </c>
      <c r="AD61" s="216">
        <f>IF($Y61=0,0,IF('Plant Inputs'!M61="",0,'Plant Inputs'!M61))</f>
        <v>0</v>
      </c>
      <c r="AE61" s="217" t="str">
        <f>'Plant Inputs'!$O61</f>
        <v>mile</v>
      </c>
      <c r="AF61" s="217">
        <f t="shared" si="9"/>
        <v>1.6093473468862911</v>
      </c>
      <c r="AG61" s="216" t="str">
        <f t="shared" si="34"/>
        <v>km/mile</v>
      </c>
      <c r="AH61" s="216">
        <f t="shared" si="54"/>
        <v>0</v>
      </c>
      <c r="AI61" s="216">
        <f t="shared" si="54"/>
        <v>0</v>
      </c>
      <c r="AJ61" s="216">
        <f t="shared" si="54"/>
        <v>0</v>
      </c>
      <c r="AK61" s="216">
        <f t="shared" si="54"/>
        <v>0</v>
      </c>
      <c r="AL61" s="216"/>
      <c r="AM61" s="1" t="str">
        <f t="shared" si="11"/>
        <v>Brick</v>
      </c>
      <c r="AN61" t="s">
        <v>127</v>
      </c>
      <c r="AO61">
        <f t="shared" si="55"/>
        <v>0</v>
      </c>
      <c r="AP61" s="1">
        <f t="shared" si="35"/>
        <v>0</v>
      </c>
      <c r="AQ61" s="1" t="str">
        <f t="shared" si="56"/>
        <v>short ton</v>
      </c>
      <c r="AR61" s="1">
        <f t="shared" si="14"/>
        <v>0.90718499588591606</v>
      </c>
      <c r="AS61" s="87" t="str">
        <f t="shared" si="57"/>
        <v>tonne/short ton</v>
      </c>
      <c r="AT61" s="87">
        <f t="shared" si="58"/>
        <v>0</v>
      </c>
      <c r="AU61" s="87">
        <f t="shared" si="59"/>
        <v>0</v>
      </c>
      <c r="AV61" s="87">
        <f t="shared" si="18"/>
        <v>0</v>
      </c>
      <c r="AW61" t="str">
        <f t="shared" si="60"/>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IFERROR(INDEX(LCIA_Data,MATCH($AO$15&amp;CM$27,LCIA_Rows_B&amp;LCIA_Rows_C,0),MATCH(CM$26,LCIA_Columns,0)),0)*$AT61*$AJ61*$BN$23</f>
        <v>0</v>
      </c>
      <c r="CN61" s="1">
        <f t="array" ref="CN61">IFERROR(INDEX(LCIA_Data,MATCH($AO$15&amp;CN$27,LCIA_Rows_B&amp;LCIA_Rows_C,0),MATCH(CN$26,LCIA_Columns,0)),0)*$AT61*$AJ61*$BN$23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IFERROR(INDEX(LCIA_Data,MATCH($AO$15&amp;DA$27,LCIA_Rows_B&amp;LCIA_Rows_C,0),MATCH(DA$26,LCIA_Columns,0)),0)*$AT61*$AK61*$BN$23</f>
        <v>0</v>
      </c>
      <c r="DB61" s="1">
        <f t="array" ref="DB61">IFERROR(INDEX(LCIA_Data,MATCH($AO$15&amp;DB$27,LCIA_Rows_B&amp;LCIA_Rows_C,0),MATCH(DB$26,LCIA_Columns,0)),0)*$AT61*$AK61*$BN$23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f t="shared" si="20"/>
        <v>0</v>
      </c>
      <c r="DP61">
        <f t="shared" si="21"/>
        <v>0</v>
      </c>
      <c r="DQ61">
        <f t="shared" si="22"/>
        <v>0</v>
      </c>
      <c r="DR61">
        <f t="shared" si="23"/>
        <v>0</v>
      </c>
      <c r="DS61">
        <f t="shared" si="24"/>
        <v>0</v>
      </c>
      <c r="DT61">
        <f t="shared" si="25"/>
        <v>0</v>
      </c>
      <c r="DU61">
        <f t="shared" si="26"/>
        <v>0</v>
      </c>
      <c r="DV61">
        <f t="shared" si="27"/>
        <v>0</v>
      </c>
      <c r="DW61">
        <f t="shared" si="28"/>
        <v>0</v>
      </c>
      <c r="DX61">
        <f t="shared" si="29"/>
        <v>0</v>
      </c>
      <c r="DY61">
        <f t="shared" si="30"/>
        <v>0</v>
      </c>
      <c r="DZ61">
        <f t="shared" si="51"/>
        <v>0</v>
      </c>
      <c r="EA61">
        <f t="shared" si="51"/>
        <v>0</v>
      </c>
      <c r="EB61">
        <f t="shared" si="32"/>
        <v>0</v>
      </c>
      <c r="EC61"/>
      <c r="ED61"/>
      <c r="EE61"/>
      <c r="EF61"/>
      <c r="EG61"/>
    </row>
    <row r="62" spans="2:137" ht="15" customHeight="1">
      <c r="B62" s="53">
        <f t="shared" si="47"/>
        <v>0</v>
      </c>
      <c r="C62" s="26">
        <f t="shared" si="33"/>
        <v>33</v>
      </c>
      <c r="D62" s="46" t="str">
        <f>'Plant Inputs'!$D62</f>
        <v>Natural Stone</v>
      </c>
      <c r="E62" s="99"/>
      <c r="F62" s="119" t="str">
        <f>MassDisplayUnit</f>
        <v>short ton</v>
      </c>
      <c r="G62" s="158">
        <f t="shared" si="48"/>
        <v>0</v>
      </c>
      <c r="H62" s="204" t="str">
        <f t="shared" si="7"/>
        <v>short ton</v>
      </c>
      <c r="I62" s="156">
        <f t="shared" si="8"/>
        <v>0</v>
      </c>
      <c r="J62"/>
      <c r="K62"/>
      <c r="L62"/>
      <c r="M62"/>
      <c r="N62"/>
      <c r="O62"/>
      <c r="P62"/>
      <c r="Q62"/>
      <c r="R62"/>
      <c r="S62"/>
      <c r="T62"/>
      <c r="X62" s="67">
        <f t="shared" si="49"/>
        <v>0</v>
      </c>
      <c r="Y62" s="216">
        <f>IF(AND($X62=1,'Plant Inputs'!$Y62=1),1,0)</f>
        <v>0</v>
      </c>
      <c r="Z62" s="216"/>
      <c r="AA62" s="216">
        <f>IF($Y62=0,0,IF('Plant Inputs'!J62="",0,'Plant Inputs'!J62))</f>
        <v>0</v>
      </c>
      <c r="AB62" s="216">
        <f>IF($Y62=0,0,IF('Plant Inputs'!K62="",0,'Plant Inputs'!K62))</f>
        <v>0</v>
      </c>
      <c r="AC62" s="216">
        <f>IF($Y62=0,0,IF('Plant Inputs'!L62="",0,'Plant Inputs'!L62))</f>
        <v>0</v>
      </c>
      <c r="AD62" s="216">
        <f>IF($Y62=0,0,IF('Plant Inputs'!M62="",0,'Plant Inputs'!M62))</f>
        <v>0</v>
      </c>
      <c r="AE62" s="217" t="str">
        <f>'Plant Inputs'!$O62</f>
        <v>mile</v>
      </c>
      <c r="AF62" s="217">
        <f t="shared" si="9"/>
        <v>1.6093473468862911</v>
      </c>
      <c r="AG62" s="216" t="str">
        <f t="shared" si="34"/>
        <v>km/mile</v>
      </c>
      <c r="AH62" s="216">
        <f t="shared" si="54"/>
        <v>0</v>
      </c>
      <c r="AI62" s="216">
        <f t="shared" si="54"/>
        <v>0</v>
      </c>
      <c r="AJ62" s="216">
        <f t="shared" si="54"/>
        <v>0</v>
      </c>
      <c r="AK62" s="216">
        <f t="shared" si="54"/>
        <v>0</v>
      </c>
      <c r="AL62" s="216"/>
      <c r="AM62" s="1" t="str">
        <f t="shared" si="11"/>
        <v>Natural Stone</v>
      </c>
      <c r="AN62" t="s">
        <v>127</v>
      </c>
      <c r="AO62">
        <f t="shared" si="55"/>
        <v>0</v>
      </c>
      <c r="AP62" s="1">
        <f t="shared" si="35"/>
        <v>0</v>
      </c>
      <c r="AQ62" s="1" t="str">
        <f t="shared" si="56"/>
        <v>short ton</v>
      </c>
      <c r="AR62" s="1">
        <f t="shared" si="14"/>
        <v>0.90718499588591606</v>
      </c>
      <c r="AS62" s="87" t="str">
        <f t="shared" si="57"/>
        <v>tonne/short ton</v>
      </c>
      <c r="AT62" s="87">
        <f t="shared" si="58"/>
        <v>0</v>
      </c>
      <c r="AU62" s="87">
        <f t="shared" si="59"/>
        <v>0</v>
      </c>
      <c r="AV62" s="87">
        <f t="shared" si="18"/>
        <v>0</v>
      </c>
      <c r="AW62" t="str">
        <f t="shared" si="60"/>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IFERROR(INDEX(LCIA_Data,MATCH($AO$15&amp;CM$27,LCIA_Rows_B&amp;LCIA_Rows_C,0),MATCH(CM$26,LCIA_Columns,0)),0)*$AT62*$AJ62*$BN$23</f>
        <v>0</v>
      </c>
      <c r="CN62" s="1">
        <f t="array" ref="CN62">IFERROR(INDEX(LCIA_Data,MATCH($AO$15&amp;CN$27,LCIA_Rows_B&amp;LCIA_Rows_C,0),MATCH(CN$26,LCIA_Columns,0)),0)*$AT62*$AJ62*$BN$23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IFERROR(INDEX(LCIA_Data,MATCH($AO$15&amp;DA$27,LCIA_Rows_B&amp;LCIA_Rows_C,0),MATCH(DA$26,LCIA_Columns,0)),0)*$AT62*$AK62*$BN$23</f>
        <v>0</v>
      </c>
      <c r="DB62" s="1">
        <f t="array" ref="DB62">IFERROR(INDEX(LCIA_Data,MATCH($AO$15&amp;DB$27,LCIA_Rows_B&amp;LCIA_Rows_C,0),MATCH(DB$26,LCIA_Columns,0)),0)*$AT62*$AK62*$BN$23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f t="shared" si="20"/>
        <v>0</v>
      </c>
      <c r="DP62">
        <f t="shared" si="21"/>
        <v>0</v>
      </c>
      <c r="DQ62">
        <f t="shared" si="22"/>
        <v>0</v>
      </c>
      <c r="DR62">
        <f t="shared" si="23"/>
        <v>0</v>
      </c>
      <c r="DS62">
        <f t="shared" si="24"/>
        <v>0</v>
      </c>
      <c r="DT62">
        <f t="shared" si="25"/>
        <v>0</v>
      </c>
      <c r="DU62">
        <f t="shared" si="26"/>
        <v>0</v>
      </c>
      <c r="DV62">
        <f t="shared" si="27"/>
        <v>0</v>
      </c>
      <c r="DW62">
        <f t="shared" si="28"/>
        <v>0</v>
      </c>
      <c r="DX62">
        <f t="shared" si="29"/>
        <v>0</v>
      </c>
      <c r="DY62">
        <f t="shared" si="30"/>
        <v>0</v>
      </c>
      <c r="DZ62">
        <f t="shared" ref="DZ62:EA64" si="61">BX62+CL62+CX62+DL62</f>
        <v>0</v>
      </c>
      <c r="EA62">
        <f t="shared" si="61"/>
        <v>0</v>
      </c>
      <c r="EB62">
        <f t="shared" si="32"/>
        <v>0</v>
      </c>
      <c r="EC62"/>
      <c r="ED62"/>
      <c r="EE62"/>
      <c r="EF62"/>
      <c r="EG62"/>
    </row>
    <row r="63" spans="2:137" ht="15" customHeight="1" thickBot="1">
      <c r="B63" s="53">
        <f t="shared" si="47"/>
        <v>0</v>
      </c>
      <c r="C63" s="32">
        <f t="shared" si="33"/>
        <v>34</v>
      </c>
      <c r="D63" s="47" t="str">
        <f>'Plant Inputs'!$D63</f>
        <v>Pigments</v>
      </c>
      <c r="E63" s="102"/>
      <c r="F63" s="231" t="str">
        <f>MassDisplayUnit</f>
        <v>short ton</v>
      </c>
      <c r="G63" s="228">
        <f t="shared" si="48"/>
        <v>0</v>
      </c>
      <c r="H63" s="227" t="str">
        <f t="shared" si="7"/>
        <v>short ton</v>
      </c>
      <c r="I63" s="157">
        <f t="shared" si="8"/>
        <v>0</v>
      </c>
      <c r="J63"/>
      <c r="K63"/>
      <c r="L63"/>
      <c r="M63"/>
      <c r="N63"/>
      <c r="O63"/>
      <c r="P63"/>
      <c r="Q63"/>
      <c r="R63"/>
      <c r="S63"/>
      <c r="T63"/>
      <c r="X63" s="67">
        <f t="shared" si="49"/>
        <v>0</v>
      </c>
      <c r="Y63" s="216">
        <f>IF(AND($X63=1,'Plant Inputs'!$Y63=1),1,0)</f>
        <v>0</v>
      </c>
      <c r="Z63" s="216"/>
      <c r="AA63" s="216">
        <f>IF($Y63=0,0,IF('Plant Inputs'!J63="",0,'Plant Inputs'!J63))</f>
        <v>0</v>
      </c>
      <c r="AB63" s="216">
        <f>IF($Y63=0,0,IF('Plant Inputs'!K63="",0,'Plant Inputs'!K63))</f>
        <v>0</v>
      </c>
      <c r="AC63" s="216">
        <f>IF($Y63=0,0,IF('Plant Inputs'!L63="",0,'Plant Inputs'!L63))</f>
        <v>0</v>
      </c>
      <c r="AD63" s="216">
        <f>IF($Y63=0,0,IF('Plant Inputs'!M63="",0,'Plant Inputs'!M63))</f>
        <v>0</v>
      </c>
      <c r="AE63" s="217" t="str">
        <f>'Plant Inputs'!$O63</f>
        <v>mile</v>
      </c>
      <c r="AF63" s="217">
        <f t="shared" si="9"/>
        <v>1.6093473468862911</v>
      </c>
      <c r="AG63" s="216" t="str">
        <f t="shared" si="34"/>
        <v>km/mile</v>
      </c>
      <c r="AH63" s="216">
        <f t="shared" si="54"/>
        <v>0</v>
      </c>
      <c r="AI63" s="216">
        <f t="shared" si="54"/>
        <v>0</v>
      </c>
      <c r="AJ63" s="216">
        <f t="shared" si="54"/>
        <v>0</v>
      </c>
      <c r="AK63" s="216">
        <f t="shared" si="54"/>
        <v>0</v>
      </c>
      <c r="AL63" s="216"/>
      <c r="AM63" s="1" t="str">
        <f t="shared" si="11"/>
        <v>Pigments</v>
      </c>
      <c r="AN63" t="s">
        <v>127</v>
      </c>
      <c r="AO63">
        <f t="shared" si="55"/>
        <v>0</v>
      </c>
      <c r="AP63" s="1">
        <f t="shared" si="35"/>
        <v>0</v>
      </c>
      <c r="AQ63" s="1" t="str">
        <f t="shared" si="56"/>
        <v>short ton</v>
      </c>
      <c r="AR63" s="1">
        <f t="shared" si="14"/>
        <v>0.90718499588591606</v>
      </c>
      <c r="AS63" s="87" t="str">
        <f t="shared" si="57"/>
        <v>tonne/short ton</v>
      </c>
      <c r="AT63" s="87">
        <f t="shared" si="58"/>
        <v>0</v>
      </c>
      <c r="AU63" s="87">
        <f t="shared" si="59"/>
        <v>0</v>
      </c>
      <c r="AV63" s="87">
        <f t="shared" si="18"/>
        <v>0</v>
      </c>
      <c r="AW63" t="str">
        <f t="shared" si="60"/>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IFERROR(INDEX(LCIA_Data,MATCH($AO$15&amp;CM$27,LCIA_Rows_B&amp;LCIA_Rows_C,0),MATCH(CM$26,LCIA_Columns,0)),0)*$AT63*$AJ63*$BN$23</f>
        <v>0</v>
      </c>
      <c r="CN63" s="1">
        <f t="array" ref="CN63">IFERROR(INDEX(LCIA_Data,MATCH($AO$15&amp;CN$27,LCIA_Rows_B&amp;LCIA_Rows_C,0),MATCH(CN$26,LCIA_Columns,0)),0)*$AT63*$AJ63*$BN$23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IFERROR(INDEX(LCIA_Data,MATCH($AO$15&amp;DA$27,LCIA_Rows_B&amp;LCIA_Rows_C,0),MATCH(DA$26,LCIA_Columns,0)),0)*$AT63*$AK63*$BN$23</f>
        <v>0</v>
      </c>
      <c r="DB63" s="1">
        <f t="array" ref="DB63">IFERROR(INDEX(LCIA_Data,MATCH($AO$15&amp;DB$27,LCIA_Rows_B&amp;LCIA_Rows_C,0),MATCH(DB$26,LCIA_Columns,0)),0)*$AT63*$AK63*$BN$23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f t="shared" si="20"/>
        <v>0</v>
      </c>
      <c r="DP63">
        <f t="shared" si="21"/>
        <v>0</v>
      </c>
      <c r="DQ63">
        <f t="shared" si="22"/>
        <v>0</v>
      </c>
      <c r="DR63">
        <f t="shared" si="23"/>
        <v>0</v>
      </c>
      <c r="DS63">
        <f t="shared" si="24"/>
        <v>0</v>
      </c>
      <c r="DT63">
        <f t="shared" si="25"/>
        <v>0</v>
      </c>
      <c r="DU63">
        <f t="shared" si="26"/>
        <v>0</v>
      </c>
      <c r="DV63">
        <f t="shared" si="27"/>
        <v>0</v>
      </c>
      <c r="DW63">
        <f t="shared" si="28"/>
        <v>0</v>
      </c>
      <c r="DX63">
        <f t="shared" si="29"/>
        <v>0</v>
      </c>
      <c r="DY63">
        <f t="shared" si="30"/>
        <v>0</v>
      </c>
      <c r="DZ63">
        <f t="shared" si="61"/>
        <v>0</v>
      </c>
      <c r="EA63">
        <f t="shared" si="61"/>
        <v>0</v>
      </c>
      <c r="EB63">
        <f t="shared" si="32"/>
        <v>0</v>
      </c>
      <c r="EC63"/>
      <c r="ED63"/>
      <c r="EE63"/>
      <c r="EF63"/>
      <c r="EG63"/>
    </row>
    <row r="64" spans="2:137" ht="15" customHeight="1" thickBot="1">
      <c r="B64" s="53">
        <f t="shared" si="47"/>
        <v>0</v>
      </c>
      <c r="C64" s="345">
        <f t="shared" si="33"/>
        <v>35</v>
      </c>
      <c r="D64" s="346" t="str">
        <f>'Plant Inputs'!$D64</f>
        <v>Net Consumables</v>
      </c>
      <c r="E64" s="347"/>
      <c r="F64" s="348" t="str">
        <f>VolumeDisplayUnit</f>
        <v>gallon</v>
      </c>
      <c r="G64" s="349">
        <f t="shared" si="48"/>
        <v>0</v>
      </c>
      <c r="H64" s="350" t="str">
        <f t="shared" si="7"/>
        <v>short ton</v>
      </c>
      <c r="I64" s="401">
        <f t="shared" si="8"/>
        <v>0</v>
      </c>
      <c r="J64"/>
      <c r="K64"/>
      <c r="L64"/>
      <c r="M64"/>
      <c r="N64"/>
      <c r="O64"/>
      <c r="P64"/>
      <c r="Q64"/>
      <c r="R64"/>
      <c r="S64"/>
      <c r="T64"/>
      <c r="X64" s="67">
        <f t="shared" si="49"/>
        <v>0</v>
      </c>
      <c r="Y64" s="216">
        <f>IF(AND($X64=1,'Plant Inputs'!$Y64=1),1,0)</f>
        <v>0</v>
      </c>
      <c r="Z64" s="216"/>
      <c r="AA64" s="216">
        <f>IF($Y64=0,0,IF('Plant Inputs'!J64="",0,'Plant Inputs'!J64))</f>
        <v>0</v>
      </c>
      <c r="AB64" s="216">
        <f>IF($Y64=0,0,IF('Plant Inputs'!K64="",0,'Plant Inputs'!K64))</f>
        <v>0</v>
      </c>
      <c r="AC64" s="216">
        <f>IF($Y64=0,0,IF('Plant Inputs'!L64="",0,'Plant Inputs'!L64))</f>
        <v>0</v>
      </c>
      <c r="AD64" s="216">
        <f>IF($Y64=0,0,IF('Plant Inputs'!M64="",0,'Plant Inputs'!M64))</f>
        <v>0</v>
      </c>
      <c r="AE64" s="217" t="str">
        <f>'Plant Inputs'!$O64</f>
        <v>mile</v>
      </c>
      <c r="AF64" s="217">
        <f t="shared" si="9"/>
        <v>1.6093473468862911</v>
      </c>
      <c r="AG64" s="216" t="str">
        <f t="shared" si="34"/>
        <v>km/mile</v>
      </c>
      <c r="AH64" s="216">
        <f t="shared" si="54"/>
        <v>0</v>
      </c>
      <c r="AI64" s="216">
        <f t="shared" si="54"/>
        <v>0</v>
      </c>
      <c r="AJ64" s="216">
        <f t="shared" si="54"/>
        <v>0</v>
      </c>
      <c r="AK64" s="216">
        <f t="shared" si="54"/>
        <v>0</v>
      </c>
      <c r="AL64" s="216"/>
      <c r="AM64" s="1" t="str">
        <f t="shared" si="11"/>
        <v>Net Consumables</v>
      </c>
      <c r="AN64" t="s">
        <v>128</v>
      </c>
      <c r="AO64">
        <f t="shared" si="55"/>
        <v>0.9</v>
      </c>
      <c r="AP64" s="1">
        <f t="shared" si="35"/>
        <v>0</v>
      </c>
      <c r="AQ64" s="1" t="str">
        <f t="shared" si="56"/>
        <v>gallon</v>
      </c>
      <c r="AR64" s="1">
        <f t="shared" si="14"/>
        <v>3.4068708000000005E-3</v>
      </c>
      <c r="AS64" s="87" t="str">
        <f t="shared" si="57"/>
        <v>tonne/gallon</v>
      </c>
      <c r="AT64" s="87">
        <f t="shared" si="58"/>
        <v>0</v>
      </c>
      <c r="AU64" s="87">
        <f t="shared" si="59"/>
        <v>0</v>
      </c>
      <c r="AV64" s="87">
        <f t="shared" si="18"/>
        <v>0</v>
      </c>
      <c r="AW64" t="str">
        <f t="shared" si="60"/>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IFERROR(INDEX(LCIA_Data,MATCH($AO$15&amp;CM$27,LCIA_Rows_B&amp;LCIA_Rows_C,0),MATCH(CM$26,LCIA_Columns,0)),0)*$AT64*$AJ64*$BN$23</f>
        <v>0</v>
      </c>
      <c r="CN64" s="1">
        <f t="array" ref="CN64">IFERROR(INDEX(LCIA_Data,MATCH($AO$15&amp;CN$27,LCIA_Rows_B&amp;LCIA_Rows_C,0),MATCH(CN$26,LCIA_Columns,0)),0)*$AT64*$AJ64*$BN$23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IFERROR(INDEX(LCIA_Data,MATCH($AO$15&amp;DA$27,LCIA_Rows_B&amp;LCIA_Rows_C,0),MATCH(DA$26,LCIA_Columns,0)),0)*$AT64*$AK64*$BN$23</f>
        <v>0</v>
      </c>
      <c r="DB64" s="1">
        <f t="array" ref="DB64">IFERROR(INDEX(LCIA_Data,MATCH($AO$15&amp;DB$27,LCIA_Rows_B&amp;LCIA_Rows_C,0),MATCH(DB$26,LCIA_Columns,0)),0)*$AT64*$AK64*$BN$23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f t="shared" si="20"/>
        <v>0</v>
      </c>
      <c r="DP64">
        <f t="shared" si="21"/>
        <v>0</v>
      </c>
      <c r="DQ64">
        <f t="shared" si="22"/>
        <v>0</v>
      </c>
      <c r="DR64">
        <f t="shared" si="23"/>
        <v>0</v>
      </c>
      <c r="DS64">
        <f t="shared" si="24"/>
        <v>0</v>
      </c>
      <c r="DT64">
        <f t="shared" si="25"/>
        <v>0</v>
      </c>
      <c r="DU64">
        <f t="shared" si="26"/>
        <v>0</v>
      </c>
      <c r="DV64">
        <f t="shared" si="27"/>
        <v>0</v>
      </c>
      <c r="DW64">
        <f t="shared" si="28"/>
        <v>0</v>
      </c>
      <c r="DX64">
        <f t="shared" si="29"/>
        <v>0</v>
      </c>
      <c r="DY64">
        <f t="shared" si="30"/>
        <v>0</v>
      </c>
      <c r="DZ64">
        <f t="shared" si="61"/>
        <v>0</v>
      </c>
      <c r="EA64">
        <f t="shared" si="61"/>
        <v>0</v>
      </c>
      <c r="EB64">
        <f t="shared" si="32"/>
        <v>0</v>
      </c>
      <c r="EC64"/>
      <c r="ED64"/>
      <c r="EE64"/>
      <c r="EF64"/>
      <c r="EG64"/>
    </row>
    <row r="65" spans="2:137" ht="15" customHeight="1" thickBot="1">
      <c r="B65" s="53">
        <f>X65</f>
        <v>0</v>
      </c>
      <c r="C65" s="221">
        <f t="shared" si="33"/>
        <v>36</v>
      </c>
      <c r="D65" s="222" t="str">
        <f>'Plant Inputs'!$D65</f>
        <v>Total Batch Water Use</v>
      </c>
      <c r="E65" s="343"/>
      <c r="F65" s="240" t="str">
        <f>WaterTotalDisplayUnit</f>
        <v>kgal</v>
      </c>
      <c r="G65" s="224">
        <f t="shared" si="48"/>
        <v>0</v>
      </c>
      <c r="H65" s="225" t="str">
        <f t="shared" si="7"/>
        <v>short ton</v>
      </c>
      <c r="I65" s="344">
        <f t="shared" si="8"/>
        <v>0</v>
      </c>
      <c r="J65"/>
      <c r="K65"/>
      <c r="L65"/>
      <c r="M65" s="50"/>
      <c r="N65" s="50"/>
      <c r="O65" s="50"/>
      <c r="P65" s="50"/>
      <c r="Q65" s="50"/>
      <c r="R65" s="50"/>
      <c r="S65" s="50"/>
      <c r="T65"/>
      <c r="X65" s="67">
        <f t="shared" si="49"/>
        <v>0</v>
      </c>
      <c r="Y65" s="216">
        <f>IF(AND($X65=1,'Plant Inputs'!$Y65=1),1,0)</f>
        <v>0</v>
      </c>
      <c r="Z65" s="216"/>
      <c r="AA65" s="216"/>
      <c r="AB65" s="216"/>
      <c r="AC65" s="216"/>
      <c r="AD65" s="216"/>
      <c r="AE65" s="217"/>
      <c r="AF65" s="217"/>
      <c r="AG65" s="216"/>
      <c r="AH65" s="216"/>
      <c r="AI65" s="216"/>
      <c r="AJ65" s="216"/>
      <c r="AK65" s="216"/>
      <c r="AL65" s="216"/>
      <c r="AM65" s="1" t="str">
        <f>D65</f>
        <v>Total Batch Water Use</v>
      </c>
      <c r="AN65" t="s">
        <v>128</v>
      </c>
      <c r="AO65">
        <f t="shared" si="55"/>
        <v>1</v>
      </c>
      <c r="AP65" s="1">
        <f t="shared" si="35"/>
        <v>0</v>
      </c>
      <c r="AQ65" s="1" t="str">
        <f t="shared" si="56"/>
        <v>kgal</v>
      </c>
      <c r="AR65" s="1">
        <f t="shared" si="14"/>
        <v>3.7854120000000004</v>
      </c>
      <c r="AS65" s="87" t="str">
        <f t="shared" si="57"/>
        <v>tonne/kgal</v>
      </c>
      <c r="AT65" s="87">
        <f t="shared" si="58"/>
        <v>0</v>
      </c>
      <c r="AU65" s="87">
        <f t="shared" si="59"/>
        <v>0</v>
      </c>
      <c r="AV65" s="87">
        <f t="shared" si="18"/>
        <v>0</v>
      </c>
      <c r="AW65" t="str">
        <f t="shared" si="60"/>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R65" s="1"/>
      <c r="BS65" s="1"/>
      <c r="BT65" s="1"/>
      <c r="BU65" s="1"/>
      <c r="BV65" s="1"/>
      <c r="BW65" s="1"/>
      <c r="BX65" s="1"/>
      <c r="BY65" s="1"/>
      <c r="BZ65" s="1"/>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row>
    <row r="66" spans="2:137" ht="15" customHeight="1">
      <c r="B66" s="53">
        <f>X66</f>
        <v>0</v>
      </c>
      <c r="C66" s="26">
        <f t="shared" si="33"/>
        <v>37</v>
      </c>
      <c r="D66" s="46" t="str">
        <f>'Plant Inputs'!$D66</f>
        <v>Total Plant Water Use</v>
      </c>
      <c r="E66" s="422">
        <f>'Plant Inputs'!$AY$12*$AR$18*INDEX(Conversion_Table,MATCH(WaterCalcUnit,Conversion_Rows,0),MATCH($F$66,Conversion_Columns,0))</f>
        <v>0</v>
      </c>
      <c r="F66" s="204" t="str">
        <f>'Plant Inputs'!F66</f>
        <v>kgal</v>
      </c>
      <c r="G66" s="158">
        <f t="shared" si="48"/>
        <v>0</v>
      </c>
      <c r="H66" s="213" t="str">
        <f t="shared" si="7"/>
        <v>short ton</v>
      </c>
      <c r="I66" s="219"/>
      <c r="J66"/>
      <c r="K66"/>
      <c r="L66"/>
      <c r="M66" s="50"/>
      <c r="N66" s="50"/>
      <c r="O66" s="50"/>
      <c r="P66" s="50"/>
      <c r="Q66" s="50"/>
      <c r="R66" s="50"/>
      <c r="S66" s="50"/>
      <c r="T66" s="51"/>
      <c r="X66" s="67">
        <f>'Plant Inputs'!X66</f>
        <v>0</v>
      </c>
      <c r="Y66" s="216">
        <f>IF(AND($X66=1,'Plant Inputs'!$Y66=1),1,0)</f>
        <v>0</v>
      </c>
      <c r="Z66" s="216"/>
      <c r="AA66" s="216"/>
      <c r="AB66" s="216"/>
      <c r="AC66" s="216"/>
      <c r="AD66" s="216"/>
      <c r="AE66" s="217"/>
      <c r="AF66" s="217"/>
      <c r="AG66" s="216"/>
      <c r="AH66" s="216"/>
      <c r="AI66" s="216"/>
      <c r="AJ66" s="216"/>
      <c r="AK66" s="216"/>
      <c r="AL66" s="216"/>
      <c r="AM66" s="1" t="str">
        <f>D66</f>
        <v>Total Plant Water Use</v>
      </c>
      <c r="AN66" t="s">
        <v>128</v>
      </c>
      <c r="AO66">
        <f>VLOOKUP(AM66,Material_Densities,2,FALSE)</f>
        <v>1</v>
      </c>
      <c r="AP66" s="1">
        <f t="shared" si="35"/>
        <v>0</v>
      </c>
      <c r="AQ66" s="1" t="str">
        <f>F66</f>
        <v>kgal</v>
      </c>
      <c r="AR66" s="1">
        <f t="shared" si="14"/>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 t="array" ref="AX66">IFERROR(INDEX(LCIA_Data,MATCH($AO$15&amp;AX$27,LCIA_Rows_B&amp;LCIA_Rows_C,0),MATCH($D66,LCIA_Columns,0)),0)*$AU66</f>
        <v>0</v>
      </c>
      <c r="AY66" s="148">
        <f t="array" ref="AY66">IFERROR(INDEX(LCIA_Data,MATCH($AO$15&amp;AY$27,LCIA_Rows_B&amp;LCIA_Rows_C,0),MATCH($D66,LCIA_Columns,0)),0)*$AU66</f>
        <v>0</v>
      </c>
      <c r="AZ66" s="148">
        <f t="array" ref="AZ66">IFERROR(INDEX(LCIA_Data,MATCH($AO$15&amp;AZ$27,LCIA_Rows_B&amp;LCIA_Rows_C,0),MATCH($D66,LCIA_Columns,0)),0)*$AU66</f>
        <v>0</v>
      </c>
      <c r="BA66" s="148">
        <f t="array" ref="BA66">IFERROR(INDEX(LCIA_Data,MATCH($AO$15&amp;BA$27,LCIA_Rows_B&amp;LCIA_Rows_C,0),MATCH($D66,LCIA_Columns,0)),0)*$AU66</f>
        <v>0</v>
      </c>
      <c r="BB66" s="148">
        <f t="array" ref="BB66">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R66" s="1"/>
      <c r="BS66" s="1"/>
      <c r="BT66" s="1"/>
      <c r="BU66" s="1"/>
      <c r="BV66" s="1"/>
      <c r="BW66" s="1"/>
      <c r="BX66" s="1"/>
      <c r="BY66" s="1"/>
      <c r="BZ66" s="1"/>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row>
    <row r="67" spans="2:137" ht="15" customHeight="1" thickBot="1">
      <c r="B67" s="53">
        <f>X67</f>
        <v>0</v>
      </c>
      <c r="C67" s="32">
        <f t="shared" si="33"/>
        <v>38</v>
      </c>
      <c r="D67" s="47" t="str">
        <f>'Plant Inputs'!$D67</f>
        <v>Percentage of Batch Water that is Recycled Water</v>
      </c>
      <c r="E67" s="423">
        <f>'Plant Inputs'!E67</f>
        <v>0</v>
      </c>
      <c r="F67" s="204" t="s">
        <v>153</v>
      </c>
      <c r="G67" s="158"/>
      <c r="H67" s="213"/>
      <c r="I67" s="218"/>
      <c r="J67"/>
      <c r="K67"/>
      <c r="L67"/>
      <c r="M67" s="50"/>
      <c r="N67" s="50"/>
      <c r="O67" s="50"/>
      <c r="P67" s="50"/>
      <c r="Q67" s="50"/>
      <c r="R67" s="50"/>
      <c r="S67" s="50"/>
      <c r="T67" s="51"/>
      <c r="X67" s="67">
        <f>'Plant Inputs'!X67</f>
        <v>0</v>
      </c>
      <c r="Y67" s="216">
        <f>IF(AND($X67=1,'Plant Inputs'!$Y67=1),1,0)</f>
        <v>0</v>
      </c>
      <c r="Z67" s="216"/>
      <c r="AA67" s="216"/>
      <c r="AB67" s="216"/>
      <c r="AC67" s="216"/>
      <c r="AD67" s="216"/>
      <c r="AE67" s="217"/>
      <c r="AF67" s="217"/>
      <c r="AG67" s="216"/>
      <c r="AH67" s="216"/>
      <c r="AI67" s="216"/>
      <c r="AJ67" s="216"/>
      <c r="AK67" s="216"/>
      <c r="AL67" s="216"/>
      <c r="AM67" s="89" t="str">
        <f>D67</f>
        <v>Percentage of Batch Water that is Recycled Water</v>
      </c>
      <c r="AN67" s="90" t="s">
        <v>128</v>
      </c>
      <c r="AO67" s="90">
        <f>VLOOKUP(AM67,Material_Densities,2,FALSE)</f>
        <v>0</v>
      </c>
      <c r="AP67" s="89">
        <f t="shared" si="35"/>
        <v>0</v>
      </c>
      <c r="AQ67" s="89" t="str">
        <f>F67</f>
        <v>%</v>
      </c>
      <c r="AR67" s="89">
        <f>IFERROR(IF($AN67="M",INDEX(Conversion_Table,MATCH($AQ67,Conversion_Rows,0),MATCH($AT$29,Conversion_Columns,0)),IF($AN67="V",INDEX(Conversion_Table,MATCH($AQ67,Conversion_Rows,0),MATCH("m3",Conversion_Columns,0))*$AO67)),0)</f>
        <v>0</v>
      </c>
      <c r="AS67" s="91" t="str">
        <f>$AT$29&amp;"/"&amp;AQ67</f>
        <v>tonne/%</v>
      </c>
      <c r="AT67" s="91">
        <f>AP67*AR67</f>
        <v>0</v>
      </c>
      <c r="AU67" s="91">
        <f>INDEX(Conversion_Table,MATCH($AT$29,Conversion_Rows,0),MATCH($AU$29,Conversion_Columns,0))*AT67</f>
        <v>0</v>
      </c>
      <c r="AV67" s="91"/>
      <c r="AW67" s="90" t="str">
        <f>AM67</f>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R67" s="1"/>
      <c r="BS67" s="1"/>
      <c r="BT67" s="1"/>
      <c r="BU67" s="1"/>
      <c r="BV67" s="1"/>
      <c r="BW67" s="1"/>
      <c r="BX67" s="1"/>
      <c r="BY67" s="1"/>
      <c r="BZ67" s="1"/>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row>
    <row r="68" spans="2:137" ht="15" customHeight="1" thickBot="1">
      <c r="F68" s="92" t="s">
        <v>209</v>
      </c>
      <c r="G68" s="159">
        <f>SUM(G30:G65)-G64-G48</f>
        <v>0</v>
      </c>
      <c r="H68" s="214" t="str">
        <f>MassDisplayUnit</f>
        <v>short ton</v>
      </c>
      <c r="J68"/>
      <c r="K68"/>
      <c r="L68"/>
      <c r="M68" s="38"/>
      <c r="N68" s="38"/>
      <c r="O68" s="38"/>
      <c r="P68" s="38"/>
      <c r="Q68" s="38"/>
      <c r="R68" s="38"/>
      <c r="S68" s="38"/>
      <c r="T68" s="71"/>
      <c r="AN68" s="1"/>
      <c r="AO68" s="1"/>
      <c r="AP68" s="1"/>
      <c r="AS68" t="s">
        <v>486</v>
      </c>
      <c r="AT68" s="87">
        <f>SUM(AT30:AT65)</f>
        <v>0</v>
      </c>
      <c r="AU68" s="87">
        <f>SUM(AU30:AU65)</f>
        <v>0</v>
      </c>
      <c r="AV68" s="87"/>
      <c r="AX68" s="146">
        <f>SUM(AX30:AX64)+AX66</f>
        <v>0</v>
      </c>
      <c r="AY68" s="146">
        <f t="shared" ref="AY68:BC68" si="62">SUM(AY30:AY64)+AY66</f>
        <v>0</v>
      </c>
      <c r="AZ68" s="146">
        <f t="shared" si="62"/>
        <v>0</v>
      </c>
      <c r="BA68" s="146">
        <f t="shared" si="62"/>
        <v>0</v>
      </c>
      <c r="BB68" s="146">
        <f t="shared" si="62"/>
        <v>0</v>
      </c>
      <c r="BC68" s="146">
        <f t="shared" si="62"/>
        <v>0</v>
      </c>
      <c r="BD68" s="146">
        <f>SUM(BD30:BD64)+BD66</f>
        <v>0</v>
      </c>
      <c r="BE68" s="146">
        <f t="shared" ref="BE68:BH68" si="63">SUM(BE30:BE64)+BE66</f>
        <v>0</v>
      </c>
      <c r="BF68" s="146">
        <f t="shared" si="63"/>
        <v>0</v>
      </c>
      <c r="BG68" s="146">
        <f t="shared" si="63"/>
        <v>0</v>
      </c>
      <c r="BH68" s="146">
        <f t="shared" si="63"/>
        <v>0</v>
      </c>
      <c r="BI68" s="146">
        <f t="shared" ref="BI68:BK68" si="64">SUM(BI30:BI64)+BI66</f>
        <v>0</v>
      </c>
      <c r="BJ68" s="146">
        <f t="shared" si="64"/>
        <v>0</v>
      </c>
      <c r="BK68" s="146">
        <f t="shared" si="64"/>
        <v>0</v>
      </c>
      <c r="BM68">
        <f>SUM(BM30:BM64)</f>
        <v>0</v>
      </c>
      <c r="BN68">
        <f t="shared" ref="BN68:BS68" si="65">SUM(BN30:BN64)</f>
        <v>0</v>
      </c>
      <c r="BO68">
        <f t="shared" si="65"/>
        <v>0</v>
      </c>
      <c r="BP68">
        <f t="shared" si="65"/>
        <v>0</v>
      </c>
      <c r="BQ68">
        <f t="shared" si="65"/>
        <v>0</v>
      </c>
      <c r="BR68">
        <f t="shared" si="65"/>
        <v>0</v>
      </c>
      <c r="BS68">
        <f t="shared" si="65"/>
        <v>0</v>
      </c>
      <c r="BT68">
        <f t="shared" ref="BT68:BZ68" si="66">SUM(BT30:BT64)</f>
        <v>0</v>
      </c>
      <c r="BU68">
        <f t="shared" si="66"/>
        <v>0</v>
      </c>
      <c r="BV68">
        <f t="shared" si="66"/>
        <v>0</v>
      </c>
      <c r="BW68">
        <f t="shared" si="66"/>
        <v>0</v>
      </c>
      <c r="BX68">
        <f t="shared" ref="BX68:BY68" si="67">SUM(BX30:BX64)</f>
        <v>0</v>
      </c>
      <c r="BY68">
        <f t="shared" si="67"/>
        <v>0</v>
      </c>
      <c r="BZ68">
        <f t="shared" si="66"/>
        <v>0</v>
      </c>
      <c r="CA68">
        <f>SUM(CA30:CA64)</f>
        <v>0</v>
      </c>
      <c r="CB68">
        <f t="shared" ref="CB68:CF68" si="68">SUM(CB30:CB64)</f>
        <v>0</v>
      </c>
      <c r="CC68">
        <f t="shared" si="68"/>
        <v>0</v>
      </c>
      <c r="CD68">
        <f t="shared" si="68"/>
        <v>0</v>
      </c>
      <c r="CE68">
        <f t="shared" si="68"/>
        <v>0</v>
      </c>
      <c r="CF68">
        <f t="shared" si="68"/>
        <v>0</v>
      </c>
      <c r="CG68">
        <f t="shared" ref="CG68:CL68" si="69">SUM(CG30:CG64)</f>
        <v>0</v>
      </c>
      <c r="CH68">
        <f t="shared" si="69"/>
        <v>0</v>
      </c>
      <c r="CI68">
        <f t="shared" si="69"/>
        <v>0</v>
      </c>
      <c r="CJ68">
        <f t="shared" si="69"/>
        <v>0</v>
      </c>
      <c r="CK68">
        <f t="shared" si="69"/>
        <v>0</v>
      </c>
      <c r="CL68">
        <f t="shared" si="69"/>
        <v>0</v>
      </c>
      <c r="CM68">
        <f>SUM(CM30:CM64)</f>
        <v>0</v>
      </c>
      <c r="CN68">
        <f t="shared" ref="CN68:CS68" si="70">SUM(CN30:CN64)</f>
        <v>0</v>
      </c>
      <c r="CO68">
        <f t="shared" si="70"/>
        <v>0</v>
      </c>
      <c r="CP68">
        <f t="shared" si="70"/>
        <v>0</v>
      </c>
      <c r="CQ68">
        <f t="shared" si="70"/>
        <v>0</v>
      </c>
      <c r="CR68">
        <f t="shared" si="70"/>
        <v>0</v>
      </c>
      <c r="CS68">
        <f t="shared" si="70"/>
        <v>0</v>
      </c>
      <c r="CT68">
        <f t="shared" ref="CT68:CZ68" si="71">SUM(CT30:CT64)</f>
        <v>0</v>
      </c>
      <c r="CU68">
        <f t="shared" si="71"/>
        <v>0</v>
      </c>
      <c r="CV68">
        <f t="shared" si="71"/>
        <v>0</v>
      </c>
      <c r="CW68">
        <f t="shared" si="71"/>
        <v>0</v>
      </c>
      <c r="CX68">
        <f t="shared" ref="CX68:CY68" si="72">SUM(CX30:CX64)</f>
        <v>0</v>
      </c>
      <c r="CY68">
        <f t="shared" si="72"/>
        <v>0</v>
      </c>
      <c r="CZ68">
        <f t="shared" si="71"/>
        <v>0</v>
      </c>
      <c r="DA68">
        <f>SUM(DA30:DA64)</f>
        <v>0</v>
      </c>
      <c r="DB68">
        <f t="shared" ref="DB68:DG68" si="73">SUM(DB30:DB64)</f>
        <v>0</v>
      </c>
      <c r="DC68">
        <f t="shared" si="73"/>
        <v>0</v>
      </c>
      <c r="DD68">
        <f t="shared" si="73"/>
        <v>0</v>
      </c>
      <c r="DE68">
        <f t="shared" si="73"/>
        <v>0</v>
      </c>
      <c r="DF68">
        <f t="shared" si="73"/>
        <v>0</v>
      </c>
      <c r="DG68">
        <f t="shared" si="73"/>
        <v>0</v>
      </c>
      <c r="DH68">
        <f t="shared" ref="DH68:DN68" si="74">SUM(DH30:DH64)</f>
        <v>0</v>
      </c>
      <c r="DI68">
        <f t="shared" si="74"/>
        <v>0</v>
      </c>
      <c r="DJ68">
        <f t="shared" si="74"/>
        <v>0</v>
      </c>
      <c r="DK68">
        <f t="shared" si="74"/>
        <v>0</v>
      </c>
      <c r="DL68">
        <f t="shared" ref="DL68:DM68" si="75">SUM(DL30:DL64)</f>
        <v>0</v>
      </c>
      <c r="DM68">
        <f t="shared" si="75"/>
        <v>0</v>
      </c>
      <c r="DN68">
        <f t="shared" si="74"/>
        <v>0</v>
      </c>
      <c r="DO68">
        <f>SUM(DO30:DO64)</f>
        <v>0</v>
      </c>
      <c r="DP68">
        <f t="shared" ref="DP68:DS68" si="76">SUM(DP30:DP64)</f>
        <v>0</v>
      </c>
      <c r="DQ68">
        <f t="shared" si="76"/>
        <v>0</v>
      </c>
      <c r="DR68">
        <f t="shared" si="76"/>
        <v>0</v>
      </c>
      <c r="DS68">
        <f t="shared" si="76"/>
        <v>0</v>
      </c>
      <c r="DT68">
        <f>SUM(DT30:DT64)</f>
        <v>0</v>
      </c>
      <c r="DU68">
        <f t="shared" ref="DU68:DY68" si="77">SUM(DU30:DU64)</f>
        <v>0</v>
      </c>
      <c r="DV68">
        <f t="shared" si="77"/>
        <v>0</v>
      </c>
      <c r="DW68">
        <f t="shared" si="77"/>
        <v>0</v>
      </c>
      <c r="DX68">
        <f t="shared" si="77"/>
        <v>0</v>
      </c>
      <c r="DY68">
        <f t="shared" si="77"/>
        <v>0</v>
      </c>
      <c r="DZ68">
        <f t="shared" ref="DZ68:EA68" si="78">SUM(DZ30:DZ64)</f>
        <v>0</v>
      </c>
      <c r="EA68">
        <f t="shared" si="78"/>
        <v>0</v>
      </c>
      <c r="EB68">
        <f>SUM(EB30:EB64)</f>
        <v>0</v>
      </c>
      <c r="EC68"/>
      <c r="ED68"/>
      <c r="EE68"/>
      <c r="EF68"/>
      <c r="EG68"/>
    </row>
    <row r="69" spans="2:137" ht="15" customHeight="1">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c r="CB69"/>
      <c r="CC69"/>
      <c r="CD69"/>
      <c r="CE69"/>
      <c r="CF69"/>
      <c r="CG69"/>
      <c r="CH69"/>
      <c r="CI69"/>
      <c r="CJ69"/>
      <c r="CK69"/>
      <c r="CL69"/>
      <c r="CM69"/>
      <c r="CN69"/>
      <c r="CO69"/>
      <c r="CP69"/>
      <c r="CQ69"/>
      <c r="CR69"/>
      <c r="CS69" s="318">
        <f>DO68-$BM71</f>
        <v>0</v>
      </c>
      <c r="CT69" s="318">
        <f>DP68-$BM71</f>
        <v>0</v>
      </c>
      <c r="CU69" s="318">
        <f>DQ68-$BM71</f>
        <v>0</v>
      </c>
      <c r="CV69" s="318">
        <f>DR68-$BM71</f>
        <v>0</v>
      </c>
      <c r="CW69" s="318">
        <f>DS68-$BM71</f>
        <v>0</v>
      </c>
      <c r="CX69" s="318">
        <f t="shared" ref="CX69:CY69" si="79">DT68-$BM71</f>
        <v>0</v>
      </c>
      <c r="CY69" s="318">
        <f t="shared" si="79"/>
        <v>0</v>
      </c>
      <c r="CZ69" s="318">
        <f>DT68-$BM71</f>
        <v>0</v>
      </c>
      <c r="DA69" s="318"/>
      <c r="DB69" s="318"/>
      <c r="DC69" s="318"/>
      <c r="DD69" s="318"/>
      <c r="DE69" s="318"/>
      <c r="DF69" s="318">
        <f>EB68-$BZ71</f>
        <v>0</v>
      </c>
      <c r="DG69"/>
      <c r="DH69"/>
      <c r="DI69"/>
      <c r="DJ69"/>
      <c r="DK69"/>
    </row>
    <row r="70" spans="2:137" ht="15" hidden="1" customHeight="1"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7" ht="21" hidden="1" thickBot="1">
      <c r="C71" s="16" t="s">
        <v>244</v>
      </c>
      <c r="D71" s="17"/>
      <c r="E71" s="17"/>
      <c r="F71" s="17"/>
      <c r="G71" s="17"/>
      <c r="H71" s="17"/>
      <c r="I71" s="17"/>
      <c r="J71" s="18"/>
      <c r="K71"/>
      <c r="L71"/>
      <c r="AN71" s="1"/>
      <c r="AO71" s="1"/>
      <c r="AP71" s="1"/>
      <c r="BL71" s="143" t="s">
        <v>726</v>
      </c>
      <c r="BM71" s="144">
        <f t="shared" ref="BM71:BW71" si="80">BM$68+CA$68+CM$68+DA$68</f>
        <v>0</v>
      </c>
      <c r="BN71" s="144">
        <f t="shared" si="80"/>
        <v>0</v>
      </c>
      <c r="BO71" s="144">
        <f t="shared" si="80"/>
        <v>0</v>
      </c>
      <c r="BP71" s="144">
        <f t="shared" si="80"/>
        <v>0</v>
      </c>
      <c r="BQ71" s="144">
        <f t="shared" si="80"/>
        <v>0</v>
      </c>
      <c r="BR71" s="144">
        <f t="shared" si="80"/>
        <v>0</v>
      </c>
      <c r="BS71" s="144">
        <f t="shared" si="80"/>
        <v>0</v>
      </c>
      <c r="BT71" s="144">
        <f t="shared" si="80"/>
        <v>0</v>
      </c>
      <c r="BU71" s="144">
        <f t="shared" si="80"/>
        <v>0</v>
      </c>
      <c r="BV71" s="144">
        <f t="shared" si="80"/>
        <v>0</v>
      </c>
      <c r="BW71" s="144">
        <f t="shared" si="80"/>
        <v>0</v>
      </c>
      <c r="BX71" s="144">
        <f t="shared" ref="BX71:BY71" si="81">BX$68+CL$68+CX$68+DL$68</f>
        <v>0</v>
      </c>
      <c r="BY71" s="144">
        <f t="shared" si="81"/>
        <v>0</v>
      </c>
      <c r="BZ71" s="144">
        <f>BZ$68+CL$68+CZ$68+DN$68</f>
        <v>0</v>
      </c>
      <c r="CA71"/>
      <c r="CB71"/>
      <c r="CC71"/>
      <c r="CD71"/>
      <c r="CE71"/>
      <c r="CF71"/>
      <c r="CG71"/>
      <c r="CH71"/>
    </row>
    <row r="72" spans="2:137" ht="15" hidden="1" customHeight="1" thickBot="1">
      <c r="C72" s="73" t="s">
        <v>245</v>
      </c>
      <c r="D72" s="74"/>
      <c r="E72" s="74"/>
      <c r="F72" s="74"/>
      <c r="G72" s="74"/>
      <c r="H72" s="74"/>
      <c r="I72" s="131"/>
      <c r="J72" s="165"/>
      <c r="K72"/>
      <c r="L72"/>
      <c r="AN72" s="1"/>
      <c r="AO72" s="1"/>
      <c r="AP72" s="1"/>
    </row>
    <row r="73" spans="2:137" ht="30" hidden="1" customHeight="1">
      <c r="C73" s="31"/>
      <c r="I73" s="663" t="s">
        <v>208</v>
      </c>
      <c r="J73" s="689" t="s">
        <v>262</v>
      </c>
      <c r="K73"/>
      <c r="L73"/>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7" ht="30" hidden="1" customHeight="1">
      <c r="C74" s="21"/>
      <c r="D74" s="30"/>
      <c r="E74" s="30"/>
      <c r="F74" s="30"/>
      <c r="G74" s="30"/>
      <c r="H74" s="30"/>
      <c r="I74" s="664"/>
      <c r="J74" s="690"/>
      <c r="K74"/>
      <c r="L74"/>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7" ht="33.75" hidden="1" customHeight="1">
      <c r="C75" s="355" t="s">
        <v>2</v>
      </c>
      <c r="D75" s="356" t="s">
        <v>10</v>
      </c>
      <c r="E75" s="402" t="s">
        <v>116</v>
      </c>
      <c r="F75" s="167" t="s">
        <v>6</v>
      </c>
      <c r="G75" s="168" t="str">
        <f>IF($Y$2="Custom","Custom Project Operating Energy","Operating Energy
 of Category "&amp;$Y$2)</f>
        <v>Operating Energy
 of Category A</v>
      </c>
      <c r="H75" s="167" t="s">
        <v>6</v>
      </c>
      <c r="I75" s="135" t="str">
        <f>TRACITotalDisplayUnit</f>
        <v>short ton</v>
      </c>
      <c r="J75" s="166" t="str">
        <f>EnergyTotalDisplayUnit</f>
        <v>MMBtu</v>
      </c>
      <c r="K75"/>
      <c r="L75"/>
      <c r="Y75"/>
      <c r="Z75"/>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7" ht="15" hidden="1" customHeight="1">
      <c r="B76" s="53">
        <f t="shared" ref="B76:B86" si="82">X76</f>
        <v>0</v>
      </c>
      <c r="C76" s="26">
        <v>1</v>
      </c>
      <c r="D76" s="46" t="s">
        <v>78</v>
      </c>
      <c r="E76" s="420">
        <f>'Plant Inputs'!$G76</f>
        <v>0</v>
      </c>
      <c r="F76" s="204" t="str">
        <f>'Plant Inputs'!$H76</f>
        <v>kWh/short ton</v>
      </c>
      <c r="G76" s="160">
        <f t="shared" ref="G76:G86" si="83">$E76*$E$18</f>
        <v>0</v>
      </c>
      <c r="H76" s="204" t="str">
        <f t="shared" ref="H76:H86" si="84">LEFT(F76,FIND("/",F76)-1)</f>
        <v>kWh</v>
      </c>
      <c r="I76" s="160">
        <f>$BI76</f>
        <v>0</v>
      </c>
      <c r="J76" s="177">
        <f>$BN76</f>
        <v>0</v>
      </c>
      <c r="K76"/>
      <c r="L76"/>
      <c r="X76" s="65">
        <f>'Plant Inputs'!$X76</f>
        <v>0</v>
      </c>
      <c r="Y76" s="216">
        <f>IF(AND($X76=1,'Plant Inputs'!$Y76=1),1,0)</f>
        <v>0</v>
      </c>
      <c r="Z76" s="216"/>
      <c r="AA76" s="216"/>
      <c r="AB76" s="216"/>
      <c r="AC76" s="216"/>
      <c r="AD76" s="216"/>
      <c r="AE76" s="216"/>
      <c r="AF76" s="216"/>
      <c r="AG76" s="216"/>
      <c r="AH76" s="216"/>
      <c r="AI76" s="216"/>
      <c r="AJ76" s="216"/>
      <c r="AK76" s="216"/>
      <c r="AL76" s="216"/>
      <c r="AM76" s="1" t="str">
        <f t="shared" ref="AM76:AM86" si="85">D76</f>
        <v>Purchased Electricity (from Regional Electricity Grid)</v>
      </c>
      <c r="AN76" s="403">
        <f>G76</f>
        <v>0</v>
      </c>
      <c r="AO76" s="164" t="str">
        <f>H76</f>
        <v>kWh</v>
      </c>
      <c r="AP76" s="1">
        <f t="shared" ref="AP76:AP86" si="86">INDEX(Conversion_Table,MATCH($AS76,Conversion_Rows,0),MATCH($AO76,Conversion_Columns,0))</f>
        <v>1</v>
      </c>
      <c r="AQ76" s="87" t="str">
        <f t="shared" ref="AQ76:AQ86" si="87">AO76&amp;"/"&amp;$AS76</f>
        <v>kWh/kWh</v>
      </c>
      <c r="AR76">
        <f t="shared" ref="AR76:AR86" si="88">AN76/AP76</f>
        <v>0</v>
      </c>
      <c r="AS76" s="87" t="str">
        <f>'CPCI Data'!$W$12</f>
        <v>kWh</v>
      </c>
      <c r="AT76">
        <f>$AO$15</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I87" si="89">IF($AR$18=0,0,AU76*INDEX(Conversion_Table,MATCH(AU$75,Conversion_Rows,0),MATCH(BI$75,Conversion_Columns,0)))</f>
        <v>0</v>
      </c>
      <c r="BJ76" s="360">
        <f t="shared" ref="BJ76:BJ87" si="90">IF($AR$18=0,0,AV76*INDEX(Conversion_Table,MATCH(AV$75,Conversion_Rows,0),MATCH(BJ$75,Conversion_Columns,0)))</f>
        <v>0</v>
      </c>
      <c r="BK76" s="360">
        <f t="shared" ref="BK76:BK87" si="91">IF($AR$18=0,0,AW76*INDEX(Conversion_Table,MATCH(AW$75,Conversion_Rows,0),MATCH(BK$75,Conversion_Columns,0)))</f>
        <v>0</v>
      </c>
      <c r="BL76" s="360">
        <f t="shared" ref="BL76:BL87" si="92">IF($AR$18=0,0,AX76*INDEX(Conversion_Table,MATCH(AX$75,Conversion_Rows,0),MATCH(BL$75,Conversion_Columns,0)))</f>
        <v>0</v>
      </c>
      <c r="BM76" s="360">
        <f t="shared" ref="BM76:BM87" si="93">IF($AR$18=0,0,AY76*INDEX(Conversion_Table,MATCH(AY$75,Conversion_Rows,0),MATCH(BM$75,Conversion_Columns,0)))</f>
        <v>0</v>
      </c>
      <c r="BN76" s="360">
        <f t="shared" ref="BN76:BN87" si="94">IF($AR$18=0,0,AZ76*INDEX(Conversion_Table,MATCH(AZ$75,Conversion_Rows,0),MATCH(BN$75,Conversion_Columns,0)))</f>
        <v>0</v>
      </c>
      <c r="BO76" s="360">
        <f t="shared" ref="BO76:BO87" si="95">IF($AR$18=0,0,BA76*INDEX(Conversion_Table,MATCH(BA$75,Conversion_Rows,0),MATCH(BO$75,Conversion_Columns,0)))</f>
        <v>0</v>
      </c>
      <c r="BP76" s="360">
        <f t="shared" ref="BP76:BP87" si="96">IF($AR$18=0,0,BB76*INDEX(Conversion_Table,MATCH(BB$75,Conversion_Rows,0),MATCH(BP$75,Conversion_Columns,0)))</f>
        <v>0</v>
      </c>
      <c r="BQ76" s="360">
        <f t="shared" ref="BQ76:BQ87" si="97">IF($AR$18=0,0,BC76*INDEX(Conversion_Table,MATCH(BC$75,Conversion_Rows,0),MATCH(BQ$75,Conversion_Columns,0)))</f>
        <v>0</v>
      </c>
      <c r="BR76" s="360">
        <f t="shared" ref="BR76:BR87" si="98">IF($AR$18=0,0,BD76*INDEX(Conversion_Table,MATCH(BD$75,Conversion_Rows,0),MATCH(BR$75,Conversion_Columns,0)))</f>
        <v>0</v>
      </c>
      <c r="BS76" s="360">
        <f t="shared" ref="BS76:BS87" si="99">IF($AR$18=0,0,BE76*INDEX(Conversion_Table,MATCH(BE$75,Conversion_Rows,0),MATCH(BS$75,Conversion_Columns,0)))</f>
        <v>0</v>
      </c>
      <c r="BT76" s="360">
        <f t="shared" ref="BT76:BT87" si="100">IF($AR$18=0,0,BF76*INDEX(Conversion_Table,MATCH(BF$75,Conversion_Rows,0),MATCH(BT$75,Conversion_Columns,0)))</f>
        <v>0</v>
      </c>
      <c r="BU76" s="360">
        <f t="shared" ref="BU76:BU87" si="101">IF($AR$18=0,0,BG76*INDEX(Conversion_Table,MATCH(BG$75,Conversion_Rows,0),MATCH(BU$75,Conversion_Columns,0)))</f>
        <v>0</v>
      </c>
      <c r="BV76" s="360">
        <f t="shared" ref="BV76:BV87" si="102">IF($AR$18=0,0,BH76*INDEX(Conversion_Table,MATCH(BH$75,Conversion_Rows,0),MATCH(BV$75,Conversion_Columns,0)))</f>
        <v>0</v>
      </c>
      <c r="BW76" s="362">
        <f t="shared" ref="BW76:BW87" si="103">IF($AT$18=0,0,AU76*INDEX(Conversion_Table,MATCH(AU$75,Conversion_Rows,0),MATCH(BW$75,Conversion_Columns,0))/$AT$18)</f>
        <v>0</v>
      </c>
      <c r="BX76" s="362">
        <f t="shared" ref="BX76:BX87" si="104">IF($AT$18=0,0,AV76*INDEX(Conversion_Table,MATCH(AV$75,Conversion_Rows,0),MATCH(BX$75,Conversion_Columns,0))/$AT$18)</f>
        <v>0</v>
      </c>
      <c r="BY76" s="362">
        <f t="shared" ref="BY76:BY87" si="105">IF($AT$18=0,0,AW76*INDEX(Conversion_Table,MATCH(AW$75,Conversion_Rows,0),MATCH(BY$75,Conversion_Columns,0))/$AT$18)</f>
        <v>0</v>
      </c>
      <c r="BZ76" s="362">
        <f t="shared" ref="BZ76:BZ87" si="106">IF($AT$18=0,0,AX76*INDEX(Conversion_Table,MATCH(AX$75,Conversion_Rows,0),MATCH(BZ$75,Conversion_Columns,0))/$AT$18)</f>
        <v>0</v>
      </c>
      <c r="CA76" s="362">
        <f t="shared" ref="CA76:CA87" si="107">IF($AT$18=0,0,AY76*INDEX(Conversion_Table,MATCH(AY$75,Conversion_Rows,0),MATCH(CA$75,Conversion_Columns,0))/$AT$18)</f>
        <v>0</v>
      </c>
      <c r="CB76" s="362">
        <f t="shared" ref="CB76:CB87" si="108">IF($AT$18=0,0,AZ76*INDEX(Conversion_Table,MATCH(AZ$75,Conversion_Rows,0),MATCH(CB$75,Conversion_Columns,0))/$AT$18)</f>
        <v>0</v>
      </c>
      <c r="CC76" s="362">
        <f t="shared" ref="CC76:CC87" si="109">IF($AT$18=0,0,BA76*INDEX(Conversion_Table,MATCH(BA$75,Conversion_Rows,0),MATCH(CC$75,Conversion_Columns,0))/$AT$18)</f>
        <v>0</v>
      </c>
      <c r="CD76" s="362">
        <f t="shared" ref="CD76:CD87" si="110">IF($AT$18=0,0,BB76*INDEX(Conversion_Table,MATCH(BB$75,Conversion_Rows,0),MATCH(CD$75,Conversion_Columns,0))/$AT$18)</f>
        <v>0</v>
      </c>
      <c r="CE76" s="362">
        <f t="shared" ref="CE76:CE87" si="111">IF($AT$18=0,0,BC76*INDEX(Conversion_Table,MATCH(BC$75,Conversion_Rows,0),MATCH(CE$75,Conversion_Columns,0))/$AT$18)</f>
        <v>0</v>
      </c>
      <c r="CF76" s="362">
        <f t="shared" ref="CF76:CF87" si="112">IF($AT$18=0,0,BD76*INDEX(Conversion_Table,MATCH(BD$75,Conversion_Rows,0),MATCH(CF$75,Conversion_Columns,0))/$AT$18)</f>
        <v>0</v>
      </c>
      <c r="CG76" s="362">
        <f t="shared" ref="CG76:CG87" si="113">IF($AT$18=0,0,BE76*INDEX(Conversion_Table,MATCH(BE$75,Conversion_Rows,0),MATCH(CG$75,Conversion_Columns,0))/$AT$18)</f>
        <v>0</v>
      </c>
      <c r="CH76" s="362">
        <f t="shared" ref="CH76:CH87" si="114">IF($AT$18=0,0,BF76*INDEX(Conversion_Table,MATCH(BF$75,Conversion_Rows,0),MATCH(CH$75,Conversion_Columns,0))/$AT$18)</f>
        <v>0</v>
      </c>
      <c r="CI76" s="362">
        <f t="shared" ref="CI76:CI87" si="115">IF($AT$18=0,0,BG76*INDEX(Conversion_Table,MATCH(BG$75,Conversion_Rows,0),MATCH(CI$75,Conversion_Columns,0))/$AT$18)</f>
        <v>0</v>
      </c>
      <c r="CJ76" s="362">
        <f t="shared" ref="CJ76:CJ87" si="116">IF($AT$18=0,0,BH76*INDEX(Conversion_Table,MATCH(BH$75,Conversion_Rows,0),MATCH(CJ$75,Conversion_Columns,0))/$AT$18)</f>
        <v>0</v>
      </c>
      <c r="CK76"/>
      <c r="CL76"/>
      <c r="CM76"/>
      <c r="CN76"/>
      <c r="CO76"/>
      <c r="CP76"/>
      <c r="CQ76"/>
      <c r="CR76"/>
      <c r="CS76"/>
      <c r="CT76"/>
      <c r="CU76"/>
      <c r="CV76"/>
      <c r="CW76"/>
      <c r="CX76"/>
      <c r="CY76"/>
      <c r="CZ76"/>
      <c r="DA76"/>
      <c r="DB76"/>
    </row>
    <row r="77" spans="2:137" ht="15" hidden="1" customHeight="1">
      <c r="B77" s="53">
        <f t="shared" si="82"/>
        <v>0</v>
      </c>
      <c r="C77" s="26">
        <v>2</v>
      </c>
      <c r="D77" s="46" t="s">
        <v>470</v>
      </c>
      <c r="E77" s="420">
        <f>'Plant Inputs'!$G77</f>
        <v>0</v>
      </c>
      <c r="F77" s="204" t="str">
        <f>'Plant Inputs'!$H77</f>
        <v>kWh/short ton</v>
      </c>
      <c r="G77" s="160">
        <f t="shared" si="83"/>
        <v>0</v>
      </c>
      <c r="H77" s="204" t="str">
        <f t="shared" si="84"/>
        <v>kWh</v>
      </c>
      <c r="I77" s="160">
        <f t="shared" ref="I77:I87" si="117">$BI77</f>
        <v>0</v>
      </c>
      <c r="J77" s="177">
        <f t="shared" ref="J77:J87" si="118">$BN77</f>
        <v>0</v>
      </c>
      <c r="K77"/>
      <c r="L77"/>
      <c r="X77" s="65">
        <f>'Plant Inputs'!$X77</f>
        <v>0</v>
      </c>
      <c r="Y77" s="216">
        <f>IF(AND($X77=1,'Plant Inputs'!$Y77=1),1,0)</f>
        <v>0</v>
      </c>
      <c r="Z77" s="216"/>
      <c r="AA77" s="216"/>
      <c r="AB77" s="216"/>
      <c r="AC77" s="216"/>
      <c r="AD77" s="216"/>
      <c r="AE77" s="216"/>
      <c r="AF77" s="216"/>
      <c r="AG77" s="216"/>
      <c r="AH77" s="216"/>
      <c r="AI77" s="216"/>
      <c r="AJ77" s="216"/>
      <c r="AK77" s="216"/>
      <c r="AL77" s="216"/>
      <c r="AM77" s="1" t="str">
        <f t="shared" si="85"/>
        <v>On-Site Generated Electricity - Solar</v>
      </c>
      <c r="AN77" s="403">
        <f t="shared" ref="AN77:AN86" si="119">G77</f>
        <v>0</v>
      </c>
      <c r="AO77" s="164" t="str">
        <f t="shared" ref="AO77:AO86" si="120">H77</f>
        <v>kWh</v>
      </c>
      <c r="AP77" s="1">
        <f t="shared" si="86"/>
        <v>1</v>
      </c>
      <c r="AQ77" s="87" t="str">
        <f t="shared" si="87"/>
        <v>kWh/kWh</v>
      </c>
      <c r="AR77">
        <f t="shared" si="88"/>
        <v>0</v>
      </c>
      <c r="AS77" s="87" t="str">
        <f>'CPCI Data'!$W$12</f>
        <v>kWh</v>
      </c>
      <c r="AT77">
        <f t="shared" ref="AT77:AT86" si="121">$AO$15</f>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89"/>
        <v>0</v>
      </c>
      <c r="BJ77" s="360">
        <f t="shared" si="90"/>
        <v>0</v>
      </c>
      <c r="BK77" s="360">
        <f t="shared" si="91"/>
        <v>0</v>
      </c>
      <c r="BL77" s="360">
        <f t="shared" si="92"/>
        <v>0</v>
      </c>
      <c r="BM77" s="360">
        <f t="shared" si="93"/>
        <v>0</v>
      </c>
      <c r="BN77" s="360">
        <f t="shared" si="94"/>
        <v>0</v>
      </c>
      <c r="BO77" s="360">
        <f t="shared" si="95"/>
        <v>0</v>
      </c>
      <c r="BP77" s="360">
        <f t="shared" si="96"/>
        <v>0</v>
      </c>
      <c r="BQ77" s="360">
        <f t="shared" si="97"/>
        <v>0</v>
      </c>
      <c r="BR77" s="360">
        <f t="shared" si="98"/>
        <v>0</v>
      </c>
      <c r="BS77" s="360">
        <f t="shared" si="99"/>
        <v>0</v>
      </c>
      <c r="BT77" s="360">
        <f t="shared" si="100"/>
        <v>0</v>
      </c>
      <c r="BU77" s="360">
        <f t="shared" si="101"/>
        <v>0</v>
      </c>
      <c r="BV77" s="360">
        <f t="shared" si="102"/>
        <v>0</v>
      </c>
      <c r="BW77" s="362">
        <f t="shared" si="103"/>
        <v>0</v>
      </c>
      <c r="BX77" s="362">
        <f t="shared" si="104"/>
        <v>0</v>
      </c>
      <c r="BY77" s="362">
        <f t="shared" si="105"/>
        <v>0</v>
      </c>
      <c r="BZ77" s="362">
        <f t="shared" si="106"/>
        <v>0</v>
      </c>
      <c r="CA77" s="362">
        <f t="shared" si="107"/>
        <v>0</v>
      </c>
      <c r="CB77" s="362">
        <f t="shared" si="108"/>
        <v>0</v>
      </c>
      <c r="CC77" s="362">
        <f t="shared" si="109"/>
        <v>0</v>
      </c>
      <c r="CD77" s="362">
        <f t="shared" si="110"/>
        <v>0</v>
      </c>
      <c r="CE77" s="362">
        <f t="shared" si="111"/>
        <v>0</v>
      </c>
      <c r="CF77" s="362">
        <f t="shared" si="112"/>
        <v>0</v>
      </c>
      <c r="CG77" s="362">
        <f t="shared" si="113"/>
        <v>0</v>
      </c>
      <c r="CH77" s="362">
        <f t="shared" si="114"/>
        <v>0</v>
      </c>
      <c r="CI77" s="362">
        <f t="shared" si="115"/>
        <v>0</v>
      </c>
      <c r="CJ77" s="362">
        <f t="shared" si="116"/>
        <v>0</v>
      </c>
      <c r="CK77"/>
      <c r="CO77"/>
      <c r="CP77"/>
      <c r="CQ77"/>
      <c r="CR77"/>
      <c r="CS77"/>
      <c r="CT77"/>
      <c r="CU77"/>
      <c r="CV77"/>
      <c r="CW77"/>
      <c r="CX77"/>
      <c r="CY77"/>
      <c r="CZ77"/>
      <c r="DA77"/>
      <c r="DB77"/>
    </row>
    <row r="78" spans="2:137" ht="15" hidden="1" customHeight="1">
      <c r="B78" s="53">
        <f t="shared" si="82"/>
        <v>0</v>
      </c>
      <c r="C78" s="26">
        <v>3</v>
      </c>
      <c r="D78" s="46" t="s">
        <v>471</v>
      </c>
      <c r="E78" s="420">
        <f>'Plant Inputs'!$G78</f>
        <v>0</v>
      </c>
      <c r="F78" s="204" t="str">
        <f>'Plant Inputs'!$H78</f>
        <v>kWh/short ton</v>
      </c>
      <c r="G78" s="160">
        <f t="shared" si="83"/>
        <v>0</v>
      </c>
      <c r="H78" s="204" t="str">
        <f t="shared" si="84"/>
        <v>kWh</v>
      </c>
      <c r="I78" s="160">
        <f t="shared" si="117"/>
        <v>0</v>
      </c>
      <c r="J78" s="177">
        <f t="shared" si="118"/>
        <v>0</v>
      </c>
      <c r="K78"/>
      <c r="L78"/>
      <c r="X78" s="65">
        <f>'Plant Inputs'!$X78</f>
        <v>0</v>
      </c>
      <c r="Y78" s="216">
        <f>IF(AND($X78=1,'Plant Inputs'!$Y78=1),1,0)</f>
        <v>0</v>
      </c>
      <c r="Z78" s="216"/>
      <c r="AA78" s="216"/>
      <c r="AB78" s="216"/>
      <c r="AC78" s="216"/>
      <c r="AD78" s="216"/>
      <c r="AE78" s="216"/>
      <c r="AF78" s="216"/>
      <c r="AG78" s="216"/>
      <c r="AH78" s="216"/>
      <c r="AI78" s="216"/>
      <c r="AJ78" s="216"/>
      <c r="AK78" s="216"/>
      <c r="AL78" s="216"/>
      <c r="AM78" s="1" t="str">
        <f t="shared" si="85"/>
        <v>On-Site Generated Electricity - Wind</v>
      </c>
      <c r="AN78" s="403">
        <f t="shared" si="119"/>
        <v>0</v>
      </c>
      <c r="AO78" s="164" t="str">
        <f t="shared" si="120"/>
        <v>kWh</v>
      </c>
      <c r="AP78" s="1">
        <f t="shared" si="86"/>
        <v>1</v>
      </c>
      <c r="AQ78" s="87" t="str">
        <f t="shared" si="87"/>
        <v>kWh/kWh</v>
      </c>
      <c r="AR78">
        <f t="shared" si="88"/>
        <v>0</v>
      </c>
      <c r="AS78" s="87" t="str">
        <f>'CPCI Data'!$W$12</f>
        <v>kWh</v>
      </c>
      <c r="AT78">
        <f t="shared" si="121"/>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89"/>
        <v>0</v>
      </c>
      <c r="BJ78" s="360">
        <f t="shared" si="90"/>
        <v>0</v>
      </c>
      <c r="BK78" s="360">
        <f t="shared" si="91"/>
        <v>0</v>
      </c>
      <c r="BL78" s="360">
        <f t="shared" si="92"/>
        <v>0</v>
      </c>
      <c r="BM78" s="360">
        <f t="shared" si="93"/>
        <v>0</v>
      </c>
      <c r="BN78" s="360">
        <f t="shared" si="94"/>
        <v>0</v>
      </c>
      <c r="BO78" s="360">
        <f t="shared" si="95"/>
        <v>0</v>
      </c>
      <c r="BP78" s="360">
        <f t="shared" si="96"/>
        <v>0</v>
      </c>
      <c r="BQ78" s="360">
        <f t="shared" si="97"/>
        <v>0</v>
      </c>
      <c r="BR78" s="360">
        <f t="shared" si="98"/>
        <v>0</v>
      </c>
      <c r="BS78" s="360">
        <f t="shared" si="99"/>
        <v>0</v>
      </c>
      <c r="BT78" s="360">
        <f t="shared" si="100"/>
        <v>0</v>
      </c>
      <c r="BU78" s="360">
        <f t="shared" si="101"/>
        <v>0</v>
      </c>
      <c r="BV78" s="360">
        <f t="shared" si="102"/>
        <v>0</v>
      </c>
      <c r="BW78" s="362">
        <f t="shared" si="103"/>
        <v>0</v>
      </c>
      <c r="BX78" s="362">
        <f t="shared" si="104"/>
        <v>0</v>
      </c>
      <c r="BY78" s="362">
        <f t="shared" si="105"/>
        <v>0</v>
      </c>
      <c r="BZ78" s="362">
        <f t="shared" si="106"/>
        <v>0</v>
      </c>
      <c r="CA78" s="362">
        <f t="shared" si="107"/>
        <v>0</v>
      </c>
      <c r="CB78" s="362">
        <f t="shared" si="108"/>
        <v>0</v>
      </c>
      <c r="CC78" s="362">
        <f t="shared" si="109"/>
        <v>0</v>
      </c>
      <c r="CD78" s="362">
        <f t="shared" si="110"/>
        <v>0</v>
      </c>
      <c r="CE78" s="362">
        <f t="shared" si="111"/>
        <v>0</v>
      </c>
      <c r="CF78" s="362">
        <f t="shared" si="112"/>
        <v>0</v>
      </c>
      <c r="CG78" s="362">
        <f t="shared" si="113"/>
        <v>0</v>
      </c>
      <c r="CH78" s="362">
        <f t="shared" si="114"/>
        <v>0</v>
      </c>
      <c r="CI78" s="362">
        <f t="shared" si="115"/>
        <v>0</v>
      </c>
      <c r="CJ78" s="362">
        <f t="shared" si="116"/>
        <v>0</v>
      </c>
      <c r="CK78"/>
      <c r="CO78"/>
      <c r="CP78"/>
      <c r="CQ78"/>
      <c r="CR78"/>
      <c r="CS78"/>
      <c r="CT78"/>
      <c r="CU78"/>
      <c r="CV78"/>
      <c r="CW78"/>
      <c r="CX78"/>
      <c r="CY78"/>
      <c r="CZ78"/>
      <c r="DA78"/>
      <c r="DB78"/>
    </row>
    <row r="79" spans="2:137" ht="15" hidden="1" customHeight="1">
      <c r="B79" s="53">
        <f t="shared" si="82"/>
        <v>0</v>
      </c>
      <c r="C79" s="26">
        <v>4</v>
      </c>
      <c r="D79" s="46" t="s">
        <v>472</v>
      </c>
      <c r="E79" s="420">
        <f>'Plant Inputs'!$G79</f>
        <v>0</v>
      </c>
      <c r="F79" s="204" t="str">
        <f>'Plant Inputs'!$H79</f>
        <v>kWh/short ton</v>
      </c>
      <c r="G79" s="160">
        <f t="shared" si="83"/>
        <v>0</v>
      </c>
      <c r="H79" s="204" t="str">
        <f t="shared" si="84"/>
        <v>kWh</v>
      </c>
      <c r="I79" s="160">
        <f t="shared" si="117"/>
        <v>0</v>
      </c>
      <c r="J79" s="177">
        <f t="shared" si="118"/>
        <v>0</v>
      </c>
      <c r="K79"/>
      <c r="L79"/>
      <c r="X79" s="65">
        <f>'Plant Inputs'!$X79</f>
        <v>0</v>
      </c>
      <c r="Y79" s="216">
        <f>IF(AND($X79=1,'Plant Inputs'!$Y79=1),1,0)</f>
        <v>0</v>
      </c>
      <c r="Z79" s="216"/>
      <c r="AA79" s="216"/>
      <c r="AB79" s="216"/>
      <c r="AC79" s="216"/>
      <c r="AD79" s="216"/>
      <c r="AE79" s="216"/>
      <c r="AF79" s="216"/>
      <c r="AG79" s="216"/>
      <c r="AH79" s="216"/>
      <c r="AI79" s="216"/>
      <c r="AJ79" s="216"/>
      <c r="AK79" s="216"/>
      <c r="AL79" s="216"/>
      <c r="AM79" s="1" t="str">
        <f t="shared" si="85"/>
        <v>On-Site Generated Electricity - Hydroelectric</v>
      </c>
      <c r="AN79" s="403">
        <f t="shared" si="119"/>
        <v>0</v>
      </c>
      <c r="AO79" s="164" t="str">
        <f t="shared" si="120"/>
        <v>kWh</v>
      </c>
      <c r="AP79" s="1">
        <f t="shared" si="86"/>
        <v>1</v>
      </c>
      <c r="AQ79" s="87" t="str">
        <f t="shared" si="87"/>
        <v>kWh/kWh</v>
      </c>
      <c r="AR79">
        <f t="shared" si="88"/>
        <v>0</v>
      </c>
      <c r="AS79" s="87" t="str">
        <f>'CPCI Data'!$W$12</f>
        <v>kWh</v>
      </c>
      <c r="AT79">
        <f t="shared" si="121"/>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89"/>
        <v>0</v>
      </c>
      <c r="BJ79" s="360">
        <f t="shared" si="90"/>
        <v>0</v>
      </c>
      <c r="BK79" s="360">
        <f t="shared" si="91"/>
        <v>0</v>
      </c>
      <c r="BL79" s="360">
        <f t="shared" si="92"/>
        <v>0</v>
      </c>
      <c r="BM79" s="360">
        <f t="shared" si="93"/>
        <v>0</v>
      </c>
      <c r="BN79" s="360">
        <f t="shared" si="94"/>
        <v>0</v>
      </c>
      <c r="BO79" s="360">
        <f t="shared" si="95"/>
        <v>0</v>
      </c>
      <c r="BP79" s="360">
        <f t="shared" si="96"/>
        <v>0</v>
      </c>
      <c r="BQ79" s="360">
        <f t="shared" si="97"/>
        <v>0</v>
      </c>
      <c r="BR79" s="360">
        <f t="shared" si="98"/>
        <v>0</v>
      </c>
      <c r="BS79" s="360">
        <f t="shared" si="99"/>
        <v>0</v>
      </c>
      <c r="BT79" s="360">
        <f t="shared" si="100"/>
        <v>0</v>
      </c>
      <c r="BU79" s="360">
        <f t="shared" si="101"/>
        <v>0</v>
      </c>
      <c r="BV79" s="360">
        <f t="shared" si="102"/>
        <v>0</v>
      </c>
      <c r="BW79" s="362">
        <f t="shared" si="103"/>
        <v>0</v>
      </c>
      <c r="BX79" s="362">
        <f t="shared" si="104"/>
        <v>0</v>
      </c>
      <c r="BY79" s="362">
        <f t="shared" si="105"/>
        <v>0</v>
      </c>
      <c r="BZ79" s="362">
        <f t="shared" si="106"/>
        <v>0</v>
      </c>
      <c r="CA79" s="362">
        <f t="shared" si="107"/>
        <v>0</v>
      </c>
      <c r="CB79" s="362">
        <f t="shared" si="108"/>
        <v>0</v>
      </c>
      <c r="CC79" s="362">
        <f t="shared" si="109"/>
        <v>0</v>
      </c>
      <c r="CD79" s="362">
        <f t="shared" si="110"/>
        <v>0</v>
      </c>
      <c r="CE79" s="362">
        <f t="shared" si="111"/>
        <v>0</v>
      </c>
      <c r="CF79" s="362">
        <f t="shared" si="112"/>
        <v>0</v>
      </c>
      <c r="CG79" s="362">
        <f t="shared" si="113"/>
        <v>0</v>
      </c>
      <c r="CH79" s="362">
        <f t="shared" si="114"/>
        <v>0</v>
      </c>
      <c r="CI79" s="362">
        <f t="shared" si="115"/>
        <v>0</v>
      </c>
      <c r="CJ79" s="362">
        <f t="shared" si="116"/>
        <v>0</v>
      </c>
      <c r="CK79"/>
      <c r="CO79"/>
      <c r="CP79"/>
      <c r="CQ79"/>
      <c r="CR79"/>
      <c r="CS79"/>
      <c r="CT79"/>
      <c r="CU79"/>
      <c r="CV79"/>
      <c r="CW79"/>
      <c r="CX79"/>
      <c r="CY79"/>
      <c r="CZ79"/>
      <c r="DA79"/>
      <c r="DB79"/>
    </row>
    <row r="80" spans="2:137" ht="15" hidden="1" customHeight="1">
      <c r="B80" s="53">
        <f t="shared" si="82"/>
        <v>0</v>
      </c>
      <c r="C80" s="26">
        <v>5</v>
      </c>
      <c r="D80" s="46" t="s">
        <v>473</v>
      </c>
      <c r="E80" s="420">
        <f>'Plant Inputs'!$G80</f>
        <v>0</v>
      </c>
      <c r="F80" s="204" t="str">
        <f>'Plant Inputs'!$H80</f>
        <v>kWh/short ton</v>
      </c>
      <c r="G80" s="160">
        <f t="shared" si="83"/>
        <v>0</v>
      </c>
      <c r="H80" s="204" t="str">
        <f t="shared" si="84"/>
        <v>kWh</v>
      </c>
      <c r="I80" s="160">
        <f t="shared" si="117"/>
        <v>0</v>
      </c>
      <c r="J80" s="177">
        <f t="shared" si="118"/>
        <v>0</v>
      </c>
      <c r="K80"/>
      <c r="L80"/>
      <c r="X80" s="65">
        <f>'Plant Inputs'!$X80</f>
        <v>0</v>
      </c>
      <c r="Y80" s="216">
        <f>IF(AND($X80=1,'Plant Inputs'!$Y80=1),1,0)</f>
        <v>0</v>
      </c>
      <c r="Z80" s="216"/>
      <c r="AA80" s="216"/>
      <c r="AB80" s="216"/>
      <c r="AC80" s="216"/>
      <c r="AD80" s="216"/>
      <c r="AE80" s="216"/>
      <c r="AF80" s="216"/>
      <c r="AG80" s="216"/>
      <c r="AH80" s="216"/>
      <c r="AI80" s="216"/>
      <c r="AJ80" s="216"/>
      <c r="AK80" s="216"/>
      <c r="AL80" s="216"/>
      <c r="AM80" s="1" t="str">
        <f t="shared" si="85"/>
        <v>On-Site Generated Electricity - Geothermal</v>
      </c>
      <c r="AN80" s="403">
        <f t="shared" si="119"/>
        <v>0</v>
      </c>
      <c r="AO80" s="164" t="str">
        <f t="shared" si="120"/>
        <v>kWh</v>
      </c>
      <c r="AP80" s="1">
        <f t="shared" si="86"/>
        <v>1</v>
      </c>
      <c r="AQ80" s="87" t="str">
        <f t="shared" si="87"/>
        <v>kWh/kWh</v>
      </c>
      <c r="AR80">
        <f t="shared" si="88"/>
        <v>0</v>
      </c>
      <c r="AS80" s="87" t="str">
        <f>'CPCI Data'!$W$12</f>
        <v>kWh</v>
      </c>
      <c r="AT80">
        <f t="shared" si="121"/>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89"/>
        <v>0</v>
      </c>
      <c r="BJ80" s="360">
        <f t="shared" si="90"/>
        <v>0</v>
      </c>
      <c r="BK80" s="360">
        <f t="shared" si="91"/>
        <v>0</v>
      </c>
      <c r="BL80" s="360">
        <f t="shared" si="92"/>
        <v>0</v>
      </c>
      <c r="BM80" s="360">
        <f t="shared" si="93"/>
        <v>0</v>
      </c>
      <c r="BN80" s="360">
        <f t="shared" si="94"/>
        <v>0</v>
      </c>
      <c r="BO80" s="360">
        <f t="shared" si="95"/>
        <v>0</v>
      </c>
      <c r="BP80" s="360">
        <f t="shared" si="96"/>
        <v>0</v>
      </c>
      <c r="BQ80" s="360">
        <f t="shared" si="97"/>
        <v>0</v>
      </c>
      <c r="BR80" s="360">
        <f t="shared" si="98"/>
        <v>0</v>
      </c>
      <c r="BS80" s="360">
        <f t="shared" si="99"/>
        <v>0</v>
      </c>
      <c r="BT80" s="360">
        <f t="shared" si="100"/>
        <v>0</v>
      </c>
      <c r="BU80" s="360">
        <f t="shared" si="101"/>
        <v>0</v>
      </c>
      <c r="BV80" s="360">
        <f t="shared" si="102"/>
        <v>0</v>
      </c>
      <c r="BW80" s="362">
        <f t="shared" si="103"/>
        <v>0</v>
      </c>
      <c r="BX80" s="362">
        <f t="shared" si="104"/>
        <v>0</v>
      </c>
      <c r="BY80" s="362">
        <f t="shared" si="105"/>
        <v>0</v>
      </c>
      <c r="BZ80" s="362">
        <f t="shared" si="106"/>
        <v>0</v>
      </c>
      <c r="CA80" s="362">
        <f t="shared" si="107"/>
        <v>0</v>
      </c>
      <c r="CB80" s="362">
        <f t="shared" si="108"/>
        <v>0</v>
      </c>
      <c r="CC80" s="362">
        <f t="shared" si="109"/>
        <v>0</v>
      </c>
      <c r="CD80" s="362">
        <f t="shared" si="110"/>
        <v>0</v>
      </c>
      <c r="CE80" s="362">
        <f t="shared" si="111"/>
        <v>0</v>
      </c>
      <c r="CF80" s="362">
        <f t="shared" si="112"/>
        <v>0</v>
      </c>
      <c r="CG80" s="362">
        <f t="shared" si="113"/>
        <v>0</v>
      </c>
      <c r="CH80" s="362">
        <f t="shared" si="114"/>
        <v>0</v>
      </c>
      <c r="CI80" s="362">
        <f t="shared" si="115"/>
        <v>0</v>
      </c>
      <c r="CJ80" s="362">
        <f t="shared" si="116"/>
        <v>0</v>
      </c>
      <c r="CK80"/>
      <c r="CO80"/>
      <c r="CP80"/>
      <c r="CQ80"/>
      <c r="CR80"/>
      <c r="CS80"/>
      <c r="CT80"/>
      <c r="CU80"/>
      <c r="CV80"/>
      <c r="CW80"/>
      <c r="CX80"/>
      <c r="CY80"/>
      <c r="CZ80"/>
      <c r="DA80"/>
      <c r="DB80"/>
    </row>
    <row r="81" spans="2:134" ht="15" hidden="1" customHeight="1">
      <c r="B81" s="53">
        <f t="shared" si="82"/>
        <v>0</v>
      </c>
      <c r="C81" s="26">
        <v>6</v>
      </c>
      <c r="D81" s="46" t="s">
        <v>474</v>
      </c>
      <c r="E81" s="420">
        <f>'Plant Inputs'!$G81</f>
        <v>0</v>
      </c>
      <c r="F81" s="204" t="str">
        <f>'Plant Inputs'!$H81</f>
        <v>kWh/short ton</v>
      </c>
      <c r="G81" s="160">
        <f t="shared" si="83"/>
        <v>0</v>
      </c>
      <c r="H81" s="204" t="str">
        <f t="shared" si="84"/>
        <v>kWh</v>
      </c>
      <c r="I81" s="160">
        <f t="shared" si="117"/>
        <v>0</v>
      </c>
      <c r="J81" s="177">
        <f t="shared" si="118"/>
        <v>0</v>
      </c>
      <c r="K81"/>
      <c r="L81"/>
      <c r="M81" s="12"/>
      <c r="N81" s="12"/>
      <c r="O81" s="12"/>
      <c r="P81" s="12"/>
      <c r="Q81" s="12"/>
      <c r="R81" s="12"/>
      <c r="S81" s="12"/>
      <c r="X81" s="65">
        <f>'Plant Inputs'!$X81</f>
        <v>0</v>
      </c>
      <c r="Y81" s="216">
        <f>IF(AND($X81=1,'Plant Inputs'!$Y81=1),1,0)</f>
        <v>0</v>
      </c>
      <c r="Z81" s="216"/>
      <c r="AA81" s="216"/>
      <c r="AB81" s="216"/>
      <c r="AC81" s="216"/>
      <c r="AD81" s="216"/>
      <c r="AE81" s="216"/>
      <c r="AF81" s="216"/>
      <c r="AG81" s="216"/>
      <c r="AH81" s="216"/>
      <c r="AI81" s="216"/>
      <c r="AJ81" s="216"/>
      <c r="AK81" s="216"/>
      <c r="AL81" s="216"/>
      <c r="AM81" s="1" t="str">
        <f t="shared" si="85"/>
        <v>On-Site Generated Electricity - Biomass</v>
      </c>
      <c r="AN81" s="403">
        <f t="shared" si="119"/>
        <v>0</v>
      </c>
      <c r="AO81" s="164" t="str">
        <f t="shared" si="120"/>
        <v>kWh</v>
      </c>
      <c r="AP81" s="1">
        <f t="shared" si="86"/>
        <v>1</v>
      </c>
      <c r="AQ81" s="87" t="str">
        <f t="shared" si="87"/>
        <v>kWh/kWh</v>
      </c>
      <c r="AR81">
        <f t="shared" si="88"/>
        <v>0</v>
      </c>
      <c r="AS81" s="87" t="str">
        <f>'CPCI Data'!$W$12</f>
        <v>kWh</v>
      </c>
      <c r="AT81">
        <f t="shared" si="121"/>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89"/>
        <v>0</v>
      </c>
      <c r="BJ81" s="360">
        <f t="shared" si="90"/>
        <v>0</v>
      </c>
      <c r="BK81" s="360">
        <f t="shared" si="91"/>
        <v>0</v>
      </c>
      <c r="BL81" s="360">
        <f t="shared" si="92"/>
        <v>0</v>
      </c>
      <c r="BM81" s="360">
        <f t="shared" si="93"/>
        <v>0</v>
      </c>
      <c r="BN81" s="360">
        <f t="shared" si="94"/>
        <v>0</v>
      </c>
      <c r="BO81" s="360">
        <f t="shared" si="95"/>
        <v>0</v>
      </c>
      <c r="BP81" s="360">
        <f t="shared" si="96"/>
        <v>0</v>
      </c>
      <c r="BQ81" s="360">
        <f t="shared" si="97"/>
        <v>0</v>
      </c>
      <c r="BR81" s="360">
        <f t="shared" si="98"/>
        <v>0</v>
      </c>
      <c r="BS81" s="360">
        <f t="shared" si="99"/>
        <v>0</v>
      </c>
      <c r="BT81" s="360">
        <f t="shared" si="100"/>
        <v>0</v>
      </c>
      <c r="BU81" s="360">
        <f t="shared" si="101"/>
        <v>0</v>
      </c>
      <c r="BV81" s="360">
        <f t="shared" si="102"/>
        <v>0</v>
      </c>
      <c r="BW81" s="362">
        <f t="shared" si="103"/>
        <v>0</v>
      </c>
      <c r="BX81" s="362">
        <f t="shared" si="104"/>
        <v>0</v>
      </c>
      <c r="BY81" s="362">
        <f t="shared" si="105"/>
        <v>0</v>
      </c>
      <c r="BZ81" s="362">
        <f t="shared" si="106"/>
        <v>0</v>
      </c>
      <c r="CA81" s="362">
        <f t="shared" si="107"/>
        <v>0</v>
      </c>
      <c r="CB81" s="362">
        <f t="shared" si="108"/>
        <v>0</v>
      </c>
      <c r="CC81" s="362">
        <f t="shared" si="109"/>
        <v>0</v>
      </c>
      <c r="CD81" s="362">
        <f t="shared" si="110"/>
        <v>0</v>
      </c>
      <c r="CE81" s="362">
        <f t="shared" si="111"/>
        <v>0</v>
      </c>
      <c r="CF81" s="362">
        <f t="shared" si="112"/>
        <v>0</v>
      </c>
      <c r="CG81" s="362">
        <f t="shared" si="113"/>
        <v>0</v>
      </c>
      <c r="CH81" s="362">
        <f t="shared" si="114"/>
        <v>0</v>
      </c>
      <c r="CI81" s="362">
        <f t="shared" si="115"/>
        <v>0</v>
      </c>
      <c r="CJ81" s="362">
        <f t="shared" si="116"/>
        <v>0</v>
      </c>
      <c r="CK81"/>
      <c r="CO81"/>
      <c r="CP81"/>
      <c r="CQ81"/>
      <c r="CR81"/>
      <c r="CS81"/>
      <c r="CT81"/>
      <c r="CU81"/>
      <c r="CV81"/>
      <c r="CW81"/>
      <c r="CX81"/>
      <c r="CY81"/>
      <c r="CZ81"/>
      <c r="DA81"/>
      <c r="DB81"/>
    </row>
    <row r="82" spans="2:134" ht="15" hidden="1" customHeight="1">
      <c r="B82" s="53">
        <f t="shared" si="82"/>
        <v>0</v>
      </c>
      <c r="C82" s="26">
        <v>7</v>
      </c>
      <c r="D82" s="46" t="s">
        <v>23</v>
      </c>
      <c r="E82" s="420">
        <f>'Plant Inputs'!$G82</f>
        <v>0</v>
      </c>
      <c r="F82" s="204" t="str">
        <f>'Plant Inputs'!$H82</f>
        <v>gallon/short ton</v>
      </c>
      <c r="G82" s="160">
        <f t="shared" si="83"/>
        <v>0</v>
      </c>
      <c r="H82" s="204" t="str">
        <f t="shared" si="84"/>
        <v>gallon</v>
      </c>
      <c r="I82" s="160">
        <f t="shared" si="117"/>
        <v>0</v>
      </c>
      <c r="J82" s="177">
        <f t="shared" si="118"/>
        <v>0</v>
      </c>
      <c r="K82"/>
      <c r="L82"/>
      <c r="X82" s="65">
        <f>'Plant Inputs'!$X82</f>
        <v>0</v>
      </c>
      <c r="Y82" s="216">
        <f>IF(AND($X82=1,'Plant Inputs'!$Y82=1),1,0)</f>
        <v>0</v>
      </c>
      <c r="Z82" s="216"/>
      <c r="AA82" s="216"/>
      <c r="AB82" s="216"/>
      <c r="AC82" s="216"/>
      <c r="AD82" s="216"/>
      <c r="AE82" s="216"/>
      <c r="AF82" s="216"/>
      <c r="AG82" s="216"/>
      <c r="AH82" s="216"/>
      <c r="AI82" s="216"/>
      <c r="AJ82" s="216"/>
      <c r="AK82" s="216"/>
      <c r="AL82" s="216"/>
      <c r="AM82" s="1" t="str">
        <f t="shared" si="85"/>
        <v>Gasoline</v>
      </c>
      <c r="AN82" s="403">
        <f t="shared" si="119"/>
        <v>0</v>
      </c>
      <c r="AO82" s="164" t="str">
        <f t="shared" si="120"/>
        <v>gallon</v>
      </c>
      <c r="AP82" s="1">
        <f t="shared" si="86"/>
        <v>0.26417203728418465</v>
      </c>
      <c r="AQ82" s="87" t="str">
        <f t="shared" si="87"/>
        <v>gallon/litre</v>
      </c>
      <c r="AR82">
        <f t="shared" si="88"/>
        <v>0</v>
      </c>
      <c r="AS82" s="87" t="str">
        <f>'CPCI Data'!$W$27</f>
        <v>litre</v>
      </c>
      <c r="AT82">
        <f t="shared" si="121"/>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89"/>
        <v>0</v>
      </c>
      <c r="BJ82" s="360">
        <f t="shared" si="90"/>
        <v>0</v>
      </c>
      <c r="BK82" s="360">
        <f t="shared" si="91"/>
        <v>0</v>
      </c>
      <c r="BL82" s="360">
        <f t="shared" si="92"/>
        <v>0</v>
      </c>
      <c r="BM82" s="360">
        <f t="shared" si="93"/>
        <v>0</v>
      </c>
      <c r="BN82" s="360">
        <f t="shared" si="94"/>
        <v>0</v>
      </c>
      <c r="BO82" s="360">
        <f t="shared" si="95"/>
        <v>0</v>
      </c>
      <c r="BP82" s="360">
        <f t="shared" si="96"/>
        <v>0</v>
      </c>
      <c r="BQ82" s="360">
        <f t="shared" si="97"/>
        <v>0</v>
      </c>
      <c r="BR82" s="360">
        <f t="shared" si="98"/>
        <v>0</v>
      </c>
      <c r="BS82" s="360">
        <f t="shared" si="99"/>
        <v>0</v>
      </c>
      <c r="BT82" s="360">
        <f t="shared" si="100"/>
        <v>0</v>
      </c>
      <c r="BU82" s="360">
        <f t="shared" si="101"/>
        <v>0</v>
      </c>
      <c r="BV82" s="360">
        <f t="shared" si="102"/>
        <v>0</v>
      </c>
      <c r="BW82" s="362">
        <f t="shared" si="103"/>
        <v>0</v>
      </c>
      <c r="BX82" s="362">
        <f t="shared" si="104"/>
        <v>0</v>
      </c>
      <c r="BY82" s="362">
        <f t="shared" si="105"/>
        <v>0</v>
      </c>
      <c r="BZ82" s="362">
        <f t="shared" si="106"/>
        <v>0</v>
      </c>
      <c r="CA82" s="362">
        <f t="shared" si="107"/>
        <v>0</v>
      </c>
      <c r="CB82" s="362">
        <f t="shared" si="108"/>
        <v>0</v>
      </c>
      <c r="CC82" s="362">
        <f t="shared" si="109"/>
        <v>0</v>
      </c>
      <c r="CD82" s="362">
        <f t="shared" si="110"/>
        <v>0</v>
      </c>
      <c r="CE82" s="362">
        <f t="shared" si="111"/>
        <v>0</v>
      </c>
      <c r="CF82" s="362">
        <f t="shared" si="112"/>
        <v>0</v>
      </c>
      <c r="CG82" s="362">
        <f t="shared" si="113"/>
        <v>0</v>
      </c>
      <c r="CH82" s="362">
        <f t="shared" si="114"/>
        <v>0</v>
      </c>
      <c r="CI82" s="362">
        <f t="shared" si="115"/>
        <v>0</v>
      </c>
      <c r="CJ82" s="362">
        <f t="shared" si="116"/>
        <v>0</v>
      </c>
      <c r="CK82"/>
      <c r="CL82"/>
      <c r="CM82"/>
      <c r="CN82"/>
      <c r="CO82"/>
      <c r="CP82"/>
      <c r="CQ82"/>
      <c r="CR82"/>
      <c r="CS82"/>
      <c r="CT82"/>
      <c r="CU82"/>
      <c r="CV82"/>
      <c r="CW82"/>
      <c r="CX82"/>
      <c r="CY82"/>
      <c r="CZ82"/>
      <c r="DA82"/>
      <c r="DB82"/>
    </row>
    <row r="83" spans="2:134" ht="15" hidden="1" customHeight="1">
      <c r="B83" s="53">
        <f t="shared" si="82"/>
        <v>0</v>
      </c>
      <c r="C83" s="26">
        <v>8</v>
      </c>
      <c r="D83" s="46" t="s">
        <v>8</v>
      </c>
      <c r="E83" s="420">
        <f>'Plant Inputs'!$G83</f>
        <v>0</v>
      </c>
      <c r="F83" s="204" t="str">
        <f>'Plant Inputs'!$H83</f>
        <v>ft3/short ton</v>
      </c>
      <c r="G83" s="160">
        <f t="shared" si="83"/>
        <v>0</v>
      </c>
      <c r="H83" s="204" t="str">
        <f t="shared" si="84"/>
        <v>ft3</v>
      </c>
      <c r="I83" s="160">
        <f t="shared" si="117"/>
        <v>0</v>
      </c>
      <c r="J83" s="177">
        <f t="shared" si="118"/>
        <v>0</v>
      </c>
      <c r="K83"/>
      <c r="L83"/>
      <c r="X83" s="65">
        <f>'Plant Inputs'!$X83</f>
        <v>0</v>
      </c>
      <c r="Y83" s="216">
        <f>IF(AND($X83=1,'Plant Inputs'!$Y83=1),1,0)</f>
        <v>0</v>
      </c>
      <c r="Z83" s="216"/>
      <c r="AA83" s="216"/>
      <c r="AB83" s="216"/>
      <c r="AC83" s="216"/>
      <c r="AD83" s="216"/>
      <c r="AE83" s="216"/>
      <c r="AF83" s="216"/>
      <c r="AG83" s="216"/>
      <c r="AH83" s="216"/>
      <c r="AI83" s="216"/>
      <c r="AJ83" s="216"/>
      <c r="AK83" s="216"/>
      <c r="AL83" s="216"/>
      <c r="AM83" s="1" t="str">
        <f t="shared" si="85"/>
        <v>Natural Gas</v>
      </c>
      <c r="AN83" s="403">
        <f t="shared" si="119"/>
        <v>0</v>
      </c>
      <c r="AO83" s="164" t="str">
        <f t="shared" si="120"/>
        <v>ft3</v>
      </c>
      <c r="AP83" s="1">
        <f t="shared" si="86"/>
        <v>35.31467</v>
      </c>
      <c r="AQ83" s="87" t="str">
        <f t="shared" si="87"/>
        <v>ft3/m3</v>
      </c>
      <c r="AR83">
        <f t="shared" si="88"/>
        <v>0</v>
      </c>
      <c r="AS83" s="87" t="str">
        <f>'CPCI Data'!$W$20</f>
        <v>m3</v>
      </c>
      <c r="AT83">
        <f t="shared" si="121"/>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89"/>
        <v>0</v>
      </c>
      <c r="BJ83" s="360">
        <f t="shared" si="90"/>
        <v>0</v>
      </c>
      <c r="BK83" s="360">
        <f t="shared" si="91"/>
        <v>0</v>
      </c>
      <c r="BL83" s="360">
        <f t="shared" si="92"/>
        <v>0</v>
      </c>
      <c r="BM83" s="360">
        <f t="shared" si="93"/>
        <v>0</v>
      </c>
      <c r="BN83" s="360">
        <f t="shared" si="94"/>
        <v>0</v>
      </c>
      <c r="BO83" s="360">
        <f t="shared" si="95"/>
        <v>0</v>
      </c>
      <c r="BP83" s="360">
        <f t="shared" si="96"/>
        <v>0</v>
      </c>
      <c r="BQ83" s="360">
        <f t="shared" si="97"/>
        <v>0</v>
      </c>
      <c r="BR83" s="360">
        <f t="shared" si="98"/>
        <v>0</v>
      </c>
      <c r="BS83" s="360">
        <f t="shared" si="99"/>
        <v>0</v>
      </c>
      <c r="BT83" s="360">
        <f t="shared" si="100"/>
        <v>0</v>
      </c>
      <c r="BU83" s="360">
        <f t="shared" si="101"/>
        <v>0</v>
      </c>
      <c r="BV83" s="360">
        <f t="shared" si="102"/>
        <v>0</v>
      </c>
      <c r="BW83" s="362">
        <f t="shared" si="103"/>
        <v>0</v>
      </c>
      <c r="BX83" s="362">
        <f t="shared" si="104"/>
        <v>0</v>
      </c>
      <c r="BY83" s="362">
        <f t="shared" si="105"/>
        <v>0</v>
      </c>
      <c r="BZ83" s="362">
        <f t="shared" si="106"/>
        <v>0</v>
      </c>
      <c r="CA83" s="362">
        <f t="shared" si="107"/>
        <v>0</v>
      </c>
      <c r="CB83" s="362">
        <f t="shared" si="108"/>
        <v>0</v>
      </c>
      <c r="CC83" s="362">
        <f t="shared" si="109"/>
        <v>0</v>
      </c>
      <c r="CD83" s="362">
        <f t="shared" si="110"/>
        <v>0</v>
      </c>
      <c r="CE83" s="362">
        <f t="shared" si="111"/>
        <v>0</v>
      </c>
      <c r="CF83" s="362">
        <f t="shared" si="112"/>
        <v>0</v>
      </c>
      <c r="CG83" s="362">
        <f t="shared" si="113"/>
        <v>0</v>
      </c>
      <c r="CH83" s="362">
        <f t="shared" si="114"/>
        <v>0</v>
      </c>
      <c r="CI83" s="362">
        <f t="shared" si="115"/>
        <v>0</v>
      </c>
      <c r="CJ83" s="362">
        <f t="shared" si="116"/>
        <v>0</v>
      </c>
      <c r="CK83"/>
      <c r="CL83"/>
      <c r="CM83"/>
      <c r="CN83"/>
      <c r="CO83"/>
      <c r="CP83"/>
      <c r="CQ83"/>
      <c r="CR83"/>
      <c r="CS83"/>
      <c r="CT83"/>
      <c r="CU83"/>
      <c r="CV83"/>
      <c r="CW83"/>
      <c r="CX83"/>
      <c r="CY83"/>
      <c r="CZ83"/>
      <c r="DA83"/>
      <c r="DB83"/>
    </row>
    <row r="84" spans="2:134" ht="15" hidden="1" customHeight="1">
      <c r="B84" s="53">
        <f t="shared" si="82"/>
        <v>0</v>
      </c>
      <c r="C84" s="26">
        <v>9</v>
      </c>
      <c r="D84" s="41" t="s">
        <v>9</v>
      </c>
      <c r="E84" s="420">
        <f>'Plant Inputs'!$G84</f>
        <v>0</v>
      </c>
      <c r="F84" s="204" t="str">
        <f>'Plant Inputs'!$H84</f>
        <v>gallon/short ton</v>
      </c>
      <c r="G84" s="160">
        <f t="shared" si="83"/>
        <v>0</v>
      </c>
      <c r="H84" s="204" t="str">
        <f t="shared" si="84"/>
        <v>gallon</v>
      </c>
      <c r="I84" s="160">
        <f t="shared" si="117"/>
        <v>0</v>
      </c>
      <c r="J84" s="177">
        <f t="shared" si="118"/>
        <v>0</v>
      </c>
      <c r="K84"/>
      <c r="L84"/>
      <c r="X84" s="65">
        <f>'Plant Inputs'!$X84</f>
        <v>0</v>
      </c>
      <c r="Y84" s="216">
        <f>IF(AND($X84=1,'Plant Inputs'!$Y84=1),1,0)</f>
        <v>0</v>
      </c>
      <c r="Z84" s="216"/>
      <c r="AA84" s="216"/>
      <c r="AB84" s="216"/>
      <c r="AC84" s="216"/>
      <c r="AD84" s="216"/>
      <c r="AE84" s="216"/>
      <c r="AF84" s="216"/>
      <c r="AG84" s="216"/>
      <c r="AH84" s="216"/>
      <c r="AI84" s="216"/>
      <c r="AJ84" s="216"/>
      <c r="AK84" s="216"/>
      <c r="AL84" s="216"/>
      <c r="AM84" s="1" t="str">
        <f t="shared" si="85"/>
        <v>Diesel</v>
      </c>
      <c r="AN84" s="403">
        <f t="shared" si="119"/>
        <v>0</v>
      </c>
      <c r="AO84" s="164" t="str">
        <f t="shared" si="120"/>
        <v>gallon</v>
      </c>
      <c r="AP84" s="1">
        <f t="shared" si="86"/>
        <v>0.26417203728418465</v>
      </c>
      <c r="AQ84" s="87" t="str">
        <f t="shared" si="87"/>
        <v>gallon/litre</v>
      </c>
      <c r="AR84">
        <f t="shared" si="88"/>
        <v>0</v>
      </c>
      <c r="AS84" s="87" t="str">
        <f>'CPCI Data'!$W$27</f>
        <v>litre</v>
      </c>
      <c r="AT84">
        <f t="shared" si="121"/>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89"/>
        <v>0</v>
      </c>
      <c r="BJ84" s="360">
        <f t="shared" si="90"/>
        <v>0</v>
      </c>
      <c r="BK84" s="360">
        <f t="shared" si="91"/>
        <v>0</v>
      </c>
      <c r="BL84" s="360">
        <f t="shared" si="92"/>
        <v>0</v>
      </c>
      <c r="BM84" s="360">
        <f t="shared" si="93"/>
        <v>0</v>
      </c>
      <c r="BN84" s="360">
        <f t="shared" si="94"/>
        <v>0</v>
      </c>
      <c r="BO84" s="360">
        <f t="shared" si="95"/>
        <v>0</v>
      </c>
      <c r="BP84" s="360">
        <f t="shared" si="96"/>
        <v>0</v>
      </c>
      <c r="BQ84" s="360">
        <f t="shared" si="97"/>
        <v>0</v>
      </c>
      <c r="BR84" s="360">
        <f t="shared" si="98"/>
        <v>0</v>
      </c>
      <c r="BS84" s="360">
        <f t="shared" si="99"/>
        <v>0</v>
      </c>
      <c r="BT84" s="360">
        <f t="shared" si="100"/>
        <v>0</v>
      </c>
      <c r="BU84" s="360">
        <f t="shared" si="101"/>
        <v>0</v>
      </c>
      <c r="BV84" s="360">
        <f t="shared" si="102"/>
        <v>0</v>
      </c>
      <c r="BW84" s="362">
        <f t="shared" si="103"/>
        <v>0</v>
      </c>
      <c r="BX84" s="362">
        <f t="shared" si="104"/>
        <v>0</v>
      </c>
      <c r="BY84" s="362">
        <f t="shared" si="105"/>
        <v>0</v>
      </c>
      <c r="BZ84" s="362">
        <f t="shared" si="106"/>
        <v>0</v>
      </c>
      <c r="CA84" s="362">
        <f t="shared" si="107"/>
        <v>0</v>
      </c>
      <c r="CB84" s="362">
        <f t="shared" si="108"/>
        <v>0</v>
      </c>
      <c r="CC84" s="362">
        <f t="shared" si="109"/>
        <v>0</v>
      </c>
      <c r="CD84" s="362">
        <f t="shared" si="110"/>
        <v>0</v>
      </c>
      <c r="CE84" s="362">
        <f t="shared" si="111"/>
        <v>0</v>
      </c>
      <c r="CF84" s="362">
        <f t="shared" si="112"/>
        <v>0</v>
      </c>
      <c r="CG84" s="362">
        <f t="shared" si="113"/>
        <v>0</v>
      </c>
      <c r="CH84" s="362">
        <f t="shared" si="114"/>
        <v>0</v>
      </c>
      <c r="CI84" s="362">
        <f t="shared" si="115"/>
        <v>0</v>
      </c>
      <c r="CJ84" s="362">
        <f t="shared" si="116"/>
        <v>0</v>
      </c>
      <c r="CK84"/>
      <c r="CL84"/>
      <c r="CM84"/>
      <c r="CN84"/>
      <c r="CO84"/>
      <c r="CP84"/>
      <c r="CQ84"/>
      <c r="CR84"/>
      <c r="CS84"/>
      <c r="CT84"/>
      <c r="CU84"/>
      <c r="CV84"/>
      <c r="CW84"/>
      <c r="CX84"/>
      <c r="CY84"/>
      <c r="CZ84"/>
      <c r="DA84"/>
      <c r="DB84"/>
    </row>
    <row r="85" spans="2:134" ht="15" hidden="1" customHeight="1">
      <c r="B85" s="53">
        <f t="shared" si="82"/>
        <v>0</v>
      </c>
      <c r="C85" s="26">
        <v>10</v>
      </c>
      <c r="D85" s="41" t="s">
        <v>118</v>
      </c>
      <c r="E85" s="420">
        <f>'Plant Inputs'!$G85</f>
        <v>0</v>
      </c>
      <c r="F85" s="204" t="str">
        <f>'Plant Inputs'!$H85</f>
        <v>gallon/short ton</v>
      </c>
      <c r="G85" s="160">
        <f t="shared" si="83"/>
        <v>0</v>
      </c>
      <c r="H85" s="204" t="str">
        <f t="shared" si="84"/>
        <v>gallon</v>
      </c>
      <c r="I85" s="160">
        <f t="shared" si="117"/>
        <v>0</v>
      </c>
      <c r="J85" s="177">
        <f t="shared" si="118"/>
        <v>0</v>
      </c>
      <c r="K85"/>
      <c r="L85"/>
      <c r="M85" s="12"/>
      <c r="N85" s="12"/>
      <c r="O85" s="12"/>
      <c r="P85" s="12"/>
      <c r="Q85" s="12"/>
      <c r="R85" s="12"/>
      <c r="S85" s="12"/>
      <c r="X85" s="65">
        <f>'Plant Inputs'!$X85</f>
        <v>0</v>
      </c>
      <c r="Y85" s="216">
        <f>IF(AND($X85=1,'Plant Inputs'!$Y85=1),1,0)</f>
        <v>0</v>
      </c>
      <c r="Z85" s="216"/>
      <c r="AA85" s="216"/>
      <c r="AB85" s="216"/>
      <c r="AC85" s="216"/>
      <c r="AD85" s="216"/>
      <c r="AE85" s="216"/>
      <c r="AF85" s="216"/>
      <c r="AG85" s="216"/>
      <c r="AH85" s="216"/>
      <c r="AI85" s="216"/>
      <c r="AJ85" s="216"/>
      <c r="AK85" s="216"/>
      <c r="AL85" s="216"/>
      <c r="AM85" s="1" t="str">
        <f t="shared" si="85"/>
        <v>Heavy Fuel Oil</v>
      </c>
      <c r="AN85" s="403">
        <f t="shared" si="119"/>
        <v>0</v>
      </c>
      <c r="AO85" s="164" t="str">
        <f t="shared" si="120"/>
        <v>gallon</v>
      </c>
      <c r="AP85" s="1">
        <f t="shared" si="86"/>
        <v>0.26417203728418465</v>
      </c>
      <c r="AQ85" s="87" t="str">
        <f t="shared" si="87"/>
        <v>gallon/litre</v>
      </c>
      <c r="AR85">
        <f t="shared" si="88"/>
        <v>0</v>
      </c>
      <c r="AS85" s="87" t="str">
        <f>'CPCI Data'!$W$27</f>
        <v>litre</v>
      </c>
      <c r="AT85">
        <f t="shared" si="121"/>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89"/>
        <v>0</v>
      </c>
      <c r="BJ85" s="360">
        <f t="shared" si="90"/>
        <v>0</v>
      </c>
      <c r="BK85" s="360">
        <f t="shared" si="91"/>
        <v>0</v>
      </c>
      <c r="BL85" s="360">
        <f t="shared" si="92"/>
        <v>0</v>
      </c>
      <c r="BM85" s="360">
        <f t="shared" si="93"/>
        <v>0</v>
      </c>
      <c r="BN85" s="360">
        <f t="shared" si="94"/>
        <v>0</v>
      </c>
      <c r="BO85" s="360">
        <f t="shared" si="95"/>
        <v>0</v>
      </c>
      <c r="BP85" s="360">
        <f t="shared" si="96"/>
        <v>0</v>
      </c>
      <c r="BQ85" s="360">
        <f t="shared" si="97"/>
        <v>0</v>
      </c>
      <c r="BR85" s="360">
        <f t="shared" si="98"/>
        <v>0</v>
      </c>
      <c r="BS85" s="360">
        <f t="shared" si="99"/>
        <v>0</v>
      </c>
      <c r="BT85" s="360">
        <f t="shared" si="100"/>
        <v>0</v>
      </c>
      <c r="BU85" s="360">
        <f t="shared" si="101"/>
        <v>0</v>
      </c>
      <c r="BV85" s="360">
        <f t="shared" si="102"/>
        <v>0</v>
      </c>
      <c r="BW85" s="362">
        <f t="shared" si="103"/>
        <v>0</v>
      </c>
      <c r="BX85" s="362">
        <f t="shared" si="104"/>
        <v>0</v>
      </c>
      <c r="BY85" s="362">
        <f t="shared" si="105"/>
        <v>0</v>
      </c>
      <c r="BZ85" s="362">
        <f t="shared" si="106"/>
        <v>0</v>
      </c>
      <c r="CA85" s="362">
        <f t="shared" si="107"/>
        <v>0</v>
      </c>
      <c r="CB85" s="362">
        <f t="shared" si="108"/>
        <v>0</v>
      </c>
      <c r="CC85" s="362">
        <f t="shared" si="109"/>
        <v>0</v>
      </c>
      <c r="CD85" s="362">
        <f t="shared" si="110"/>
        <v>0</v>
      </c>
      <c r="CE85" s="362">
        <f t="shared" si="111"/>
        <v>0</v>
      </c>
      <c r="CF85" s="362">
        <f t="shared" si="112"/>
        <v>0</v>
      </c>
      <c r="CG85" s="362">
        <f t="shared" si="113"/>
        <v>0</v>
      </c>
      <c r="CH85" s="362">
        <f t="shared" si="114"/>
        <v>0</v>
      </c>
      <c r="CI85" s="362">
        <f t="shared" si="115"/>
        <v>0</v>
      </c>
      <c r="CJ85" s="362">
        <f t="shared" si="116"/>
        <v>0</v>
      </c>
      <c r="CK85"/>
      <c r="CO85"/>
      <c r="CP85"/>
      <c r="CQ85"/>
      <c r="CR85"/>
      <c r="CS85"/>
      <c r="CT85"/>
      <c r="CU85"/>
      <c r="CV85"/>
      <c r="CW85"/>
      <c r="CX85"/>
      <c r="CY85"/>
      <c r="CZ85"/>
      <c r="DA85"/>
      <c r="DB85"/>
    </row>
    <row r="86" spans="2:134" ht="15" hidden="1" customHeight="1" thickBot="1">
      <c r="B86" s="53">
        <f t="shared" si="82"/>
        <v>0</v>
      </c>
      <c r="C86" s="32">
        <v>11</v>
      </c>
      <c r="D86" s="47" t="s">
        <v>263</v>
      </c>
      <c r="E86" s="421">
        <f>'Plant Inputs'!$G86</f>
        <v>0</v>
      </c>
      <c r="F86" s="227" t="str">
        <f>'Plant Inputs'!$H86</f>
        <v>gallon/short ton</v>
      </c>
      <c r="G86" s="163">
        <f t="shared" si="83"/>
        <v>0</v>
      </c>
      <c r="H86" s="204" t="str">
        <f t="shared" si="84"/>
        <v>gallon</v>
      </c>
      <c r="I86" s="160">
        <f t="shared" si="117"/>
        <v>0</v>
      </c>
      <c r="J86" s="177">
        <f t="shared" si="118"/>
        <v>0</v>
      </c>
      <c r="K86"/>
      <c r="L86"/>
      <c r="X86" s="65">
        <f>'Plant Inputs'!$X86</f>
        <v>0</v>
      </c>
      <c r="Y86" s="216">
        <f>IF(AND($X86=1,'Plant Inputs'!$Y86=1),1,0)</f>
        <v>0</v>
      </c>
      <c r="Z86" s="216"/>
      <c r="AA86" s="216"/>
      <c r="AB86" s="216"/>
      <c r="AC86" s="216"/>
      <c r="AD86" s="216"/>
      <c r="AE86" s="216"/>
      <c r="AF86" s="216"/>
      <c r="AG86" s="216"/>
      <c r="AH86" s="216"/>
      <c r="AI86" s="216"/>
      <c r="AJ86" s="216"/>
      <c r="AK86" s="216"/>
      <c r="AL86" s="216"/>
      <c r="AM86" s="1" t="str">
        <f t="shared" si="85"/>
        <v>LPG (Liquified Propane Gas)</v>
      </c>
      <c r="AN86" s="403">
        <f t="shared" si="119"/>
        <v>0</v>
      </c>
      <c r="AO86" s="164" t="str">
        <f t="shared" si="120"/>
        <v>gallon</v>
      </c>
      <c r="AP86" s="1">
        <f t="shared" si="86"/>
        <v>0.26417203728418465</v>
      </c>
      <c r="AQ86" s="87" t="str">
        <f t="shared" si="87"/>
        <v>gallon/litre</v>
      </c>
      <c r="AR86">
        <f t="shared" si="88"/>
        <v>0</v>
      </c>
      <c r="AS86" s="87" t="str">
        <f>'CPCI Data'!$W$27</f>
        <v>litre</v>
      </c>
      <c r="AT86">
        <f t="shared" si="121"/>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89"/>
        <v>0</v>
      </c>
      <c r="BJ86" s="360">
        <f t="shared" si="90"/>
        <v>0</v>
      </c>
      <c r="BK86" s="360">
        <f t="shared" si="91"/>
        <v>0</v>
      </c>
      <c r="BL86" s="360">
        <f t="shared" si="92"/>
        <v>0</v>
      </c>
      <c r="BM86" s="360">
        <f t="shared" si="93"/>
        <v>0</v>
      </c>
      <c r="BN86" s="360">
        <f t="shared" si="94"/>
        <v>0</v>
      </c>
      <c r="BO86" s="360">
        <f t="shared" si="95"/>
        <v>0</v>
      </c>
      <c r="BP86" s="360">
        <f t="shared" si="96"/>
        <v>0</v>
      </c>
      <c r="BQ86" s="360">
        <f t="shared" si="97"/>
        <v>0</v>
      </c>
      <c r="BR86" s="360">
        <f t="shared" si="98"/>
        <v>0</v>
      </c>
      <c r="BS86" s="360">
        <f t="shared" si="99"/>
        <v>0</v>
      </c>
      <c r="BT86" s="360">
        <f t="shared" si="100"/>
        <v>0</v>
      </c>
      <c r="BU86" s="360">
        <f t="shared" si="101"/>
        <v>0</v>
      </c>
      <c r="BV86" s="360">
        <f t="shared" si="102"/>
        <v>0</v>
      </c>
      <c r="BW86" s="362">
        <f t="shared" si="103"/>
        <v>0</v>
      </c>
      <c r="BX86" s="362">
        <f t="shared" si="104"/>
        <v>0</v>
      </c>
      <c r="BY86" s="362">
        <f t="shared" si="105"/>
        <v>0</v>
      </c>
      <c r="BZ86" s="362">
        <f t="shared" si="106"/>
        <v>0</v>
      </c>
      <c r="CA86" s="362">
        <f t="shared" si="107"/>
        <v>0</v>
      </c>
      <c r="CB86" s="362">
        <f t="shared" si="108"/>
        <v>0</v>
      </c>
      <c r="CC86" s="362">
        <f t="shared" si="109"/>
        <v>0</v>
      </c>
      <c r="CD86" s="362">
        <f t="shared" si="110"/>
        <v>0</v>
      </c>
      <c r="CE86" s="362">
        <f t="shared" si="111"/>
        <v>0</v>
      </c>
      <c r="CF86" s="362">
        <f t="shared" si="112"/>
        <v>0</v>
      </c>
      <c r="CG86" s="362">
        <f t="shared" si="113"/>
        <v>0</v>
      </c>
      <c r="CH86" s="362">
        <f t="shared" si="114"/>
        <v>0</v>
      </c>
      <c r="CI86" s="362">
        <f t="shared" si="115"/>
        <v>0</v>
      </c>
      <c r="CJ86" s="362">
        <f t="shared" si="116"/>
        <v>0</v>
      </c>
      <c r="CK86"/>
      <c r="CL86"/>
      <c r="CM86"/>
      <c r="CN86"/>
      <c r="CO86"/>
      <c r="CP86"/>
      <c r="CQ86"/>
      <c r="CR86"/>
      <c r="CS86"/>
      <c r="CT86"/>
      <c r="CU86"/>
      <c r="CV86"/>
      <c r="CW86"/>
      <c r="CX86"/>
      <c r="CY86"/>
      <c r="CZ86"/>
      <c r="DA86"/>
      <c r="DB86"/>
    </row>
    <row r="87" spans="2:134" ht="15" hidden="1" customHeight="1" thickBot="1">
      <c r="H87" s="45" t="s">
        <v>19</v>
      </c>
      <c r="I87" s="163">
        <f t="shared" si="117"/>
        <v>0</v>
      </c>
      <c r="J87" s="178">
        <f t="shared" si="118"/>
        <v>0</v>
      </c>
      <c r="K87"/>
      <c r="L87"/>
      <c r="AR87" t="s">
        <v>133</v>
      </c>
      <c r="AU87" s="358">
        <f>SUM(AU76:AU86)</f>
        <v>0</v>
      </c>
      <c r="AV87" s="358">
        <f t="shared" ref="AV87:AZ87" si="122">SUM(AV76:AV86)</f>
        <v>0</v>
      </c>
      <c r="AW87" s="358">
        <f t="shared" si="122"/>
        <v>0</v>
      </c>
      <c r="AX87" s="358">
        <f t="shared" si="122"/>
        <v>0</v>
      </c>
      <c r="AY87" s="358">
        <f t="shared" si="122"/>
        <v>0</v>
      </c>
      <c r="AZ87" s="358">
        <f t="shared" si="122"/>
        <v>0</v>
      </c>
      <c r="BA87" s="358">
        <f>SUM(BA76:BA86)</f>
        <v>0</v>
      </c>
      <c r="BB87" s="358">
        <f t="shared" ref="BB87" si="123">SUM(BB76:BB86)</f>
        <v>0</v>
      </c>
      <c r="BC87" s="358">
        <f t="shared" ref="BC87" si="124">SUM(BC76:BC86)</f>
        <v>0</v>
      </c>
      <c r="BD87" s="358">
        <f t="shared" ref="BD87" si="125">SUM(BD76:BD86)</f>
        <v>0</v>
      </c>
      <c r="BE87" s="358">
        <f t="shared" ref="BE87:BG87" si="126">SUM(BE76:BE86)</f>
        <v>0</v>
      </c>
      <c r="BF87" s="358">
        <f t="shared" si="126"/>
        <v>0</v>
      </c>
      <c r="BG87" s="358">
        <f t="shared" si="126"/>
        <v>0</v>
      </c>
      <c r="BH87" s="358">
        <f t="shared" ref="BH87" si="127">SUM(BH76:BH86)</f>
        <v>0</v>
      </c>
      <c r="BI87" s="360">
        <f t="shared" si="89"/>
        <v>0</v>
      </c>
      <c r="BJ87" s="360">
        <f t="shared" si="90"/>
        <v>0</v>
      </c>
      <c r="BK87" s="360">
        <f t="shared" si="91"/>
        <v>0</v>
      </c>
      <c r="BL87" s="360">
        <f t="shared" si="92"/>
        <v>0</v>
      </c>
      <c r="BM87" s="360">
        <f t="shared" si="93"/>
        <v>0</v>
      </c>
      <c r="BN87" s="360">
        <f t="shared" si="94"/>
        <v>0</v>
      </c>
      <c r="BO87" s="360">
        <f t="shared" si="95"/>
        <v>0</v>
      </c>
      <c r="BP87" s="360">
        <f t="shared" si="96"/>
        <v>0</v>
      </c>
      <c r="BQ87" s="360">
        <f t="shared" si="97"/>
        <v>0</v>
      </c>
      <c r="BR87" s="360">
        <f t="shared" si="98"/>
        <v>0</v>
      </c>
      <c r="BS87" s="360">
        <f t="shared" si="99"/>
        <v>0</v>
      </c>
      <c r="BT87" s="360">
        <f t="shared" si="100"/>
        <v>0</v>
      </c>
      <c r="BU87" s="360">
        <f t="shared" si="101"/>
        <v>0</v>
      </c>
      <c r="BV87" s="360">
        <f t="shared" si="102"/>
        <v>0</v>
      </c>
      <c r="BW87" s="362">
        <f t="shared" si="103"/>
        <v>0</v>
      </c>
      <c r="BX87" s="362">
        <f t="shared" si="104"/>
        <v>0</v>
      </c>
      <c r="BY87" s="362">
        <f t="shared" si="105"/>
        <v>0</v>
      </c>
      <c r="BZ87" s="362">
        <f t="shared" si="106"/>
        <v>0</v>
      </c>
      <c r="CA87" s="362">
        <f t="shared" si="107"/>
        <v>0</v>
      </c>
      <c r="CB87" s="362">
        <f t="shared" si="108"/>
        <v>0</v>
      </c>
      <c r="CC87" s="362">
        <f t="shared" si="109"/>
        <v>0</v>
      </c>
      <c r="CD87" s="362">
        <f t="shared" si="110"/>
        <v>0</v>
      </c>
      <c r="CE87" s="362">
        <f t="shared" si="111"/>
        <v>0</v>
      </c>
      <c r="CF87" s="362">
        <f t="shared" si="112"/>
        <v>0</v>
      </c>
      <c r="CG87" s="362">
        <f t="shared" si="113"/>
        <v>0</v>
      </c>
      <c r="CH87" s="362">
        <f t="shared" si="114"/>
        <v>0</v>
      </c>
      <c r="CI87" s="362">
        <f t="shared" si="115"/>
        <v>0</v>
      </c>
      <c r="CJ87" s="362">
        <f t="shared" si="116"/>
        <v>0</v>
      </c>
      <c r="CK87"/>
      <c r="CL87"/>
      <c r="CM87"/>
      <c r="CN87"/>
      <c r="CO87"/>
      <c r="CP87"/>
      <c r="CQ87"/>
      <c r="CR87"/>
      <c r="CS87"/>
      <c r="CT87"/>
      <c r="CU87"/>
      <c r="CV87"/>
      <c r="CW87"/>
      <c r="CX87"/>
      <c r="CY87"/>
      <c r="CZ87"/>
      <c r="DA87"/>
      <c r="DB87"/>
    </row>
    <row r="88" spans="2:134" ht="15" hidden="1" customHeight="1">
      <c r="J88" s="55"/>
      <c r="K88" s="55"/>
      <c r="L88" s="55"/>
      <c r="M88" s="72"/>
      <c r="N88" s="72"/>
      <c r="O88" s="72"/>
      <c r="P88" s="72"/>
      <c r="Q88" s="72"/>
      <c r="R88" s="72"/>
      <c r="S88" s="72"/>
      <c r="T88" s="76"/>
    </row>
    <row r="89" spans="2:134" ht="15" hidden="1" customHeight="1">
      <c r="T89" s="76"/>
    </row>
    <row r="90" spans="2:134" hidden="1">
      <c r="I90" s="3"/>
      <c r="J90" s="3"/>
      <c r="L90" s="13"/>
      <c r="O90" s="75"/>
      <c r="P90"/>
      <c r="Q90"/>
      <c r="R90"/>
      <c r="S90"/>
      <c r="T90"/>
      <c r="AN90" s="1"/>
      <c r="AO90" s="1"/>
      <c r="AP90" s="1"/>
      <c r="BM90" s="1" t="s">
        <v>336</v>
      </c>
      <c r="BN90" s="87">
        <v>1</v>
      </c>
      <c r="BV90"/>
      <c r="BW90"/>
      <c r="BX90"/>
      <c r="BY90"/>
      <c r="BZ90"/>
      <c r="CA90"/>
      <c r="CB90"/>
      <c r="CC90"/>
      <c r="CD90"/>
      <c r="CE90"/>
      <c r="CF90"/>
      <c r="CG90"/>
      <c r="CH90"/>
      <c r="CI90"/>
      <c r="CJ90"/>
      <c r="CK90"/>
    </row>
    <row r="91" spans="2:134" ht="16" hidden="1" thickBot="1">
      <c r="O91" s="76"/>
      <c r="P91"/>
      <c r="Q91"/>
      <c r="R91"/>
      <c r="S91"/>
      <c r="T91"/>
      <c r="AN91" s="1"/>
      <c r="AO91" s="1"/>
      <c r="AP91" s="1"/>
      <c r="BV91"/>
      <c r="BW91"/>
      <c r="BX91"/>
      <c r="BY91"/>
      <c r="BZ91"/>
      <c r="CA91"/>
      <c r="CB91"/>
      <c r="CC91"/>
      <c r="CD91"/>
      <c r="CE91"/>
      <c r="CF91"/>
    </row>
    <row r="92" spans="2:134" ht="21" hidden="1" thickBot="1">
      <c r="C92" s="16" t="s">
        <v>483</v>
      </c>
      <c r="D92" s="17"/>
      <c r="E92" s="17"/>
      <c r="F92" s="17"/>
      <c r="G92" s="70"/>
      <c r="H92" s="70"/>
      <c r="I92" s="70"/>
      <c r="J92"/>
      <c r="K92"/>
      <c r="L92"/>
      <c r="M92"/>
      <c r="N92"/>
      <c r="O92" s="12"/>
      <c r="P92"/>
      <c r="Q92"/>
      <c r="R92"/>
      <c r="S92"/>
      <c r="T9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5.75" hidden="1" customHeight="1" thickBot="1">
      <c r="C93" s="73" t="s">
        <v>747</v>
      </c>
      <c r="D93" s="74"/>
      <c r="E93" s="74"/>
      <c r="F93" s="74"/>
      <c r="G93" s="74"/>
      <c r="H93" s="307"/>
      <c r="I93" s="596"/>
      <c r="J93"/>
      <c r="K93"/>
      <c r="L93"/>
      <c r="M93"/>
      <c r="N93"/>
      <c r="O93" s="12"/>
      <c r="P93"/>
      <c r="Q93"/>
      <c r="R93"/>
      <c r="S93"/>
      <c r="T93"/>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hidden="1" customHeight="1">
      <c r="C94" s="599"/>
      <c r="D94" s="600"/>
      <c r="E94" s="600"/>
      <c r="F94" s="600"/>
      <c r="G94" s="600"/>
      <c r="H94" s="600"/>
      <c r="I94" s="597"/>
      <c r="J94"/>
      <c r="K94"/>
      <c r="L94"/>
      <c r="M94"/>
      <c r="N94"/>
      <c r="O94" s="12"/>
      <c r="P94"/>
      <c r="Q94"/>
      <c r="R94"/>
      <c r="S94"/>
      <c r="T94"/>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15.75" hidden="1" customHeight="1">
      <c r="C95" s="601"/>
      <c r="D95" s="602"/>
      <c r="E95" s="602"/>
      <c r="F95" s="602"/>
      <c r="G95" s="602"/>
      <c r="H95" s="602"/>
      <c r="I95" s="597"/>
      <c r="J95"/>
      <c r="K95"/>
      <c r="L95"/>
      <c r="M95"/>
      <c r="N95"/>
      <c r="O95" s="12"/>
      <c r="P95"/>
      <c r="Q95"/>
      <c r="R95"/>
      <c r="S95"/>
      <c r="T95"/>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ht="33.75" hidden="1" customHeight="1">
      <c r="C96" s="23" t="s">
        <v>2</v>
      </c>
      <c r="D96" s="24" t="s">
        <v>482</v>
      </c>
      <c r="E96" s="402" t="s">
        <v>116</v>
      </c>
      <c r="F96" s="304" t="s">
        <v>6</v>
      </c>
      <c r="G96" s="431" t="str">
        <f>"Waste for
Project #"&amp;$Y$2</f>
        <v>Waste for
Project #A</v>
      </c>
      <c r="H96" s="25" t="s">
        <v>6</v>
      </c>
      <c r="I96" s="598" t="s">
        <v>240</v>
      </c>
      <c r="J96"/>
      <c r="K96"/>
      <c r="L96"/>
      <c r="M96"/>
      <c r="N96"/>
      <c r="O96" s="12"/>
      <c r="P96"/>
      <c r="Q96"/>
      <c r="R96"/>
      <c r="S96"/>
      <c r="T96"/>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hidden="1">
      <c r="B97" s="53">
        <f t="shared" ref="B97:B102" si="128">X97</f>
        <v>0</v>
      </c>
      <c r="C97" s="26">
        <f t="shared" ref="C97:C102" si="129">ROW($C97)-ROW($C$97)+1</f>
        <v>1</v>
      </c>
      <c r="D97" s="41" t="s">
        <v>647</v>
      </c>
      <c r="E97" s="594">
        <f>IF('Plant Inputs'!$AT$22=0,0,'Plant Inputs'!$AV97/'Plant Inputs'!$AT$22)</f>
        <v>0</v>
      </c>
      <c r="F97" s="213" t="str">
        <f t="shared" ref="F97:F102" si="130">MassDisplayUnit&amp;"/"&amp;MassDisplayUnit</f>
        <v>short ton/short ton</v>
      </c>
      <c r="G97" s="158">
        <f>$E97*$AT$18</f>
        <v>0</v>
      </c>
      <c r="H97" s="204" t="str">
        <f t="shared" ref="H97:H102" si="131">MassDisplayUnit</f>
        <v>short ton</v>
      </c>
      <c r="I97" s="156">
        <f t="shared" ref="I97" si="132">IF($G$68=0,0,G97/$G$68)</f>
        <v>0</v>
      </c>
      <c r="J97"/>
      <c r="K97"/>
      <c r="L97"/>
      <c r="M97"/>
      <c r="N97"/>
      <c r="O97" s="12"/>
      <c r="P97"/>
      <c r="Q97"/>
      <c r="R97"/>
      <c r="S97"/>
      <c r="T97"/>
      <c r="X97" s="65">
        <f>'Plant Inputs'!$X97</f>
        <v>0</v>
      </c>
      <c r="Y97" s="216">
        <f>IF(AND($X97=2,'Plant Inputs'!$Y97=1),1,0)</f>
        <v>0</v>
      </c>
      <c r="Z97" s="216">
        <v>2</v>
      </c>
      <c r="AA97" s="216">
        <f>IF($Y97=0,0,IF('Plant Inputs'!J97="",0,'Plant Inputs'!J97))</f>
        <v>0</v>
      </c>
      <c r="AB97" s="216">
        <f>IF($Y97=0,0,IF('Plant Inputs'!K97="",0,'Plant Inputs'!K97))</f>
        <v>0</v>
      </c>
      <c r="AC97" s="216">
        <f>IF($Y97=0,0,IF('Plant Inputs'!L97="",0,'Plant Inputs'!L97))</f>
        <v>0</v>
      </c>
      <c r="AD97" s="216">
        <f>IF($Y97=0,0,IF('Plant Inputs'!M97="",0,'Plant Inputs'!M97))</f>
        <v>0</v>
      </c>
      <c r="AE97" s="217" t="str">
        <f>'Plant Inputs'!$N97</f>
        <v>mile</v>
      </c>
      <c r="AF97" s="217">
        <f t="shared" ref="AF97:AF102" si="133">INDEX(Conversion_Table,MATCH($AE97,Conversion_Rows,0),MATCH($AG$27,Conversion_Columns,0))</f>
        <v>1.6093473468862911</v>
      </c>
      <c r="AG97" s="216" t="str">
        <f t="shared" ref="AG97:AG102" si="134">$AG$27&amp;"/"&amp;$AE97</f>
        <v>km/mile</v>
      </c>
      <c r="AH97" s="216">
        <f t="shared" ref="AH97:AK100" si="135">AA97*$AF97</f>
        <v>0</v>
      </c>
      <c r="AI97" s="216">
        <f t="shared" si="135"/>
        <v>0</v>
      </c>
      <c r="AJ97" s="216">
        <f t="shared" si="135"/>
        <v>0</v>
      </c>
      <c r="AK97" s="216">
        <f t="shared" si="135"/>
        <v>0</v>
      </c>
      <c r="AL97" s="216"/>
      <c r="AM97" s="1" t="str">
        <f t="shared" ref="AM97:AM102" si="136">D97</f>
        <v>Hazardous Waste to Landfill</v>
      </c>
      <c r="AN97" t="s">
        <v>127</v>
      </c>
      <c r="AO97">
        <f t="shared" ref="AO97:AO102" si="137">VLOOKUP(AM97,Material_Densities,2,FALSE)</f>
        <v>0</v>
      </c>
      <c r="AP97" s="1">
        <f>IF($G97="",0,$G97)</f>
        <v>0</v>
      </c>
      <c r="AQ97" s="164" t="str">
        <f>H97</f>
        <v>short ton</v>
      </c>
      <c r="AR97" s="1">
        <f t="shared" ref="AR97:AR102" si="138">IFERROR(IF($AN97="M",INDEX(Conversion_Table,MATCH($AQ97,Conversion_Rows,0),MATCH($AT$29,Conversion_Columns,0)),IF($AN97="V",INDEX(Conversion_Table,MATCH($AQ97,Conversion_Rows,0),MATCH("m3",Conversion_Columns,0))*$AO97)),NA())</f>
        <v>0.90718499588591606</v>
      </c>
      <c r="AS97" s="87" t="str">
        <f>$AT$96&amp;"/"&amp;AQ97</f>
        <v>tonne/short ton</v>
      </c>
      <c r="AT97" s="87">
        <f t="shared" ref="AT97:AT102" si="139">AP97*AR97</f>
        <v>0</v>
      </c>
      <c r="AU97" s="87">
        <f t="shared" ref="AU97:AU102" si="140">INDEX(Conversion_Table,MATCH($AT$29,Conversion_Rows,0),MATCH($AU$29,Conversion_Columns,0))*AT97</f>
        <v>0</v>
      </c>
      <c r="AV97" s="87">
        <f t="shared" ref="AV97:AV102" si="141">$AT97*INDEX(Conversion_Table,MATCH($AT$96,Conversion_Rows,0),MATCH($AV$96,Conversion_Columns,0))</f>
        <v>0</v>
      </c>
      <c r="AW97" s="1" t="str">
        <f t="shared" ref="AW97:AW102" si="142">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143">BM97+CA97+CO97+DC97</f>
        <v>0</v>
      </c>
      <c r="DR97">
        <f t="shared" si="143"/>
        <v>0</v>
      </c>
      <c r="DS97">
        <f t="shared" si="143"/>
        <v>0</v>
      </c>
      <c r="DT97">
        <f t="shared" si="143"/>
        <v>0</v>
      </c>
      <c r="DU97">
        <f t="shared" si="143"/>
        <v>0</v>
      </c>
      <c r="DV97">
        <f t="shared" si="143"/>
        <v>0</v>
      </c>
      <c r="DW97">
        <f t="shared" si="143"/>
        <v>0</v>
      </c>
      <c r="DX97">
        <f t="shared" si="143"/>
        <v>0</v>
      </c>
      <c r="DY97">
        <f t="shared" si="143"/>
        <v>0</v>
      </c>
      <c r="DZ97">
        <f t="shared" si="143"/>
        <v>0</v>
      </c>
      <c r="EA97">
        <f t="shared" si="143"/>
        <v>0</v>
      </c>
      <c r="EB97"/>
      <c r="EC97"/>
      <c r="ED97">
        <f t="shared" ref="ED97:ED102" si="144">BZ97+CN97+DB97+DP97</f>
        <v>0</v>
      </c>
    </row>
    <row r="98" spans="2:134" hidden="1">
      <c r="B98" s="53">
        <f t="shared" si="128"/>
        <v>0</v>
      </c>
      <c r="C98" s="26">
        <f t="shared" si="129"/>
        <v>2</v>
      </c>
      <c r="D98" s="41" t="s">
        <v>648</v>
      </c>
      <c r="E98" s="594">
        <f>IF('Plant Inputs'!$AT$22=0,0,'Plant Inputs'!$AV98/'Plant Inputs'!$AT$22)</f>
        <v>0</v>
      </c>
      <c r="F98" s="213" t="str">
        <f t="shared" si="130"/>
        <v>short ton/short ton</v>
      </c>
      <c r="G98" s="158">
        <f t="shared" ref="G98:G102" si="145">$E98*$AT$18</f>
        <v>0</v>
      </c>
      <c r="H98" s="204" t="str">
        <f t="shared" si="131"/>
        <v>short ton</v>
      </c>
      <c r="I98" s="156">
        <f>IF($G$68=0,0,G98/$G$68)</f>
        <v>0</v>
      </c>
      <c r="J98"/>
      <c r="K98"/>
      <c r="L98"/>
      <c r="M98"/>
      <c r="N98"/>
      <c r="O98" s="12"/>
      <c r="P98"/>
      <c r="Q98"/>
      <c r="R98"/>
      <c r="S98"/>
      <c r="T98"/>
      <c r="X98" s="65">
        <f>'Plant Inputs'!$X98</f>
        <v>0</v>
      </c>
      <c r="Y98" s="216">
        <f>IF(AND($X98=2,'Plant Inputs'!$Y98=1),1,0)</f>
        <v>0</v>
      </c>
      <c r="Z98" s="216">
        <v>2</v>
      </c>
      <c r="AA98" s="216">
        <f>IF($Y98=0,0,IF('Plant Inputs'!J98="",0,'Plant Inputs'!J98))</f>
        <v>0</v>
      </c>
      <c r="AB98" s="216">
        <f>IF($Y98=0,0,IF('Plant Inputs'!K98="",0,'Plant Inputs'!K98))</f>
        <v>0</v>
      </c>
      <c r="AC98" s="216">
        <f>IF($Y98=0,0,IF('Plant Inputs'!L98="",0,'Plant Inputs'!L98))</f>
        <v>0</v>
      </c>
      <c r="AD98" s="216">
        <f>IF($Y98=0,0,IF('Plant Inputs'!M98="",0,'Plant Inputs'!M98))</f>
        <v>0</v>
      </c>
      <c r="AE98" s="217" t="str">
        <f>'Plant Inputs'!$N98</f>
        <v>mile</v>
      </c>
      <c r="AF98" s="217">
        <f t="shared" si="133"/>
        <v>1.6093473468862911</v>
      </c>
      <c r="AG98" s="216" t="str">
        <f t="shared" si="134"/>
        <v>km/mile</v>
      </c>
      <c r="AH98" s="216">
        <f t="shared" si="135"/>
        <v>0</v>
      </c>
      <c r="AI98" s="216">
        <f t="shared" si="135"/>
        <v>0</v>
      </c>
      <c r="AJ98" s="216">
        <f t="shared" si="135"/>
        <v>0</v>
      </c>
      <c r="AK98" s="216">
        <f t="shared" si="135"/>
        <v>0</v>
      </c>
      <c r="AL98" s="216"/>
      <c r="AM98" s="1" t="str">
        <f t="shared" si="136"/>
        <v>Hazardous Waste to Recycling Facility</v>
      </c>
      <c r="AN98" t="s">
        <v>127</v>
      </c>
      <c r="AO98">
        <f t="shared" si="137"/>
        <v>0</v>
      </c>
      <c r="AP98" s="1">
        <f t="shared" ref="AP98:AP102" si="146">IF($G98="",0,$G98)</f>
        <v>0</v>
      </c>
      <c r="AQ98" s="164" t="str">
        <f t="shared" ref="AQ98:AQ102" si="147">H98</f>
        <v>short ton</v>
      </c>
      <c r="AR98" s="1">
        <f t="shared" si="138"/>
        <v>0.90718499588591606</v>
      </c>
      <c r="AS98" s="87" t="str">
        <f t="shared" ref="AS98:AS102" si="148">$AT$96&amp;"/"&amp;AQ98</f>
        <v>tonne/short ton</v>
      </c>
      <c r="AT98" s="87">
        <f t="shared" si="139"/>
        <v>0</v>
      </c>
      <c r="AU98" s="87">
        <f t="shared" si="140"/>
        <v>0</v>
      </c>
      <c r="AV98" s="87">
        <f t="shared" si="141"/>
        <v>0</v>
      </c>
      <c r="AW98" s="1" t="str">
        <f t="shared" si="142"/>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143"/>
        <v>0</v>
      </c>
      <c r="DR98">
        <f t="shared" si="143"/>
        <v>0</v>
      </c>
      <c r="DS98">
        <f t="shared" si="143"/>
        <v>0</v>
      </c>
      <c r="DT98">
        <f t="shared" si="143"/>
        <v>0</v>
      </c>
      <c r="DU98">
        <f t="shared" si="143"/>
        <v>0</v>
      </c>
      <c r="DV98">
        <f t="shared" si="143"/>
        <v>0</v>
      </c>
      <c r="DW98">
        <f t="shared" si="143"/>
        <v>0</v>
      </c>
      <c r="DX98">
        <f t="shared" si="143"/>
        <v>0</v>
      </c>
      <c r="DY98">
        <f t="shared" si="143"/>
        <v>0</v>
      </c>
      <c r="DZ98">
        <f t="shared" si="143"/>
        <v>0</v>
      </c>
      <c r="EA98">
        <f t="shared" si="143"/>
        <v>0</v>
      </c>
      <c r="EB98"/>
      <c r="EC98"/>
      <c r="ED98">
        <f t="shared" si="144"/>
        <v>0</v>
      </c>
    </row>
    <row r="99" spans="2:134" hidden="1">
      <c r="B99" s="53">
        <f t="shared" si="128"/>
        <v>0</v>
      </c>
      <c r="C99" s="26">
        <f t="shared" si="129"/>
        <v>3</v>
      </c>
      <c r="D99" s="41" t="s">
        <v>652</v>
      </c>
      <c r="E99" s="594">
        <f>IF('Plant Inputs'!$AT$22=0,0,'Plant Inputs'!$AV99/'Plant Inputs'!$AT$22)</f>
        <v>0</v>
      </c>
      <c r="F99" s="213" t="str">
        <f t="shared" si="130"/>
        <v>short ton/short ton</v>
      </c>
      <c r="G99" s="158">
        <f t="shared" si="145"/>
        <v>0</v>
      </c>
      <c r="H99" s="204" t="str">
        <f t="shared" si="131"/>
        <v>short ton</v>
      </c>
      <c r="I99" s="156">
        <f>IF($G$68=0,0,G99/$G$68)</f>
        <v>0</v>
      </c>
      <c r="J99"/>
      <c r="K99"/>
      <c r="L99"/>
      <c r="M99"/>
      <c r="N99"/>
      <c r="O99" s="12"/>
      <c r="P99"/>
      <c r="Q99"/>
      <c r="R99"/>
      <c r="S99"/>
      <c r="T99"/>
      <c r="X99" s="65">
        <f>'Plant Inputs'!$X99</f>
        <v>0</v>
      </c>
      <c r="Y99" s="216">
        <f>IF(AND($X99=2,'Plant Inputs'!$Y99=1),1,0)</f>
        <v>0</v>
      </c>
      <c r="Z99" s="216">
        <v>2</v>
      </c>
      <c r="AA99" s="216">
        <f>IF($Y99=0,0,IF('Plant Inputs'!J99="",0,'Plant Inputs'!J99))</f>
        <v>0</v>
      </c>
      <c r="AB99" s="216">
        <f>IF($Y99=0,0,IF('Plant Inputs'!K99="",0,'Plant Inputs'!K99))</f>
        <v>0</v>
      </c>
      <c r="AC99" s="216">
        <f>IF($Y99=0,0,IF('Plant Inputs'!L99="",0,'Plant Inputs'!L99))</f>
        <v>0</v>
      </c>
      <c r="AD99" s="216">
        <f>IF($Y99=0,0,IF('Plant Inputs'!M99="",0,'Plant Inputs'!M99))</f>
        <v>0</v>
      </c>
      <c r="AE99" s="217" t="str">
        <f>'Plant Inputs'!$N99</f>
        <v>mile</v>
      </c>
      <c r="AF99" s="217">
        <f t="shared" si="133"/>
        <v>1.6093473468862911</v>
      </c>
      <c r="AG99" s="216" t="str">
        <f t="shared" si="134"/>
        <v>km/mile</v>
      </c>
      <c r="AH99" s="216">
        <f t="shared" si="135"/>
        <v>0</v>
      </c>
      <c r="AI99" s="216">
        <f t="shared" si="135"/>
        <v>0</v>
      </c>
      <c r="AJ99" s="216">
        <f t="shared" si="135"/>
        <v>0</v>
      </c>
      <c r="AK99" s="216">
        <f t="shared" si="135"/>
        <v>0</v>
      </c>
      <c r="AL99" s="216"/>
      <c r="AM99" s="1" t="str">
        <f t="shared" si="136"/>
        <v>Hazardous Waste to Incineration Facility</v>
      </c>
      <c r="AN99" t="s">
        <v>127</v>
      </c>
      <c r="AO99">
        <f t="shared" si="137"/>
        <v>0</v>
      </c>
      <c r="AP99" s="1">
        <f t="shared" si="146"/>
        <v>0</v>
      </c>
      <c r="AQ99" s="164" t="str">
        <f t="shared" si="147"/>
        <v>short ton</v>
      </c>
      <c r="AR99" s="1">
        <f t="shared" si="138"/>
        <v>0.90718499588591606</v>
      </c>
      <c r="AS99" s="87" t="str">
        <f t="shared" si="148"/>
        <v>tonne/short ton</v>
      </c>
      <c r="AT99" s="87">
        <f t="shared" si="139"/>
        <v>0</v>
      </c>
      <c r="AU99" s="87">
        <f t="shared" si="140"/>
        <v>0</v>
      </c>
      <c r="AV99" s="87">
        <f t="shared" si="141"/>
        <v>0</v>
      </c>
      <c r="AW99" s="1" t="str">
        <f t="shared" si="142"/>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143"/>
        <v>0</v>
      </c>
      <c r="DR99">
        <f t="shared" si="143"/>
        <v>0</v>
      </c>
      <c r="DS99">
        <f t="shared" si="143"/>
        <v>0</v>
      </c>
      <c r="DT99">
        <f t="shared" si="143"/>
        <v>0</v>
      </c>
      <c r="DU99">
        <f t="shared" si="143"/>
        <v>0</v>
      </c>
      <c r="DV99">
        <f t="shared" si="143"/>
        <v>0</v>
      </c>
      <c r="DW99">
        <f t="shared" si="143"/>
        <v>0</v>
      </c>
      <c r="DX99">
        <f t="shared" si="143"/>
        <v>0</v>
      </c>
      <c r="DY99">
        <f t="shared" si="143"/>
        <v>0</v>
      </c>
      <c r="DZ99">
        <f t="shared" si="143"/>
        <v>0</v>
      </c>
      <c r="EA99">
        <f t="shared" si="143"/>
        <v>0</v>
      </c>
      <c r="EB99"/>
      <c r="EC99"/>
      <c r="ED99">
        <f t="shared" si="144"/>
        <v>0</v>
      </c>
    </row>
    <row r="100" spans="2:134" hidden="1">
      <c r="B100" s="53">
        <f t="shared" si="128"/>
        <v>0</v>
      </c>
      <c r="C100" s="26">
        <f t="shared" si="129"/>
        <v>4</v>
      </c>
      <c r="D100" s="41" t="s">
        <v>649</v>
      </c>
      <c r="E100" s="594">
        <f>IF('Plant Inputs'!$AT$22=0,0,'Plant Inputs'!$AV100/'Plant Inputs'!$AT$22)</f>
        <v>0</v>
      </c>
      <c r="F100" s="213" t="str">
        <f t="shared" si="130"/>
        <v>short ton/short ton</v>
      </c>
      <c r="G100" s="158">
        <f t="shared" si="145"/>
        <v>0</v>
      </c>
      <c r="H100" s="204" t="str">
        <f t="shared" si="131"/>
        <v>short ton</v>
      </c>
      <c r="I100" s="156">
        <f t="shared" ref="I100" si="149">IF($G$68=0,0,G100/$G$68)</f>
        <v>0</v>
      </c>
      <c r="J100"/>
      <c r="K100"/>
      <c r="L100"/>
      <c r="M100"/>
      <c r="N100"/>
      <c r="O100" s="12"/>
      <c r="P100"/>
      <c r="Q100"/>
      <c r="R100"/>
      <c r="S100"/>
      <c r="T100"/>
      <c r="X100" s="65">
        <f>'Plant Inputs'!$X100</f>
        <v>0</v>
      </c>
      <c r="Y100" s="216">
        <f>IF(AND($X100=2,'Plant Inputs'!$Y100=1),1,0)</f>
        <v>0</v>
      </c>
      <c r="Z100" s="216">
        <v>2</v>
      </c>
      <c r="AA100" s="216">
        <f>IF($Y100=0,0,IF('Plant Inputs'!J100="",0,'Plant Inputs'!J100))</f>
        <v>0</v>
      </c>
      <c r="AB100" s="216">
        <f>IF($Y100=0,0,IF('Plant Inputs'!K100="",0,'Plant Inputs'!K100))</f>
        <v>0</v>
      </c>
      <c r="AC100" s="216">
        <f>IF($Y100=0,0,IF('Plant Inputs'!L100="",0,'Plant Inputs'!L100))</f>
        <v>0</v>
      </c>
      <c r="AD100" s="216">
        <f>IF($Y100=0,0,IF('Plant Inputs'!M100="",0,'Plant Inputs'!M100))</f>
        <v>0</v>
      </c>
      <c r="AE100" s="217" t="str">
        <f>'Plant Inputs'!$N100</f>
        <v>mile</v>
      </c>
      <c r="AF100" s="217">
        <f t="shared" si="133"/>
        <v>1.6093473468862911</v>
      </c>
      <c r="AG100" s="216" t="str">
        <f t="shared" si="134"/>
        <v>km/mile</v>
      </c>
      <c r="AH100" s="216">
        <f t="shared" si="135"/>
        <v>0</v>
      </c>
      <c r="AI100" s="216">
        <f t="shared" si="135"/>
        <v>0</v>
      </c>
      <c r="AJ100" s="216">
        <f t="shared" si="135"/>
        <v>0</v>
      </c>
      <c r="AK100" s="216">
        <f t="shared" si="135"/>
        <v>0</v>
      </c>
      <c r="AL100" s="216"/>
      <c r="AM100" s="1" t="str">
        <f t="shared" si="136"/>
        <v>Non-Hazardous Waste to Landfill</v>
      </c>
      <c r="AN100" t="s">
        <v>127</v>
      </c>
      <c r="AO100">
        <f t="shared" si="137"/>
        <v>0</v>
      </c>
      <c r="AP100" s="1">
        <f t="shared" si="146"/>
        <v>0</v>
      </c>
      <c r="AQ100" s="164" t="str">
        <f t="shared" si="147"/>
        <v>short ton</v>
      </c>
      <c r="AR100" s="1">
        <f t="shared" si="138"/>
        <v>0.90718499588591606</v>
      </c>
      <c r="AS100" s="87" t="str">
        <f t="shared" si="148"/>
        <v>tonne/short ton</v>
      </c>
      <c r="AT100" s="87">
        <f t="shared" si="139"/>
        <v>0</v>
      </c>
      <c r="AU100" s="87">
        <f t="shared" si="140"/>
        <v>0</v>
      </c>
      <c r="AV100" s="87">
        <f t="shared" si="141"/>
        <v>0</v>
      </c>
      <c r="AW100" s="1" t="str">
        <f t="shared" si="142"/>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143"/>
        <v>0</v>
      </c>
      <c r="DR100">
        <f t="shared" si="143"/>
        <v>0</v>
      </c>
      <c r="DS100">
        <f t="shared" si="143"/>
        <v>0</v>
      </c>
      <c r="DT100">
        <f t="shared" si="143"/>
        <v>0</v>
      </c>
      <c r="DU100">
        <f t="shared" si="143"/>
        <v>0</v>
      </c>
      <c r="DV100">
        <f t="shared" si="143"/>
        <v>0</v>
      </c>
      <c r="DW100">
        <f t="shared" si="143"/>
        <v>0</v>
      </c>
      <c r="DX100">
        <f t="shared" si="143"/>
        <v>0</v>
      </c>
      <c r="DY100">
        <f t="shared" si="143"/>
        <v>0</v>
      </c>
      <c r="DZ100">
        <f t="shared" si="143"/>
        <v>0</v>
      </c>
      <c r="EA100">
        <f t="shared" si="143"/>
        <v>0</v>
      </c>
      <c r="EB100"/>
      <c r="EC100"/>
      <c r="ED100">
        <f t="shared" si="144"/>
        <v>0</v>
      </c>
    </row>
    <row r="101" spans="2:134" hidden="1">
      <c r="B101" s="53">
        <f t="shared" si="128"/>
        <v>0</v>
      </c>
      <c r="C101" s="26">
        <f t="shared" si="129"/>
        <v>5</v>
      </c>
      <c r="D101" s="41" t="s">
        <v>650</v>
      </c>
      <c r="E101" s="594">
        <f>IF('Plant Inputs'!$AT$22=0,0,'Plant Inputs'!$AV101/'Plant Inputs'!$AT$22)</f>
        <v>0</v>
      </c>
      <c r="F101" s="213" t="str">
        <f t="shared" si="130"/>
        <v>short ton/short ton</v>
      </c>
      <c r="G101" s="158">
        <f t="shared" si="145"/>
        <v>0</v>
      </c>
      <c r="H101" s="204" t="str">
        <f t="shared" si="131"/>
        <v>short ton</v>
      </c>
      <c r="I101" s="156">
        <f>IF($G$68=0,0,G101/$G$68)</f>
        <v>0</v>
      </c>
      <c r="J101"/>
      <c r="K101"/>
      <c r="L101"/>
      <c r="M101"/>
      <c r="N101"/>
      <c r="O101" s="12"/>
      <c r="P101"/>
      <c r="Q101"/>
      <c r="R101"/>
      <c r="S101"/>
      <c r="T101"/>
      <c r="X101" s="65">
        <f>'Plant Inputs'!$X101</f>
        <v>0</v>
      </c>
      <c r="Y101" s="216">
        <f>IF(AND($X101=2,'Plant Inputs'!$Y101=1),1,0)</f>
        <v>0</v>
      </c>
      <c r="Z101" s="216">
        <v>2</v>
      </c>
      <c r="AA101" s="216">
        <f>IF($Y101=0,0,IF('Plant Inputs'!J101="",0,'Plant Inputs'!J101))</f>
        <v>0</v>
      </c>
      <c r="AB101" s="216">
        <f>IF($Y101=0,0,IF('Plant Inputs'!K101="",0,'Plant Inputs'!K101))</f>
        <v>0</v>
      </c>
      <c r="AC101" s="216">
        <f>IF($Y101=0,0,IF('Plant Inputs'!L101="",0,'Plant Inputs'!L101))</f>
        <v>0</v>
      </c>
      <c r="AD101" s="216">
        <f>IF($Y101=0,0,IF('Plant Inputs'!M101="",0,'Plant Inputs'!M101))</f>
        <v>0</v>
      </c>
      <c r="AE101" s="217" t="str">
        <f>'Plant Inputs'!$N101</f>
        <v>mile</v>
      </c>
      <c r="AF101" s="217">
        <f t="shared" si="133"/>
        <v>1.6093473468862911</v>
      </c>
      <c r="AG101" s="216" t="str">
        <f t="shared" si="134"/>
        <v>km/mile</v>
      </c>
      <c r="AH101" s="216">
        <f>AA101*$AF101</f>
        <v>0</v>
      </c>
      <c r="AI101" s="216">
        <f>AB101*$AF101</f>
        <v>0</v>
      </c>
      <c r="AJ101" s="216">
        <f>AC101*$AF101</f>
        <v>0</v>
      </c>
      <c r="AK101" s="216">
        <f>AD101*$AF101</f>
        <v>0</v>
      </c>
      <c r="AL101" s="216"/>
      <c r="AM101" s="1" t="str">
        <f t="shared" si="136"/>
        <v>Non-Hazardous Waste to Recycling Facility</v>
      </c>
      <c r="AN101" t="s">
        <v>127</v>
      </c>
      <c r="AO101">
        <f t="shared" si="137"/>
        <v>0</v>
      </c>
      <c r="AP101" s="1">
        <f t="shared" si="146"/>
        <v>0</v>
      </c>
      <c r="AQ101" s="164" t="str">
        <f t="shared" si="147"/>
        <v>short ton</v>
      </c>
      <c r="AR101" s="1">
        <f t="shared" si="138"/>
        <v>0.90718499588591606</v>
      </c>
      <c r="AS101" s="87" t="str">
        <f t="shared" si="148"/>
        <v>tonne/short ton</v>
      </c>
      <c r="AT101" s="87">
        <f t="shared" si="139"/>
        <v>0</v>
      </c>
      <c r="AU101" s="87">
        <f t="shared" si="140"/>
        <v>0</v>
      </c>
      <c r="AV101" s="87">
        <f t="shared" si="141"/>
        <v>0</v>
      </c>
      <c r="AW101" s="1" t="str">
        <f t="shared" si="142"/>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143"/>
        <v>0</v>
      </c>
      <c r="DR101">
        <f t="shared" si="143"/>
        <v>0</v>
      </c>
      <c r="DS101">
        <f t="shared" si="143"/>
        <v>0</v>
      </c>
      <c r="DT101">
        <f t="shared" si="143"/>
        <v>0</v>
      </c>
      <c r="DU101">
        <f t="shared" si="143"/>
        <v>0</v>
      </c>
      <c r="DV101">
        <f t="shared" si="143"/>
        <v>0</v>
      </c>
      <c r="DW101">
        <f t="shared" si="143"/>
        <v>0</v>
      </c>
      <c r="DX101">
        <f t="shared" si="143"/>
        <v>0</v>
      </c>
      <c r="DY101">
        <f t="shared" si="143"/>
        <v>0</v>
      </c>
      <c r="DZ101">
        <f t="shared" si="143"/>
        <v>0</v>
      </c>
      <c r="EA101">
        <f t="shared" si="143"/>
        <v>0</v>
      </c>
      <c r="EB101"/>
      <c r="EC101"/>
      <c r="ED101">
        <f t="shared" si="144"/>
        <v>0</v>
      </c>
    </row>
    <row r="102" spans="2:134" ht="16" hidden="1" thickBot="1">
      <c r="B102" s="53">
        <f t="shared" si="128"/>
        <v>0</v>
      </c>
      <c r="C102" s="32">
        <f t="shared" si="129"/>
        <v>6</v>
      </c>
      <c r="D102" s="363" t="s">
        <v>651</v>
      </c>
      <c r="E102" s="594">
        <f>IF('Plant Inputs'!$AT$22=0,0,'Plant Inputs'!$AV102/'Plant Inputs'!$AT$22)</f>
        <v>0</v>
      </c>
      <c r="F102" s="213" t="str">
        <f t="shared" si="130"/>
        <v>short ton/short ton</v>
      </c>
      <c r="G102" s="158">
        <f t="shared" si="145"/>
        <v>0</v>
      </c>
      <c r="H102" s="227" t="str">
        <f t="shared" si="131"/>
        <v>short ton</v>
      </c>
      <c r="I102" s="397">
        <f t="shared" ref="I102" si="150">IF($G$68=0,0,G102/$G$68)</f>
        <v>0</v>
      </c>
      <c r="J102"/>
      <c r="K102"/>
      <c r="L102"/>
      <c r="M102"/>
      <c r="N102"/>
      <c r="O102" s="12"/>
      <c r="P102"/>
      <c r="Q102"/>
      <c r="R102"/>
      <c r="S102"/>
      <c r="T102"/>
      <c r="X102" s="65">
        <f>'Plant Inputs'!$X102</f>
        <v>0</v>
      </c>
      <c r="Y102" s="216">
        <f>IF(AND($X102=2,'Plant Inputs'!$Y102=1),1,0)</f>
        <v>0</v>
      </c>
      <c r="Z102" s="216">
        <v>2</v>
      </c>
      <c r="AA102" s="216">
        <f>IF($Y102=0,0,IF('Plant Inputs'!J102="",0,'Plant Inputs'!J102))</f>
        <v>0</v>
      </c>
      <c r="AB102" s="216">
        <f>IF($Y102=0,0,IF('Plant Inputs'!K102="",0,'Plant Inputs'!K102))</f>
        <v>0</v>
      </c>
      <c r="AC102" s="216">
        <f>IF($Y102=0,0,IF('Plant Inputs'!L102="",0,'Plant Inputs'!L102))</f>
        <v>0</v>
      </c>
      <c r="AD102" s="216">
        <f>IF($Y102=0,0,IF('Plant Inputs'!M102="",0,'Plant Inputs'!M102))</f>
        <v>0</v>
      </c>
      <c r="AE102" s="217" t="str">
        <f>'Plant Inputs'!$N102</f>
        <v>mile</v>
      </c>
      <c r="AF102" s="217">
        <f t="shared" si="133"/>
        <v>1.6093473468862911</v>
      </c>
      <c r="AG102" s="216" t="str">
        <f t="shared" si="134"/>
        <v>km/mile</v>
      </c>
      <c r="AH102" s="216">
        <f t="shared" ref="AH102:AK102" si="151">AA102*$AF102</f>
        <v>0</v>
      </c>
      <c r="AI102" s="216">
        <f t="shared" si="151"/>
        <v>0</v>
      </c>
      <c r="AJ102" s="216">
        <f t="shared" si="151"/>
        <v>0</v>
      </c>
      <c r="AK102" s="216">
        <f t="shared" si="151"/>
        <v>0</v>
      </c>
      <c r="AL102" s="216"/>
      <c r="AM102" s="1" t="str">
        <f t="shared" si="136"/>
        <v>Non-Hazardous Waste to Incineration Facility</v>
      </c>
      <c r="AN102" t="s">
        <v>127</v>
      </c>
      <c r="AO102">
        <f t="shared" si="137"/>
        <v>0</v>
      </c>
      <c r="AP102" s="1">
        <f t="shared" si="146"/>
        <v>0</v>
      </c>
      <c r="AQ102" s="164" t="str">
        <f t="shared" si="147"/>
        <v>short ton</v>
      </c>
      <c r="AR102" s="1">
        <f t="shared" si="138"/>
        <v>0.90718499588591606</v>
      </c>
      <c r="AS102" s="87" t="str">
        <f t="shared" si="148"/>
        <v>tonne/short ton</v>
      </c>
      <c r="AT102" s="87">
        <f t="shared" si="139"/>
        <v>0</v>
      </c>
      <c r="AU102" s="87">
        <f t="shared" si="140"/>
        <v>0</v>
      </c>
      <c r="AV102" s="87">
        <f t="shared" si="141"/>
        <v>0</v>
      </c>
      <c r="AW102" s="1" t="str">
        <f t="shared" si="142"/>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143"/>
        <v>0</v>
      </c>
      <c r="DR102">
        <f t="shared" si="143"/>
        <v>0</v>
      </c>
      <c r="DS102">
        <f t="shared" si="143"/>
        <v>0</v>
      </c>
      <c r="DT102">
        <f t="shared" si="143"/>
        <v>0</v>
      </c>
      <c r="DU102">
        <f t="shared" si="143"/>
        <v>0</v>
      </c>
      <c r="DV102">
        <f t="shared" si="143"/>
        <v>0</v>
      </c>
      <c r="DW102">
        <f t="shared" si="143"/>
        <v>0</v>
      </c>
      <c r="DX102">
        <f t="shared" si="143"/>
        <v>0</v>
      </c>
      <c r="DY102">
        <f t="shared" si="143"/>
        <v>0</v>
      </c>
      <c r="DZ102">
        <f t="shared" si="143"/>
        <v>0</v>
      </c>
      <c r="EA102">
        <f t="shared" si="143"/>
        <v>0</v>
      </c>
      <c r="EB102"/>
      <c r="EC102"/>
      <c r="ED102">
        <f t="shared" si="144"/>
        <v>0</v>
      </c>
    </row>
    <row r="103" spans="2:134" ht="16" hidden="1" thickBot="1">
      <c r="D103"/>
      <c r="E103" s="487"/>
      <c r="F103" s="488" t="s">
        <v>671</v>
      </c>
      <c r="G103" s="489">
        <f>IF(SUM($G$97:$G$102)=0,0,($G$98+$G$99+$G$101+$G$102)/SUM($G$97:$G$102))</f>
        <v>0</v>
      </c>
      <c r="H103"/>
      <c r="I103"/>
      <c r="J103"/>
      <c r="K103"/>
      <c r="L103"/>
      <c r="P103"/>
      <c r="Q103"/>
      <c r="R103"/>
      <c r="S103"/>
      <c r="T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152">SUM(AY97:AY102)</f>
        <v>0</v>
      </c>
      <c r="AZ103" s="313">
        <f t="shared" si="152"/>
        <v>0</v>
      </c>
      <c r="BA103" s="313">
        <f t="shared" si="152"/>
        <v>0</v>
      </c>
      <c r="BB103" s="313">
        <f t="shared" si="152"/>
        <v>0</v>
      </c>
      <c r="BC103" s="313">
        <f t="shared" si="152"/>
        <v>0</v>
      </c>
      <c r="BD103" s="313">
        <f t="shared" si="152"/>
        <v>0</v>
      </c>
      <c r="BE103" s="313">
        <f t="shared" si="152"/>
        <v>0</v>
      </c>
      <c r="BF103" s="313">
        <f t="shared" si="152"/>
        <v>0</v>
      </c>
      <c r="BG103" s="313">
        <f t="shared" si="152"/>
        <v>0</v>
      </c>
      <c r="BH103" s="313">
        <f t="shared" si="152"/>
        <v>0</v>
      </c>
      <c r="BI103" s="313">
        <f t="shared" si="152"/>
        <v>0</v>
      </c>
      <c r="BJ103" s="313">
        <f t="shared" si="152"/>
        <v>0</v>
      </c>
      <c r="BK103" s="313">
        <f t="shared" si="152"/>
        <v>0</v>
      </c>
      <c r="BM103">
        <f t="shared" ref="BM103:DX103" si="153">SUM(BM97:BM102)</f>
        <v>0</v>
      </c>
      <c r="BN103">
        <f t="shared" si="153"/>
        <v>0</v>
      </c>
      <c r="BO103">
        <f t="shared" si="153"/>
        <v>0</v>
      </c>
      <c r="BP103">
        <f t="shared" si="153"/>
        <v>0</v>
      </c>
      <c r="BQ103">
        <f t="shared" si="153"/>
        <v>0</v>
      </c>
      <c r="BR103">
        <f t="shared" si="153"/>
        <v>0</v>
      </c>
      <c r="BS103">
        <f t="shared" si="153"/>
        <v>0</v>
      </c>
      <c r="BT103">
        <f t="shared" si="153"/>
        <v>0</v>
      </c>
      <c r="BU103">
        <f t="shared" si="153"/>
        <v>0</v>
      </c>
      <c r="BV103">
        <f t="shared" si="153"/>
        <v>0</v>
      </c>
      <c r="BW103">
        <f t="shared" si="153"/>
        <v>0</v>
      </c>
      <c r="BX103">
        <f t="shared" si="153"/>
        <v>0</v>
      </c>
      <c r="BY103">
        <f t="shared" si="153"/>
        <v>0</v>
      </c>
      <c r="BZ103">
        <f t="shared" si="153"/>
        <v>0</v>
      </c>
      <c r="CA103">
        <f t="shared" si="153"/>
        <v>0</v>
      </c>
      <c r="CB103">
        <f t="shared" si="153"/>
        <v>0</v>
      </c>
      <c r="CC103">
        <f t="shared" si="153"/>
        <v>0</v>
      </c>
      <c r="CD103">
        <f t="shared" si="153"/>
        <v>0</v>
      </c>
      <c r="CE103">
        <f t="shared" si="153"/>
        <v>0</v>
      </c>
      <c r="CF103">
        <f t="shared" si="153"/>
        <v>0</v>
      </c>
      <c r="CG103">
        <f t="shared" si="153"/>
        <v>0</v>
      </c>
      <c r="CH103">
        <f t="shared" si="153"/>
        <v>0</v>
      </c>
      <c r="CI103">
        <f t="shared" si="153"/>
        <v>0</v>
      </c>
      <c r="CJ103">
        <f t="shared" si="153"/>
        <v>0</v>
      </c>
      <c r="CK103">
        <f t="shared" si="153"/>
        <v>0</v>
      </c>
      <c r="CL103">
        <f t="shared" si="153"/>
        <v>0</v>
      </c>
      <c r="CM103">
        <f t="shared" si="153"/>
        <v>0</v>
      </c>
      <c r="CN103">
        <f t="shared" si="153"/>
        <v>0</v>
      </c>
      <c r="CO103">
        <f t="shared" si="153"/>
        <v>0</v>
      </c>
      <c r="CP103">
        <f t="shared" si="153"/>
        <v>0</v>
      </c>
      <c r="CQ103">
        <f t="shared" si="153"/>
        <v>0</v>
      </c>
      <c r="CR103">
        <f t="shared" si="153"/>
        <v>0</v>
      </c>
      <c r="CS103">
        <f t="shared" si="153"/>
        <v>0</v>
      </c>
      <c r="CT103">
        <f t="shared" si="153"/>
        <v>0</v>
      </c>
      <c r="CU103">
        <f t="shared" si="153"/>
        <v>0</v>
      </c>
      <c r="CV103">
        <f t="shared" si="153"/>
        <v>0</v>
      </c>
      <c r="CW103">
        <f t="shared" si="153"/>
        <v>0</v>
      </c>
      <c r="CX103">
        <f t="shared" si="153"/>
        <v>0</v>
      </c>
      <c r="CY103">
        <f t="shared" si="153"/>
        <v>0</v>
      </c>
      <c r="CZ103">
        <f t="shared" si="153"/>
        <v>0</v>
      </c>
      <c r="DA103">
        <f t="shared" si="153"/>
        <v>0</v>
      </c>
      <c r="DB103">
        <f t="shared" si="153"/>
        <v>0</v>
      </c>
      <c r="DC103">
        <f t="shared" si="153"/>
        <v>0</v>
      </c>
      <c r="DD103">
        <f t="shared" si="153"/>
        <v>0</v>
      </c>
      <c r="DE103">
        <f t="shared" si="153"/>
        <v>0</v>
      </c>
      <c r="DF103">
        <f t="shared" si="153"/>
        <v>0</v>
      </c>
      <c r="DG103">
        <f t="shared" si="153"/>
        <v>0</v>
      </c>
      <c r="DH103">
        <f t="shared" si="153"/>
        <v>0</v>
      </c>
      <c r="DI103">
        <f t="shared" si="153"/>
        <v>0</v>
      </c>
      <c r="DJ103">
        <f t="shared" si="153"/>
        <v>0</v>
      </c>
      <c r="DK103">
        <f t="shared" si="153"/>
        <v>0</v>
      </c>
      <c r="DL103">
        <f t="shared" si="153"/>
        <v>0</v>
      </c>
      <c r="DM103">
        <f t="shared" si="153"/>
        <v>0</v>
      </c>
      <c r="DN103">
        <f t="shared" si="153"/>
        <v>0</v>
      </c>
      <c r="DO103">
        <f t="shared" si="153"/>
        <v>0</v>
      </c>
      <c r="DP103">
        <f t="shared" si="153"/>
        <v>0</v>
      </c>
      <c r="DQ103" s="12">
        <f t="shared" si="153"/>
        <v>0</v>
      </c>
      <c r="DR103" s="12">
        <f t="shared" si="153"/>
        <v>0</v>
      </c>
      <c r="DS103" s="12">
        <f t="shared" si="153"/>
        <v>0</v>
      </c>
      <c r="DT103" s="12">
        <f t="shared" si="153"/>
        <v>0</v>
      </c>
      <c r="DU103" s="12">
        <f t="shared" si="153"/>
        <v>0</v>
      </c>
      <c r="DV103" s="12">
        <f t="shared" si="153"/>
        <v>0</v>
      </c>
      <c r="DW103" s="12">
        <f t="shared" si="153"/>
        <v>0</v>
      </c>
      <c r="DX103" s="12">
        <f t="shared" si="153"/>
        <v>0</v>
      </c>
      <c r="DY103" s="12">
        <f t="shared" ref="DY103:ED103" si="154">SUM(DY97:DY102)</f>
        <v>0</v>
      </c>
      <c r="DZ103" s="12">
        <f t="shared" si="154"/>
        <v>0</v>
      </c>
      <c r="EA103" s="12">
        <f t="shared" si="154"/>
        <v>0</v>
      </c>
      <c r="ED103" s="12">
        <f t="shared" si="154"/>
        <v>0</v>
      </c>
    </row>
    <row r="104" spans="2:134" hidden="1">
      <c r="L104" s="13"/>
      <c r="P104"/>
      <c r="Q104"/>
      <c r="R104"/>
      <c r="S104"/>
      <c r="T104"/>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155">DW103-BS108</f>
        <v>0</v>
      </c>
      <c r="DA104" s="318">
        <f t="shared" si="155"/>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c r="L105" s="13"/>
      <c r="P105"/>
      <c r="Q105"/>
      <c r="R105"/>
      <c r="S105"/>
      <c r="T105"/>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c r="D106"/>
      <c r="E106"/>
      <c r="F106"/>
      <c r="G106"/>
      <c r="H106"/>
      <c r="I106"/>
      <c r="J106"/>
      <c r="K106"/>
      <c r="L106" s="13"/>
      <c r="P106"/>
      <c r="Q106"/>
      <c r="R106"/>
      <c r="S106"/>
      <c r="T106"/>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c r="D107"/>
      <c r="E107"/>
      <c r="F107"/>
      <c r="G107"/>
      <c r="H107"/>
      <c r="I107"/>
      <c r="J107"/>
      <c r="K107"/>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c r="D108"/>
      <c r="E108"/>
      <c r="F108"/>
      <c r="G108"/>
      <c r="H108"/>
      <c r="I108"/>
      <c r="J108"/>
      <c r="K108"/>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Y108" si="156">BM$103+CA$103+CO$103+DC$103</f>
        <v>0</v>
      </c>
      <c r="BN108" s="570">
        <f t="shared" si="156"/>
        <v>0</v>
      </c>
      <c r="BO108" s="570">
        <f t="shared" si="156"/>
        <v>0</v>
      </c>
      <c r="BP108" s="570">
        <f t="shared" si="156"/>
        <v>0</v>
      </c>
      <c r="BQ108" s="570">
        <f t="shared" si="156"/>
        <v>0</v>
      </c>
      <c r="BR108" s="570">
        <f t="shared" si="156"/>
        <v>0</v>
      </c>
      <c r="BS108" s="570">
        <f t="shared" si="156"/>
        <v>0</v>
      </c>
      <c r="BT108" s="570">
        <f t="shared" si="156"/>
        <v>0</v>
      </c>
      <c r="BU108" s="570">
        <f t="shared" si="156"/>
        <v>0</v>
      </c>
      <c r="BV108" s="570">
        <f t="shared" si="156"/>
        <v>0</v>
      </c>
      <c r="BW108" s="570">
        <f t="shared" si="156"/>
        <v>0</v>
      </c>
      <c r="BX108" s="570">
        <f t="shared" si="156"/>
        <v>0</v>
      </c>
      <c r="BY108" s="570">
        <f t="shared" si="156"/>
        <v>0</v>
      </c>
      <c r="BZ108" s="570">
        <f>BZ$103+CN$103+DB$103+DP$103</f>
        <v>0</v>
      </c>
      <c r="CA108"/>
      <c r="CB108"/>
      <c r="CC108"/>
      <c r="CD108"/>
      <c r="CE108"/>
      <c r="CF108"/>
      <c r="CG108"/>
      <c r="CH108"/>
    </row>
    <row r="109" spans="2:134" s="60" customFormat="1" ht="15" customHeight="1">
      <c r="B109" s="58"/>
      <c r="C109"/>
      <c r="D109"/>
      <c r="E109"/>
      <c r="F109"/>
      <c r="G109"/>
      <c r="H109"/>
      <c r="I109"/>
      <c r="J109"/>
      <c r="K109"/>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c r="B110" s="58"/>
      <c r="C110"/>
      <c r="D110"/>
      <c r="E110"/>
      <c r="F110"/>
      <c r="G110"/>
      <c r="H110"/>
      <c r="I110"/>
      <c r="J110"/>
      <c r="K110"/>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sheetData>
  <sheetProtection password="840D" sheet="1" objects="1" scenarios="1" formatColumns="0" formatRows="0" selectLockedCells="1"/>
  <dataConsolidate/>
  <mergeCells count="9">
    <mergeCell ref="BM92:DP92"/>
    <mergeCell ref="DQ93:EB93"/>
    <mergeCell ref="AM94:AU94"/>
    <mergeCell ref="C6:D6"/>
    <mergeCell ref="F16:F17"/>
    <mergeCell ref="AM27:AV27"/>
    <mergeCell ref="I73:I74"/>
    <mergeCell ref="J73:J74"/>
    <mergeCell ref="G11:J18"/>
  </mergeCells>
  <conditionalFormatting sqref="C6:D9">
    <cfRule type="containsText" dxfId="15" priority="37" operator="containsText" text="100%">
      <formula>NOT(ISERROR(SEARCH("100%",C6)))</formula>
    </cfRule>
  </conditionalFormatting>
  <conditionalFormatting sqref="B65 B16 B30:B31 B76 B67 B82:B86">
    <cfRule type="iconSet" priority="38">
      <iconSet iconSet="3Symbols">
        <cfvo type="percent" val="0"/>
        <cfvo type="num" val="1E-3" gte="0"/>
        <cfvo type="num" val="1"/>
      </iconSet>
    </cfRule>
  </conditionalFormatting>
  <conditionalFormatting sqref="B16">
    <cfRule type="iconSet" priority="35">
      <iconSet iconSet="3Symbols">
        <cfvo type="percent" val="0"/>
        <cfvo type="num" val="1" gte="0"/>
        <cfvo type="num" val="1"/>
      </iconSet>
    </cfRule>
  </conditionalFormatting>
  <conditionalFormatting sqref="B31">
    <cfRule type="iconSet" priority="33">
      <iconSet iconSet="3Symbols">
        <cfvo type="percent" val="0"/>
        <cfvo type="num" val="1E-3" gte="0"/>
        <cfvo type="num" val="1"/>
      </iconSet>
    </cfRule>
  </conditionalFormatting>
  <conditionalFormatting sqref="B66">
    <cfRule type="iconSet" priority="21">
      <iconSet iconSet="3Symbols">
        <cfvo type="percent" val="0"/>
        <cfvo type="num" val="1E-3" gte="0"/>
        <cfvo type="num" val="1"/>
      </iconSet>
    </cfRule>
  </conditionalFormatting>
  <conditionalFormatting sqref="B78:B81">
    <cfRule type="iconSet" priority="18">
      <iconSet iconSet="3Symbols">
        <cfvo type="percent" val="0"/>
        <cfvo type="num" val="1E-3" gte="0"/>
        <cfvo type="num" val="1"/>
      </iconSet>
    </cfRule>
  </conditionalFormatting>
  <conditionalFormatting sqref="B77">
    <cfRule type="iconSet" priority="17">
      <iconSet iconSet="3Symbols">
        <cfvo type="percent" val="0"/>
        <cfvo type="num" val="1E-3" gte="0"/>
        <cfvo type="num" val="1"/>
      </iconSet>
    </cfRule>
  </conditionalFormatting>
  <conditionalFormatting sqref="B18">
    <cfRule type="iconSet" priority="15">
      <iconSet iconSet="3Symbols">
        <cfvo type="percent" val="0"/>
        <cfvo type="num" val="1E-3" gte="0"/>
        <cfvo type="num" val="1"/>
      </iconSet>
    </cfRule>
  </conditionalFormatting>
  <conditionalFormatting sqref="B18">
    <cfRule type="iconSet" priority="14">
      <iconSet iconSet="3Symbols">
        <cfvo type="percent" val="0"/>
        <cfvo type="num" val="1" gte="0"/>
        <cfvo type="num" val="1"/>
      </iconSet>
    </cfRule>
  </conditionalFormatting>
  <conditionalFormatting sqref="B46">
    <cfRule type="iconSet" priority="12">
      <iconSet iconSet="3Symbols">
        <cfvo type="percent" val="0"/>
        <cfvo type="num" val="1E-3" gte="0"/>
        <cfvo type="num" val="1"/>
      </iconSet>
    </cfRule>
  </conditionalFormatting>
  <conditionalFormatting sqref="B33:B45 B47:B64">
    <cfRule type="iconSet" priority="81">
      <iconSet iconSet="3Symbols">
        <cfvo type="percent" val="0"/>
        <cfvo type="num" val="1E-3" gte="0"/>
        <cfvo type="num" val="1"/>
      </iconSet>
    </cfRule>
  </conditionalFormatting>
  <conditionalFormatting sqref="B32">
    <cfRule type="iconSet" priority="11">
      <iconSet iconSet="3Symbols">
        <cfvo type="percent" val="0"/>
        <cfvo type="num" val="1E-3" gte="0"/>
        <cfvo type="num" val="1"/>
      </iconSet>
    </cfRule>
  </conditionalFormatting>
  <conditionalFormatting sqref="B32">
    <cfRule type="iconSet" priority="10">
      <iconSet iconSet="3Symbols">
        <cfvo type="percent" val="0"/>
        <cfvo type="num" val="1E-3" gte="0"/>
        <cfvo type="num" val="1"/>
      </iconSet>
    </cfRule>
  </conditionalFormatting>
  <conditionalFormatting sqref="B103">
    <cfRule type="iconSet" priority="8">
      <iconSet iconSet="3Symbols">
        <cfvo type="percent" val="0"/>
        <cfvo type="num" val="1E-3" gte="0"/>
        <cfvo type="num" val="1"/>
      </iconSet>
    </cfRule>
  </conditionalFormatting>
  <conditionalFormatting sqref="B97 B102">
    <cfRule type="iconSet" priority="9">
      <iconSet iconSet="3Symbols">
        <cfvo type="percent" val="0"/>
        <cfvo type="num" val="1"/>
        <cfvo type="num" val="2"/>
      </iconSet>
    </cfRule>
  </conditionalFormatting>
  <conditionalFormatting sqref="B101">
    <cfRule type="iconSet" priority="7">
      <iconSet iconSet="3Symbols">
        <cfvo type="percent" val="0"/>
        <cfvo type="num" val="1"/>
        <cfvo type="num" val="2"/>
      </iconSet>
    </cfRule>
  </conditionalFormatting>
  <conditionalFormatting sqref="B100">
    <cfRule type="iconSet" priority="6">
      <iconSet iconSet="3Symbols">
        <cfvo type="percent" val="0"/>
        <cfvo type="num" val="1"/>
        <cfvo type="num" val="2"/>
      </iconSet>
    </cfRule>
  </conditionalFormatting>
  <conditionalFormatting sqref="B98">
    <cfRule type="iconSet" priority="5">
      <iconSet iconSet="3Symbols">
        <cfvo type="percent" val="0"/>
        <cfvo type="num" val="1"/>
        <cfvo type="num" val="2"/>
      </iconSet>
    </cfRule>
  </conditionalFormatting>
  <conditionalFormatting sqref="B99">
    <cfRule type="iconSet" priority="4">
      <iconSet iconSet="3Symbols">
        <cfvo type="percent" val="0"/>
        <cfvo type="num" val="1"/>
        <cfvo type="num" val="2"/>
      </iconSet>
    </cfRule>
  </conditionalFormatting>
  <conditionalFormatting sqref="E16 E18 F18">
    <cfRule type="expression" dxfId="14" priority="1">
      <formula>CELL("PROTECT",E16)=1</formula>
    </cfRule>
  </conditionalFormatting>
  <dataValidations count="7">
    <dataValidation type="list" allowBlank="1" showInputMessage="1" showErrorMessage="1" sqref="F30:F41 F61:F63 F49:F58 F18" xr:uid="{00000000-0002-0000-0300-000000000000}">
      <formula1>Mass_Units</formula1>
    </dataValidation>
    <dataValidation type="list" allowBlank="1" showInputMessage="1" showErrorMessage="1" sqref="F64:F66 F59:F60 F42:F48" xr:uid="{00000000-0002-0000-0300-000001000000}">
      <formula1>Volume_Units</formula1>
    </dataValidation>
    <dataValidation operator="greaterThanOrEqual" allowBlank="1" showInputMessage="1" showErrorMessage="1" error="This entry must be a number greater than or equal to zero._x000a_" sqref="F67" xr:uid="{00000000-0002-0000-0300-000002000000}"/>
    <dataValidation type="decimal" operator="greaterThanOrEqual" allowBlank="1" showInputMessage="1" showErrorMessage="1" error="This entry must be a number greater than or equal to zero._x000a_" sqref="E67" xr:uid="{00000000-0002-0000-0300-000003000000}">
      <formula1>0</formula1>
    </dataValidation>
    <dataValidation type="list" allowBlank="1" showInputMessage="1" showErrorMessage="1" sqref="Y2" xr:uid="{00000000-0002-0000-0300-000004000000}">
      <formula1>"A,B,C,D,Custom"</formula1>
    </dataValidation>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E18 E30:E65" xr:uid="{00000000-0002-0000-0300-000005000000}">
      <formula1>0</formula1>
    </dataValidation>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300-000006000000}">
      <formula1>IF(UnitSystem="SI-Metric (Canada)",CanadaFirstLocations,IF(UnitSystem="US-Imperial (United States)",USFirstLocations,NA()))</formula1>
    </dataValidation>
  </dataValidations>
  <pageMargins left="0.70866141732283472" right="0.70866141732283472" top="0.74803149606299213" bottom="0.74803149606299213" header="0.31496062992125984" footer="0.31496062992125984"/>
  <pageSetup scale="48" fitToWidth="2" fitToHeight="10" orientation="landscape" r:id="rId1"/>
  <ignoredErrors>
    <ignoredError sqref="AO49:AO52 AO61:AO63 AO53:AO58" evalError="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B1:EG112"/>
  <sheetViews>
    <sheetView showGridLines="0" zoomScale="90" zoomScaleNormal="90" workbookViewId="0">
      <selection activeCell="E30" sqref="E30"/>
    </sheetView>
  </sheetViews>
  <sheetFormatPr baseColWidth="10" defaultColWidth="9.1640625" defaultRowHeight="15"/>
  <cols>
    <col min="1" max="1" width="1.5" style="12" customWidth="1"/>
    <col min="2" max="2" width="2.83203125" style="53" customWidth="1"/>
    <col min="3" max="3" width="10.5" style="12" customWidth="1"/>
    <col min="4" max="4" width="57.83203125" style="12" bestFit="1" customWidth="1"/>
    <col min="5" max="6" width="21.6640625" style="12" customWidth="1"/>
    <col min="7" max="7" width="18.33203125" style="12" customWidth="1"/>
    <col min="8" max="10" width="14.6640625" style="12" customWidth="1"/>
    <col min="11" max="11" width="6.6640625" style="12" customWidth="1"/>
    <col min="12" max="12" width="17" style="12" customWidth="1"/>
    <col min="13" max="13" width="21.33203125" style="13" customWidth="1"/>
    <col min="14" max="14" width="4.33203125" style="13" customWidth="1"/>
    <col min="15" max="15" width="15.83203125" style="13" customWidth="1"/>
    <col min="16" max="16" width="14.33203125" style="13" customWidth="1"/>
    <col min="17" max="17" width="4.33203125" style="13" customWidth="1"/>
    <col min="18" max="20" width="4.33203125" style="13" hidden="1" customWidth="1"/>
    <col min="21" max="21" width="4.33203125" hidden="1" customWidth="1"/>
    <col min="22" max="22" width="28.5" hidden="1" customWidth="1"/>
    <col min="23" max="23" width="6" hidden="1" customWidth="1"/>
    <col min="24" max="24" width="6.5" style="65" hidden="1" customWidth="1"/>
    <col min="25" max="25" width="9.5" style="13" hidden="1" customWidth="1"/>
    <col min="26" max="26" width="3.8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0" hidden="1" customWidth="1"/>
    <col min="73" max="73" width="18.6640625" hidden="1" customWidth="1"/>
    <col min="74" max="77" width="18.6640625" style="12" hidden="1" customWidth="1"/>
    <col min="78" max="80" width="8.83203125" style="12" hidden="1" customWidth="1"/>
    <col min="81" max="81" width="9.83203125" style="12" hidden="1" customWidth="1"/>
    <col min="82" max="82" width="9.33203125" style="12" hidden="1" customWidth="1"/>
    <col min="83" max="83" width="8.1640625" style="12" hidden="1" customWidth="1"/>
    <col min="84" max="84" width="16.5" style="12" hidden="1" customWidth="1"/>
    <col min="85" max="85" width="11.6640625" style="12" hidden="1" customWidth="1"/>
    <col min="86" max="86" width="15.1640625" style="12" hidden="1" customWidth="1"/>
    <col min="87" max="134" width="9.1640625" style="12" hidden="1" customWidth="1"/>
    <col min="135" max="156" width="0" style="12" hidden="1" customWidth="1"/>
    <col min="157" max="16384" width="9.1640625" style="12"/>
  </cols>
  <sheetData>
    <row r="1" spans="2:95" ht="16" thickBot="1">
      <c r="BV1"/>
      <c r="BW1"/>
      <c r="BX1"/>
      <c r="BY1"/>
      <c r="BZ1"/>
      <c r="CA1"/>
      <c r="CB1"/>
      <c r="CC1"/>
      <c r="CD1"/>
      <c r="CE1"/>
      <c r="CF1"/>
      <c r="CG1"/>
      <c r="CH1"/>
    </row>
    <row r="2" spans="2:95" ht="24.75" customHeight="1" thickBot="1">
      <c r="C2" s="83" t="str">
        <f>ToolName</f>
        <v>North American Precast Concrete Sustainable Plant Tool</v>
      </c>
      <c r="D2" s="84"/>
      <c r="E2" s="84"/>
      <c r="F2" s="84"/>
      <c r="G2" s="84"/>
      <c r="H2" s="84"/>
      <c r="I2" s="84"/>
      <c r="J2" s="84"/>
      <c r="K2" s="84"/>
      <c r="L2" s="84"/>
      <c r="M2" s="84"/>
      <c r="N2" s="84"/>
      <c r="O2" s="84"/>
      <c r="P2" s="85"/>
      <c r="X2" s="595" t="s">
        <v>806</v>
      </c>
      <c r="Y2" s="628" t="s">
        <v>839</v>
      </c>
      <c r="Z2" s="626" t="str">
        <f>IF($Y$2="A","Structural",IF($Y$2="B","Architectural",IF($Y$2="C","Insulated Architectural",IF($Y$2="D","Underground",IF($Y$2="Custom","Custom Project Calculator",NA())))))</f>
        <v>Architectural</v>
      </c>
      <c r="AA2"/>
      <c r="AB2"/>
      <c r="AC2"/>
      <c r="AD2"/>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c r="CB2"/>
      <c r="CC2"/>
      <c r="CD2"/>
      <c r="CE2"/>
      <c r="CF2"/>
      <c r="CG2"/>
      <c r="CH2"/>
      <c r="CI2"/>
      <c r="CJ2"/>
      <c r="CK2"/>
      <c r="CL2"/>
      <c r="CM2"/>
      <c r="CN2"/>
      <c r="CO2"/>
      <c r="CP2"/>
      <c r="CQ2"/>
    </row>
    <row r="3" spans="2:95" ht="8.25" customHeight="1">
      <c r="C3" s="14"/>
      <c r="D3" s="14"/>
      <c r="E3"/>
      <c r="F3"/>
      <c r="G3"/>
      <c r="H3"/>
      <c r="I3"/>
      <c r="J3"/>
      <c r="K3" s="577"/>
      <c r="L3"/>
      <c r="M3"/>
      <c r="N3"/>
      <c r="O3"/>
      <c r="P3"/>
      <c r="Q3" s="547"/>
      <c r="R3" s="547"/>
      <c r="S3" s="547"/>
      <c r="X3" s="595" t="s">
        <v>804</v>
      </c>
      <c r="Y3" s="626" t="str">
        <f>IF(Y2="Custom",Z2,Y2&amp;"-PCR-"&amp;Z2)</f>
        <v>B-PCR-Architectural</v>
      </c>
      <c r="AA3"/>
      <c r="AB3"/>
      <c r="AC3"/>
      <c r="AD3"/>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337" t="str">
        <f>INDEX(EPD_Measures,1)</f>
        <v>Global warming potential (GWP)</v>
      </c>
      <c r="BM3" s="337" t="str">
        <f>INDEX(EPD_Measures,2)</f>
        <v>Acidification potential</v>
      </c>
      <c r="BN3" s="337" t="str">
        <f>INDEX(EPD_Measures,3)</f>
        <v>Eutrophication potential</v>
      </c>
      <c r="BO3" s="337" t="str">
        <f>INDEX(EPD_Measures,4)</f>
        <v>Smog creation potential</v>
      </c>
      <c r="BP3" s="337" t="str">
        <f>INDEX(EPD_Measures,5)</f>
        <v>Ozone depletion potential</v>
      </c>
      <c r="BQ3" s="337" t="str">
        <f>INDEX(EPD_Measures,6)</f>
        <v>Total primary energy consumption</v>
      </c>
      <c r="BR3" s="337" t="str">
        <f>INDEX(EPD_Measures,7)</f>
        <v>Nonrenewable energy resources</v>
      </c>
      <c r="BS3" s="337" t="str">
        <f>INDEX(EPD_Measures,8)</f>
        <v>Renewable energy resources</v>
      </c>
      <c r="BT3" s="337" t="str">
        <f>INDEX(EPD_Measures,9)</f>
        <v>Material resources consumption</v>
      </c>
      <c r="BU3" s="337" t="str">
        <f>INDEX(EPD_Measures,10)</f>
        <v>Nonrenewable material resources</v>
      </c>
      <c r="BV3" s="337" t="str">
        <f>INDEX(EPD_Measures,11)</f>
        <v>Renewable material resources</v>
      </c>
      <c r="BW3" s="337" t="s">
        <v>105</v>
      </c>
      <c r="BX3" s="565" t="str">
        <f>INDEX(EPD_Measures,13)</f>
        <v>Non-hazardous waste generated</v>
      </c>
      <c r="BY3" s="565" t="str">
        <f>INDEX(EPD_Measures,14)</f>
        <v>Hazardous waste generated</v>
      </c>
      <c r="BZ3"/>
      <c r="CA3"/>
      <c r="CB3"/>
      <c r="CC3"/>
      <c r="CD3"/>
      <c r="CE3"/>
      <c r="CF3"/>
      <c r="CG3"/>
      <c r="CH3"/>
      <c r="CI3"/>
      <c r="CJ3"/>
      <c r="CK3"/>
      <c r="CL3"/>
      <c r="CM3"/>
      <c r="CN3"/>
      <c r="CO3"/>
      <c r="CP3"/>
      <c r="CQ3"/>
    </row>
    <row r="4" spans="2:95" ht="8.25" customHeight="1">
      <c r="C4" s="14"/>
      <c r="D4" s="14"/>
      <c r="E4"/>
      <c r="F4"/>
      <c r="G4"/>
      <c r="H4"/>
      <c r="I4"/>
      <c r="J4"/>
      <c r="K4" s="577"/>
      <c r="L4"/>
      <c r="M4"/>
      <c r="N4"/>
      <c r="O4"/>
      <c r="P4"/>
      <c r="Q4" s="547"/>
      <c r="R4" s="547"/>
      <c r="S4" s="547"/>
      <c r="X4" s="595" t="s">
        <v>805</v>
      </c>
      <c r="Y4" s="627" t="str">
        <f>IF(Y2="Custom","Custom Project",Z2&amp;" Precast Products")</f>
        <v>Architectural Precast Products</v>
      </c>
      <c r="Z4" s="1"/>
      <c r="AA4"/>
      <c r="AB4"/>
      <c r="AC4"/>
      <c r="AD4"/>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c r="CB4"/>
      <c r="CC4"/>
      <c r="CD4"/>
      <c r="CE4"/>
      <c r="CF4"/>
      <c r="CG4"/>
      <c r="CH4"/>
      <c r="CI4"/>
      <c r="CJ4"/>
      <c r="CK4"/>
      <c r="CL4"/>
      <c r="CM4"/>
      <c r="CN4"/>
      <c r="CO4"/>
      <c r="CP4"/>
      <c r="CQ4"/>
    </row>
    <row r="5" spans="2:95" ht="8.25" customHeight="1">
      <c r="C5" s="14"/>
      <c r="D5" s="14"/>
      <c r="E5"/>
      <c r="F5"/>
      <c r="G5"/>
      <c r="H5"/>
      <c r="I5"/>
      <c r="J5"/>
      <c r="K5" s="577"/>
      <c r="L5"/>
      <c r="M5"/>
      <c r="N5"/>
      <c r="O5"/>
      <c r="P5"/>
      <c r="Q5" s="547"/>
      <c r="R5" s="547"/>
      <c r="S5" s="547"/>
      <c r="W5" s="12"/>
      <c r="X5" s="595" t="s">
        <v>863</v>
      </c>
      <c r="Y5" s="1" t="s">
        <v>817</v>
      </c>
      <c r="Z5" s="87" t="s">
        <v>864</v>
      </c>
      <c r="AA5"/>
      <c r="AB5"/>
      <c r="AC5"/>
      <c r="AD5"/>
      <c r="AO5" s="12"/>
      <c r="AP5" s="12"/>
      <c r="AW5" t="s">
        <v>494</v>
      </c>
      <c r="AX5" s="152">
        <f t="shared" ref="AX5:BH5" si="0">IF($AR$18=0,0,AX$68+BM$71+AU$87+AX$103*$AY$92+BM$108*$AY$92)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IF($AR$18=0,0,$AX$10+$AX$14+$AX$16)</f>
        <v>0</v>
      </c>
      <c r="BJ5" s="603">
        <f>IF($AR$18=0,0,BJ$68+BY$71+BG$87+BJ$103*$AY$92+BY$108*$AY$92+SUM($AT$100:$AT$102))</f>
        <v>0</v>
      </c>
      <c r="BK5" s="603">
        <f>IF($AR$18=0,0,BK$68+BZ$71+BH$87+BK$103*$AY$92+BZ$108*$AY$92+SUM($AT$97:$AT$99))</f>
        <v>0</v>
      </c>
      <c r="BL5" s="337">
        <f>IF($AR$18=0,0,AX$5/$AR$18)</f>
        <v>0</v>
      </c>
      <c r="BM5" s="337">
        <f t="shared" ref="BM5:BY5" si="1">IF($AR$18=0,0,AY$5/$AR$18)</f>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c r="CB5"/>
      <c r="CC5"/>
      <c r="CD5"/>
      <c r="CE5"/>
      <c r="CF5"/>
      <c r="CG5"/>
      <c r="CH5"/>
      <c r="CI5"/>
      <c r="CJ5"/>
      <c r="CK5"/>
      <c r="CL5"/>
      <c r="CM5"/>
      <c r="CN5"/>
      <c r="CO5"/>
      <c r="CP5"/>
      <c r="CQ5"/>
    </row>
    <row r="6" spans="2:95" ht="20.25" customHeight="1">
      <c r="C6" s="658" t="str">
        <f>IF(W13&lt;&gt;1,"Plant Inputs Data is Not Complete","Data Input is " &amp; ROUND($X$13*100,0)&amp; "% Complete")</f>
        <v>Plant Inputs Data is Not Complete</v>
      </c>
      <c r="D6" s="658"/>
      <c r="E6"/>
      <c r="F6"/>
      <c r="G6"/>
      <c r="H6"/>
      <c r="I6"/>
      <c r="J6"/>
      <c r="K6" s="577"/>
      <c r="L6"/>
      <c r="M6"/>
      <c r="N6"/>
      <c r="O6"/>
      <c r="P6"/>
      <c r="Q6" s="547"/>
      <c r="R6" s="547"/>
      <c r="S6" s="547"/>
      <c r="X6"/>
      <c r="Y6" s="1" t="s">
        <v>839</v>
      </c>
      <c r="Z6" s="87" t="s">
        <v>865</v>
      </c>
      <c r="AA6"/>
      <c r="AB6"/>
      <c r="AC6"/>
      <c r="AD6"/>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c r="CB6"/>
      <c r="CC6"/>
      <c r="CD6"/>
      <c r="CE6"/>
      <c r="CF6"/>
      <c r="CG6"/>
      <c r="CH6"/>
      <c r="CI6"/>
      <c r="CJ6"/>
      <c r="CK6"/>
      <c r="CL6"/>
      <c r="CM6"/>
      <c r="CN6"/>
      <c r="CO6"/>
      <c r="CP6"/>
      <c r="CQ6"/>
    </row>
    <row r="7" spans="2:95" ht="20.25" customHeight="1">
      <c r="C7" s="54"/>
      <c r="D7" s="54"/>
      <c r="E7"/>
      <c r="F7"/>
      <c r="G7"/>
      <c r="H7"/>
      <c r="I7"/>
      <c r="J7"/>
      <c r="K7" s="577"/>
      <c r="L7"/>
      <c r="M7"/>
      <c r="N7"/>
      <c r="O7"/>
      <c r="P7"/>
      <c r="Q7" s="547"/>
      <c r="R7" s="547"/>
      <c r="S7" s="547"/>
      <c r="X7"/>
      <c r="Y7" s="1" t="s">
        <v>840</v>
      </c>
      <c r="Z7" s="87" t="s">
        <v>866</v>
      </c>
      <c r="AA7"/>
      <c r="AB7"/>
      <c r="AC7"/>
      <c r="AD7"/>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IF($AR$18=0,0,AX$5*INDEX(Conversion_Table,MATCH(TRACICalcUnit,Conversion_Rows,0),MATCH(TRACIPerTonneDisplayUnit,Conversion_Columns,0))/$AT$18)</f>
        <v>0</v>
      </c>
      <c r="BM7" s="337">
        <f>IF($AR$18=0,0,AY$5*INDEX(Conversion_Table,MATCH(TRACICalcUnit,Conversion_Rows,0),MATCH(TRACIPerTonneDisplayUnit,Conversion_Columns,0))/$AT$18)</f>
        <v>0</v>
      </c>
      <c r="BN7" s="337">
        <f>IF($AR$18=0,0,AZ$5*INDEX(Conversion_Table,MATCH(TRACICalcUnit,Conversion_Rows,0),MATCH(TRACIPerTonneDisplayUnit,Conversion_Columns,0))/$AT$18)</f>
        <v>0</v>
      </c>
      <c r="BO7" s="337">
        <f>IF($AR$18=0,0,BA$5*INDEX(Conversion_Table,MATCH(TRACICalcUnit,Conversion_Rows,0),MATCH(TRACIPerTonneDisplayUnit,Conversion_Columns,0))/$AT$18)</f>
        <v>0</v>
      </c>
      <c r="BP7" s="337">
        <f>IF($AR$18=0,0,BB$5*INDEX(Conversion_Table,MATCH(TRACICalcUnit,Conversion_Rows,0),MATCH(TRACIPerTonneDisplayUnit,Conversion_Columns,0))/$AT$18)</f>
        <v>0</v>
      </c>
      <c r="BQ7" s="337">
        <f>IF($AR$18=0,0,BC$5*INDEX(Conversion_Table,MATCH(EnergyCalcUnit,Conversion_Rows,0),MATCH(EnergyPerTonneDisplayUnit,Conversion_Columns,0))/$AT$18)</f>
        <v>0</v>
      </c>
      <c r="BR7" s="337">
        <f>IF($AR$18=0,0,BD$5*INDEX(Conversion_Table,MATCH(EnergyCalcUnit,Conversion_Rows,0),MATCH(EnergyPerTonneDisplayUnit,Conversion_Columns,0))/$AT$18)</f>
        <v>0</v>
      </c>
      <c r="BS7" s="337">
        <f>IF($AR$18=0,0,BE$5*INDEX(Conversion_Table,MATCH(EnergyCalcUnit,Conversion_Rows,0),MATCH(EnergyPerTonneDisplayUnit,Conversion_Columns,0))/$AT$18)</f>
        <v>0</v>
      </c>
      <c r="BT7" s="337">
        <f>IF($AR$18=0,0,BF$5*INDEX(Conversion_Table,MATCH(MassCalcUnit,Conversion_Rows,0),MATCH(MassDisplayUnit,Conversion_Columns,0))/$AT$18)</f>
        <v>0</v>
      </c>
      <c r="BU7" s="337">
        <f>IF($AR$18=0,0,BG$5*INDEX(Conversion_Table,MATCH(MassCalcUnit,Conversion_Rows,0),MATCH(MassDisplayUnit,Conversion_Columns,0))/$AT$18)</f>
        <v>0</v>
      </c>
      <c r="BV7" s="337">
        <f>IF($AR$18=0,0,BH$5*INDEX(Conversion_Table,MATCH(MassCalcUnit,Conversion_Rows,0),MATCH(MassDisplayUnit,Conversion_Columns,0))/$AT$18)</f>
        <v>0</v>
      </c>
      <c r="BW7" s="337">
        <f>IF($AR$18=0,0,BI$5*INDEX(Conversion_Table,MATCH(WaterCalcUnit,Conversion_Rows,0),MATCH(WaterPerTonneDisplayUnit,Conversion_Columns,0))/$AT$18)</f>
        <v>0</v>
      </c>
      <c r="BX7" s="337">
        <f>IF($AR$18=0,0,BJ$5*INDEX(Conversion_Table,MATCH(MassCalcUnit,Conversion_Rows,0),MATCH(MassDisplayUnit,Conversion_Columns,0))/$AT$18)</f>
        <v>0</v>
      </c>
      <c r="BY7" s="337">
        <f>IF($AR$18=0,0,BK$5*INDEX(Conversion_Table,MATCH(MassCalcUnit,Conversion_Rows,0),MATCH(MassDisplayUnit,Conversion_Columns,0))/$AT$18)</f>
        <v>0</v>
      </c>
      <c r="BZ7"/>
      <c r="CA7"/>
      <c r="CB7"/>
      <c r="CC7"/>
      <c r="CD7"/>
      <c r="CE7"/>
      <c r="CF7"/>
      <c r="CG7"/>
      <c r="CH7"/>
      <c r="CI7"/>
      <c r="CJ7"/>
      <c r="CK7"/>
      <c r="CL7"/>
      <c r="CM7"/>
      <c r="CN7"/>
      <c r="CO7"/>
      <c r="CP7"/>
      <c r="CQ7"/>
    </row>
    <row r="8" spans="2:95" ht="20.25" customHeight="1">
      <c r="C8" s="54"/>
      <c r="D8" s="54"/>
      <c r="E8"/>
      <c r="F8"/>
      <c r="G8"/>
      <c r="H8"/>
      <c r="I8"/>
      <c r="J8"/>
      <c r="K8" s="577"/>
      <c r="L8"/>
      <c r="M8"/>
      <c r="N8"/>
      <c r="O8"/>
      <c r="P8"/>
      <c r="Q8" s="547"/>
      <c r="R8" s="547"/>
      <c r="S8" s="547"/>
      <c r="W8" s="12"/>
      <c r="X8"/>
      <c r="Y8" s="634" t="s">
        <v>630</v>
      </c>
      <c r="Z8" s="216" t="s">
        <v>867</v>
      </c>
      <c r="AA8"/>
      <c r="AB8"/>
      <c r="AC8"/>
      <c r="AD8"/>
      <c r="AW8" s="12" t="s">
        <v>497</v>
      </c>
      <c r="AX8" s="152" t="str">
        <f t="shared" ref="AX8:BU8" si="3">FIXED(AX$7,0,FALSE)</f>
        <v>0</v>
      </c>
      <c r="AY8" s="152" t="str">
        <f t="shared" si="3"/>
        <v>0</v>
      </c>
      <c r="AZ8" s="152" t="str">
        <f t="shared" si="3"/>
        <v>0</v>
      </c>
      <c r="BA8" s="152" t="str">
        <f t="shared" si="3"/>
        <v>0</v>
      </c>
      <c r="BB8" s="152" t="str">
        <f t="shared" si="3"/>
        <v>0</v>
      </c>
      <c r="BC8" s="152" t="str">
        <f t="shared" si="3"/>
        <v>0</v>
      </c>
      <c r="BD8" s="152" t="str">
        <f t="shared" si="3"/>
        <v>0</v>
      </c>
      <c r="BE8" s="152" t="str">
        <f t="shared" si="3"/>
        <v>0</v>
      </c>
      <c r="BF8" s="152" t="str">
        <f t="shared" si="3"/>
        <v>0</v>
      </c>
      <c r="BG8" s="152" t="str">
        <f t="shared" si="3"/>
        <v>0</v>
      </c>
      <c r="BH8" s="152" t="str">
        <f t="shared" si="3"/>
        <v>0</v>
      </c>
      <c r="BI8" s="152" t="str">
        <f t="shared" si="3"/>
        <v>0</v>
      </c>
      <c r="BJ8" s="152" t="str">
        <f t="shared" si="3"/>
        <v>0</v>
      </c>
      <c r="BK8" s="152"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FIXED(BV$7,0,FALSE)</f>
        <v>0</v>
      </c>
      <c r="BW8" s="337" t="str">
        <f>FIXED(BW$7,0,FALSE)</f>
        <v>0</v>
      </c>
      <c r="BX8" s="337" t="str">
        <f t="shared" ref="BX8:BY8" si="4">FIXED(BX$7,0,FALSE)</f>
        <v>0</v>
      </c>
      <c r="BY8" s="337" t="str">
        <f t="shared" si="4"/>
        <v>0</v>
      </c>
      <c r="BZ8"/>
      <c r="CA8"/>
      <c r="CB8"/>
      <c r="CC8"/>
      <c r="CD8"/>
      <c r="CE8"/>
      <c r="CF8"/>
      <c r="CG8"/>
      <c r="CH8"/>
      <c r="CI8"/>
      <c r="CJ8"/>
      <c r="CK8"/>
      <c r="CL8"/>
      <c r="CM8"/>
      <c r="CN8"/>
      <c r="CO8"/>
      <c r="CP8"/>
      <c r="CQ8"/>
    </row>
    <row r="9" spans="2:95" ht="20.25" customHeight="1">
      <c r="C9" s="631" t="str">
        <f>IF($Y$2="Custom",$Y$4,"PCR Category: "&amp;$Y$4)</f>
        <v>PCR Category: Architectural Precast Products</v>
      </c>
      <c r="D9" s="54"/>
      <c r="E9"/>
      <c r="F9"/>
      <c r="G9"/>
      <c r="H9"/>
      <c r="I9" s="3"/>
      <c r="J9" s="3"/>
      <c r="K9" s="577"/>
      <c r="L9"/>
      <c r="M9"/>
      <c r="N9"/>
      <c r="O9"/>
      <c r="P9"/>
      <c r="Q9" s="547"/>
      <c r="R9" s="547"/>
      <c r="S9" s="547"/>
      <c r="W9" s="12"/>
      <c r="X9"/>
      <c r="Y9" s="13" t="str">
        <f>IF($Y$2="Custom","",VLOOKUP($Y$2,$Y$5:$AA$8,2,FALSE))</f>
        <v>single-wythe exterior wall panels and architectural trim products. Architectural precast products can be conventionally reinforced or prestressed concrete that will be permanently exposed to view and therefore require special care in selection of the concrete materials, forming, placing, and finishing to obtain the desired architectural appearance.</v>
      </c>
      <c r="AA9"/>
      <c r="AB9"/>
      <c r="AC9"/>
      <c r="AD9"/>
      <c r="AW9" s="338" t="s">
        <v>105</v>
      </c>
      <c r="AX9" s="338" t="str">
        <f>WaterCalcUnit</f>
        <v>m3</v>
      </c>
      <c r="AY9" s="338" t="str">
        <f>WaterCalcUnit&amp;"/"&amp;MassCalcUnit</f>
        <v>m3/tonne</v>
      </c>
    </row>
    <row r="10" spans="2:95" ht="20.25" customHeight="1" thickBot="1">
      <c r="C10" s="14"/>
      <c r="D10" s="14"/>
      <c r="E10" s="14"/>
      <c r="F10" s="14"/>
      <c r="G10" s="14"/>
      <c r="H10" s="14"/>
      <c r="I10" s="14"/>
      <c r="J10" s="14"/>
      <c r="K10" s="577"/>
      <c r="L10"/>
      <c r="M10"/>
      <c r="N10"/>
      <c r="O10"/>
      <c r="P10"/>
      <c r="Q10" s="547"/>
      <c r="R10" s="547"/>
      <c r="S10" s="547"/>
      <c r="X10"/>
      <c r="Y10" s="15"/>
      <c r="Z10" s="15"/>
      <c r="AA10"/>
      <c r="AB10"/>
      <c r="AC10"/>
      <c r="AD10"/>
      <c r="AE10" s="15"/>
      <c r="AF10" s="15"/>
      <c r="AG10" s="15"/>
      <c r="AH10" s="15"/>
      <c r="AI10" s="15"/>
      <c r="AJ10" s="15"/>
      <c r="AK10" s="15"/>
      <c r="AL10" s="15"/>
      <c r="AW10" s="338" t="s">
        <v>505</v>
      </c>
      <c r="AX10" s="339">
        <f>IF($AR$18=0,0,$BI$68+$BF$87+$BX$71+$BI$103*$AY$92+$BX$108*$AY$92)</f>
        <v>0</v>
      </c>
      <c r="AY10" s="340">
        <f>IF($AR$18=0,0,$AX10/$AR$18)</f>
        <v>0</v>
      </c>
    </row>
    <row r="11" spans="2:95" ht="20.25" customHeight="1" thickBot="1">
      <c r="C11" s="16" t="s">
        <v>583</v>
      </c>
      <c r="D11" s="17"/>
      <c r="E11" s="17"/>
      <c r="F11" s="18"/>
      <c r="G11" s="691" t="str">
        <f>IF($Y$2="Custom","This page is to be used to customize results for a specific project or product.  
For example, if you want to calculate the effects of hollow core production, enter the total hollow core production mass in E22, then enter the material quantities in E"&amp;ROW($C$29)&amp;"-E"&amp;ROW($C$64)&amp;".  
The results for hollow core are then calculated using the same cement profile from Cement Sources and the the plant operating energy and waste from Plant Inputs.",$Y$4&amp;" include "&amp;$Y$9)</f>
        <v>Architectural Precast Products include single-wythe exterior wall panels and architectural trim products. Architectural precast products can be conventionally reinforced or prestressed concrete that will be permanently exposed to view and therefore require special care in selection of the concrete materials, forming, placing, and finishing to obtain the desired architectural appearance.</v>
      </c>
      <c r="H11" s="692"/>
      <c r="I11" s="692"/>
      <c r="J11" s="692"/>
      <c r="K11" s="577"/>
      <c r="L11"/>
      <c r="M11"/>
      <c r="N11"/>
      <c r="O11"/>
      <c r="P11"/>
      <c r="Q11" s="547"/>
      <c r="R11" s="547"/>
      <c r="S11" s="547"/>
      <c r="V11" s="1" t="s">
        <v>250</v>
      </c>
      <c r="W11" s="65">
        <f>'Plant Inputs'!X11</f>
        <v>0</v>
      </c>
      <c r="X11" s="67">
        <f>SUM(X16,X18,X30:X64,X65:X67,X76:X86)</f>
        <v>1</v>
      </c>
      <c r="Y11" s="13" t="s">
        <v>64</v>
      </c>
      <c r="AA11"/>
      <c r="AB11"/>
      <c r="AC11"/>
      <c r="AD11"/>
      <c r="AW11" s="338" t="str">
        <f>$D$65</f>
        <v>Total Batch Water Use</v>
      </c>
      <c r="AX11" s="340">
        <f>IF($AR$18=0,0,$AP$65*INDEX(Conversion_Table,MATCH($AQ$65,Conversion_Rows,0),MATCH(WaterCalcUnit,Conversion_Columns,0)))</f>
        <v>0</v>
      </c>
      <c r="AY11" s="340">
        <f>IF($AR$18=0,0,$AX11/$AR$18)</f>
        <v>0</v>
      </c>
    </row>
    <row r="12" spans="2:95" ht="20.25" customHeight="1" thickBot="1">
      <c r="C12" s="73" t="s">
        <v>243</v>
      </c>
      <c r="D12" s="74"/>
      <c r="E12" s="74"/>
      <c r="F12" s="133"/>
      <c r="G12" s="691"/>
      <c r="H12" s="692"/>
      <c r="I12" s="692"/>
      <c r="J12" s="692"/>
      <c r="K12" s="577"/>
      <c r="L12"/>
      <c r="M12"/>
      <c r="N12"/>
      <c r="O12"/>
      <c r="P12"/>
      <c r="Q12" s="547"/>
      <c r="R12" s="547"/>
      <c r="S12" s="547"/>
      <c r="V12" s="1" t="s">
        <v>249</v>
      </c>
      <c r="W12" s="65">
        <f>'Plant Inputs'!X12</f>
        <v>99</v>
      </c>
      <c r="X12" s="65">
        <v>51</v>
      </c>
      <c r="Y12" s="13" t="s">
        <v>65</v>
      </c>
      <c r="AA12"/>
      <c r="AB12"/>
      <c r="AC12"/>
      <c r="AD12"/>
      <c r="AW12" s="338" t="str">
        <f>$D$66</f>
        <v>Total Plant Water Use</v>
      </c>
      <c r="AX12" s="340">
        <f>$AY$12*$AR$18</f>
        <v>0</v>
      </c>
      <c r="AY12" s="340">
        <f>'Plant Inputs'!$AY$12</f>
        <v>0</v>
      </c>
      <c r="AZ12" s="604">
        <f>E66*INDEX(Conversion_Table,MATCH($F$66,Conversion_Rows,0),MATCH(WaterCalcUnit,Conversion_Columns,0))</f>
        <v>0</v>
      </c>
    </row>
    <row r="13" spans="2:95" ht="20.25" customHeight="1">
      <c r="C13" s="19"/>
      <c r="D13" s="20"/>
      <c r="E13" s="20"/>
      <c r="F13" s="134"/>
      <c r="G13" s="691"/>
      <c r="H13" s="692"/>
      <c r="I13" s="692"/>
      <c r="J13" s="692"/>
      <c r="K13" s="577"/>
      <c r="L13"/>
      <c r="M13"/>
      <c r="N13"/>
      <c r="O13"/>
      <c r="P13"/>
      <c r="Q13" s="547"/>
      <c r="R13" s="547"/>
      <c r="S13" s="547"/>
      <c r="V13" s="1" t="s">
        <v>251</v>
      </c>
      <c r="W13" s="66">
        <f>'Plant Inputs'!X13</f>
        <v>0</v>
      </c>
      <c r="X13" s="66">
        <f>IF(OR(X12=0,W13&lt;&gt;1),0,IF(ISERROR(X11/X12),0,X11/X12))</f>
        <v>0</v>
      </c>
      <c r="Y13" s="13" t="s">
        <v>66</v>
      </c>
      <c r="AA13"/>
      <c r="AB13"/>
      <c r="AC13"/>
      <c r="AD13"/>
      <c r="AW13" s="338" t="str">
        <f>$D$67</f>
        <v>Percentage of Batch Water that is Recycled Water</v>
      </c>
      <c r="AX13" s="341">
        <f>IF($AR$18=0,0,$E$67/100)</f>
        <v>0</v>
      </c>
      <c r="AY13" s="341"/>
    </row>
    <row r="14" spans="2:95" ht="20.25" customHeight="1">
      <c r="C14" s="21" t="s">
        <v>248</v>
      </c>
      <c r="D14" s="22"/>
      <c r="E14" s="22"/>
      <c r="F14" s="134"/>
      <c r="G14" s="691"/>
      <c r="H14" s="692"/>
      <c r="I14" s="692"/>
      <c r="J14" s="692"/>
      <c r="K14" s="577"/>
      <c r="L14"/>
      <c r="M14"/>
      <c r="N14"/>
      <c r="O14"/>
      <c r="P14"/>
      <c r="Q14" s="547"/>
      <c r="R14" s="547"/>
      <c r="S14" s="547"/>
      <c r="AA14"/>
      <c r="AB14"/>
      <c r="AC14"/>
      <c r="AD14"/>
      <c r="AW14" s="338" t="s">
        <v>580</v>
      </c>
      <c r="AX14" s="340">
        <f>IF($AR$18=0,0,$AX$11*(1-$AX$13))</f>
        <v>0</v>
      </c>
      <c r="AY14" s="340">
        <f>IF($AR$18=0,0,$AX14/$AR$18)</f>
        <v>0</v>
      </c>
    </row>
    <row r="15" spans="2:95" ht="20.25" customHeight="1">
      <c r="C15" s="23" t="s">
        <v>2</v>
      </c>
      <c r="D15" s="24" t="s">
        <v>11</v>
      </c>
      <c r="E15" s="25" t="s">
        <v>11</v>
      </c>
      <c r="F15" s="134"/>
      <c r="G15" s="691"/>
      <c r="H15" s="692"/>
      <c r="I15" s="692"/>
      <c r="J15" s="692"/>
      <c r="K15" s="577"/>
      <c r="L15"/>
      <c r="M15"/>
      <c r="N15"/>
      <c r="O15"/>
      <c r="P15"/>
      <c r="Q15" s="547"/>
      <c r="R15" s="547"/>
      <c r="S15" s="547"/>
      <c r="AA15"/>
      <c r="AB15"/>
      <c r="AC15"/>
      <c r="AD15"/>
      <c r="AM15" s="1" t="s">
        <v>485</v>
      </c>
      <c r="AO15">
        <f>IF(COUNTIF(Locations_USA,$E$16)=1,VLOOKUP($E$16,Locations_USA,3,FALSE),IF(COUNTIF(Locations_CAN,$E$16)=1,VLOOKUP($E$16,Locations_CAN,3,FALSE),NA()))</f>
        <v>0</v>
      </c>
      <c r="AW15" s="338" t="s">
        <v>581</v>
      </c>
      <c r="AX15" s="340">
        <f>IF($AR$18=0,0,$AX$11*$AX$13)</f>
        <v>0</v>
      </c>
      <c r="AY15" s="340">
        <f>IF($AR$18=0,0,$AX15/$AR$18)</f>
        <v>0</v>
      </c>
    </row>
    <row r="16" spans="2:95" ht="20.25" customHeight="1">
      <c r="B16" s="53">
        <f t="shared" ref="B16" si="5">X16</f>
        <v>0</v>
      </c>
      <c r="C16" s="26">
        <v>1</v>
      </c>
      <c r="D16" s="27" t="s">
        <v>58</v>
      </c>
      <c r="E16" s="636" t="str">
        <f>PlantLocation</f>
        <v>Insert Location</v>
      </c>
      <c r="F16" s="659" t="s">
        <v>6</v>
      </c>
      <c r="G16" s="691"/>
      <c r="H16" s="692"/>
      <c r="I16" s="692"/>
      <c r="J16" s="692"/>
      <c r="K16" s="3"/>
      <c r="L16"/>
      <c r="M16"/>
      <c r="N16"/>
      <c r="O16"/>
      <c r="P16"/>
      <c r="X16" s="65">
        <f>IF(OR(ISBLANK(E16),E16="Insert Location"),0,1)</f>
        <v>0</v>
      </c>
      <c r="AA16"/>
      <c r="AB16"/>
      <c r="AC16"/>
      <c r="AD16"/>
      <c r="AM16" s="1" t="str">
        <f>D16</f>
        <v>Plant Location</v>
      </c>
      <c r="AN16" s="87" t="str">
        <f>E16</f>
        <v>Insert Location</v>
      </c>
      <c r="AO16">
        <f>IF(COUNTIF(Locations_USA,$E$16)=1,VLOOKUP($E$16,Locations_USA,2,FALSE),IF(COUNTIF(Locations_CAN,$E$16)=1,VLOOKUP($E$16,Locations_CAN,2,FALSE),NA()))</f>
        <v>0</v>
      </c>
      <c r="AT16" s="87" t="s">
        <v>491</v>
      </c>
      <c r="AW16" s="338" t="s">
        <v>579</v>
      </c>
      <c r="AX16" s="340">
        <f>IF($AR$18=0,0,$AX$12-$AX$14)</f>
        <v>0</v>
      </c>
      <c r="AY16" s="340">
        <f>IF($AR$18=0,0,$AX16/$AR$18)</f>
        <v>0</v>
      </c>
    </row>
    <row r="17" spans="2:137" ht="20.25" customHeight="1">
      <c r="C17" s="28"/>
      <c r="D17" s="24" t="s">
        <v>91</v>
      </c>
      <c r="E17" s="25" t="s">
        <v>12</v>
      </c>
      <c r="F17" s="660"/>
      <c r="G17" s="691"/>
      <c r="H17" s="692"/>
      <c r="I17" s="692"/>
      <c r="J17" s="692"/>
      <c r="K17" s="3"/>
      <c r="L17"/>
      <c r="M17"/>
      <c r="N17"/>
      <c r="O17"/>
      <c r="P17"/>
      <c r="X17" s="13"/>
      <c r="AA17"/>
      <c r="AB17"/>
      <c r="AC17"/>
      <c r="AD17"/>
      <c r="AN17" s="1" t="s">
        <v>129</v>
      </c>
      <c r="AO17" s="1" t="s">
        <v>126</v>
      </c>
      <c r="AP17" s="87" t="s">
        <v>79</v>
      </c>
      <c r="AQ17" s="87" t="s">
        <v>210</v>
      </c>
      <c r="AR17" s="1" t="s">
        <v>102</v>
      </c>
      <c r="AS17" s="87" t="s">
        <v>136</v>
      </c>
      <c r="AT17" s="1"/>
      <c r="AU17" s="87"/>
      <c r="AV17" s="87"/>
    </row>
    <row r="18" spans="2:137" ht="20.25" customHeight="1" thickBot="1">
      <c r="B18" s="53">
        <f>X18</f>
        <v>1</v>
      </c>
      <c r="C18" s="425">
        <v>2</v>
      </c>
      <c r="D18" s="424" t="str">
        <f>"Total Output of "&amp;$Y$4</f>
        <v>Total Output of Architectural Precast Products</v>
      </c>
      <c r="E18" s="637">
        <f>$AD$18</f>
        <v>0</v>
      </c>
      <c r="F18" s="638" t="str">
        <f>$AE$18</f>
        <v>short ton</v>
      </c>
      <c r="G18" s="691"/>
      <c r="H18" s="692"/>
      <c r="I18" s="692"/>
      <c r="J18" s="692"/>
      <c r="K18" s="3"/>
      <c r="L18"/>
      <c r="M18"/>
      <c r="N18"/>
      <c r="O18"/>
      <c r="P18"/>
      <c r="Q18" s="65"/>
      <c r="R18" s="65"/>
      <c r="S18" s="65"/>
      <c r="X18" s="65">
        <f>IF(ISBLANK(E18),0,1)</f>
        <v>1</v>
      </c>
      <c r="Y18" s="216">
        <f>IF($X18=1,1,0)</f>
        <v>1</v>
      </c>
      <c r="AD18" s="635">
        <f>IF($Y$2="A",'Plant Inputs'!$E$18,IF($Y$2="B",'Plant Inputs'!$E$19,IF($Y$2="C",'Plant Inputs'!$E$20,IF($Y$2="D",'Plant Inputs'!$E$21,""))))</f>
        <v>0</v>
      </c>
      <c r="AE18" s="635" t="str">
        <f>IF($Y$2="A",'Plant Inputs'!$F$18,IF($Y$2="B",'Plant Inputs'!$F$19,IF($Y$2="C",'Plant Inputs'!$F$20,IF($Y$2="D",'Plant Inputs'!$F$21,MassDisplayUnit))))</f>
        <v>short ton</v>
      </c>
      <c r="AM18" s="1" t="str">
        <f>D18</f>
        <v>Total Output of Architectural Precast Products</v>
      </c>
      <c r="AN18" s="1">
        <f>E18</f>
        <v>0</v>
      </c>
      <c r="AO18" s="1" t="str">
        <f>F18</f>
        <v>short ton</v>
      </c>
      <c r="AP18" s="1">
        <f>INDEX(Conversion_Table,MATCH($AO18,Conversion_Rows,0),MATCH($AS18,Conversion_Columns,0))</f>
        <v>0.90718499588591606</v>
      </c>
      <c r="AQ18" s="87" t="str">
        <f>AS18&amp;"/"&amp;AO18</f>
        <v>tonne/short ton</v>
      </c>
      <c r="AR18">
        <f>AN18*AP18</f>
        <v>0</v>
      </c>
      <c r="AS18" s="331" t="str">
        <f>MassCalcUnit</f>
        <v>tonne</v>
      </c>
      <c r="AT18">
        <f>$AR$18*INDEX(Conversion_Table,MATCH($AS18,Conversion_Rows,0),MATCH($AU18,Conversion_Columns,0))</f>
        <v>0</v>
      </c>
      <c r="AU18" s="329" t="str">
        <f>MassDisplayUnit</f>
        <v>short ton</v>
      </c>
      <c r="AW18" s="1"/>
      <c r="AX18" s="97"/>
      <c r="AY18" s="97"/>
      <c r="AZ18" s="97"/>
    </row>
    <row r="19" spans="2:137" ht="17.25" customHeight="1">
      <c r="B19"/>
      <c r="C19"/>
      <c r="D19"/>
      <c r="E19"/>
      <c r="F19"/>
      <c r="G19"/>
      <c r="H19" s="593"/>
      <c r="I19" s="593"/>
      <c r="J19" s="593"/>
      <c r="K19" s="3"/>
      <c r="L19" s="3"/>
      <c r="M19" s="65"/>
      <c r="N19" s="65"/>
      <c r="O19" s="65"/>
      <c r="P19" s="65"/>
      <c r="Q19" s="65"/>
      <c r="R19" s="65"/>
      <c r="S19" s="65"/>
      <c r="AN19" s="1"/>
      <c r="AO19" s="1"/>
      <c r="AP19" s="1"/>
      <c r="AS19" s="87"/>
      <c r="AW19" s="1"/>
      <c r="AX19" s="97"/>
      <c r="AY19" s="97"/>
      <c r="AZ19" s="97"/>
    </row>
    <row r="20" spans="2:137" ht="15" customHeight="1">
      <c r="B20"/>
      <c r="C20" s="629" t="str">
        <f>IF($Y$2="Custom","",IF(ToolType="Reporting","This page is used to produce EPD results for the PCR category "&amp;$Y$4,IF(ToolType="Survey","This page is used as a one time survey for the PCR category "&amp;$Y$4,NA())) )</f>
        <v>This page is used as a one time survey for the PCR category Architectural Precast Products</v>
      </c>
      <c r="D20"/>
      <c r="E20"/>
      <c r="F20"/>
      <c r="G20"/>
      <c r="H20" s="593"/>
      <c r="I20" s="593"/>
      <c r="J20" s="593"/>
      <c r="K20" s="3"/>
      <c r="L20" s="3"/>
      <c r="AN20" s="1"/>
      <c r="AO20" s="1"/>
      <c r="AP20" s="1"/>
      <c r="AS20" s="87"/>
      <c r="AW20" s="1"/>
      <c r="AX20" s="97"/>
      <c r="AY20" s="97"/>
      <c r="AZ20" s="97"/>
    </row>
    <row r="21" spans="2:137" ht="15" customHeight="1">
      <c r="B21"/>
      <c r="C21" s="629" t="str">
        <f>IF($Y$2="Custom","",IF(Association_Version="CPCI","Enter 1 "&amp;MassDisplayUnit&amp;" of "&amp;$Y$4&amp;" in Table A above.",IF(OR(Association_Version="NPCA",Association_Version="PCI"),"Enter the total production of "&amp;$Y$4&amp;" in Table A above.",NA())))</f>
        <v>Enter the total production of Architectural Precast Products in Table A above.</v>
      </c>
      <c r="D21"/>
      <c r="E21"/>
      <c r="F21"/>
      <c r="G21"/>
      <c r="H21" s="593"/>
      <c r="I21" s="593"/>
      <c r="J21" s="593"/>
      <c r="K21" s="3"/>
      <c r="L21" s="3"/>
      <c r="AN21" s="1"/>
      <c r="AO21" s="1"/>
      <c r="AP21" s="1"/>
      <c r="AS21" s="87"/>
      <c r="AW21" s="1"/>
      <c r="AX21" s="97"/>
      <c r="AY21" s="97"/>
      <c r="AZ21" s="97"/>
    </row>
    <row r="22" spans="2:137" ht="15" customHeight="1">
      <c r="B22"/>
      <c r="C22" s="629" t="str">
        <f>IF($Y$2="Custom","",IF(Association_Version="CPCI","Then, enter the totals of all the materials that are used in the production of 1 "&amp;MassDisplayUnit&amp;" of "&amp;$Y$4&amp;", in Table B below.",IF(OR(Association_Version="NPCA",Association_Version="PCI"),"Then, enter the totals of all the materials that were used in that total production, in Table B below.",NA())))</f>
        <v>Then, enter the totals of all the materials that were used in that total production, in Table B below.</v>
      </c>
      <c r="D22"/>
      <c r="E22"/>
      <c r="F22"/>
      <c r="G22"/>
      <c r="H22" s="593"/>
      <c r="I22" s="593"/>
      <c r="J22" s="593"/>
      <c r="K22" s="3"/>
      <c r="L22" s="3"/>
      <c r="Z22" s="216"/>
      <c r="AX22" s="97"/>
      <c r="AY22" s="97"/>
      <c r="AZ22" s="97"/>
      <c r="BA22" s="97"/>
      <c r="BB22" s="97"/>
      <c r="BC22" s="97"/>
      <c r="BD22" s="97"/>
      <c r="BE22" s="97"/>
      <c r="BF22" s="97"/>
      <c r="BG22" s="97"/>
      <c r="BH22" s="97"/>
      <c r="BI22" s="97"/>
      <c r="BJ22" s="97"/>
      <c r="BV22"/>
      <c r="BW22"/>
      <c r="BX22"/>
      <c r="BY22"/>
      <c r="BZ22"/>
      <c r="CA22"/>
      <c r="CB22"/>
      <c r="CC22"/>
      <c r="CD22"/>
    </row>
    <row r="23" spans="2:137" ht="18" customHeight="1">
      <c r="C23" s="630" t="str">
        <f>IF(OR($Y$2="Custom",Association_Version="CPCI"),"","The transportation, energy and solid waste data from the Plant Inputs page will be used to allocate those inputs for "&amp;$Y$4&amp;".")</f>
        <v>The transportation, energy and solid waste data from the Plant Inputs page will be used to allocate those inputs for Architectural Precast Products.</v>
      </c>
      <c r="D23" s="57"/>
      <c r="E23" s="30"/>
      <c r="F23" s="30"/>
      <c r="G23" s="142"/>
      <c r="H23" s="30"/>
      <c r="I23" s="30"/>
      <c r="J23" s="30"/>
      <c r="AN23" s="1"/>
      <c r="AO23" s="1"/>
      <c r="AP23" s="1"/>
      <c r="BM23" s="1" t="s">
        <v>336</v>
      </c>
      <c r="BN23" s="87">
        <v>1</v>
      </c>
      <c r="BV23"/>
      <c r="BW23"/>
      <c r="BX23"/>
      <c r="BY23"/>
      <c r="BZ23"/>
      <c r="CA23"/>
      <c r="CB23"/>
      <c r="CC23"/>
      <c r="CD23"/>
      <c r="CE23"/>
      <c r="CF23"/>
    </row>
    <row r="24" spans="2:137" ht="16" thickBot="1">
      <c r="D24" s="30"/>
      <c r="E24" s="30"/>
      <c r="F24" s="30"/>
      <c r="G24" s="30"/>
      <c r="H24" s="30"/>
      <c r="I24" s="30"/>
      <c r="J24" s="30"/>
      <c r="AN24" s="1"/>
      <c r="AO24" s="1"/>
      <c r="AP24" s="1"/>
      <c r="BV24"/>
      <c r="BW24"/>
      <c r="BX24"/>
      <c r="BY24"/>
      <c r="BZ24"/>
      <c r="CA24"/>
      <c r="CB24"/>
      <c r="CC24"/>
      <c r="CD24"/>
      <c r="CE24"/>
      <c r="CF24"/>
    </row>
    <row r="25" spans="2:137" ht="21" thickBot="1">
      <c r="C25" s="16" t="s">
        <v>72</v>
      </c>
      <c r="D25" s="17"/>
      <c r="E25" s="17"/>
      <c r="F25" s="17"/>
      <c r="G25" s="17"/>
      <c r="H25" s="17"/>
      <c r="I25" s="18"/>
      <c r="J25"/>
      <c r="K25"/>
      <c r="L25"/>
      <c r="M25"/>
      <c r="N25"/>
      <c r="O25"/>
      <c r="P25"/>
      <c r="Q25"/>
      <c r="R25"/>
      <c r="S25"/>
      <c r="T25"/>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6"/>
      <c r="DO25"/>
      <c r="DP25"/>
      <c r="DQ25"/>
      <c r="DR25"/>
      <c r="DS25"/>
      <c r="DT25"/>
      <c r="DU25"/>
      <c r="DV25"/>
      <c r="DW25"/>
      <c r="DX25"/>
      <c r="DY25"/>
      <c r="DZ25"/>
      <c r="EA25"/>
      <c r="EB25"/>
      <c r="EC25"/>
      <c r="ED25"/>
      <c r="EE25"/>
      <c r="EF25"/>
      <c r="EG25"/>
    </row>
    <row r="26" spans="2:137" ht="15" customHeight="1" thickBot="1">
      <c r="C26" s="73" t="s">
        <v>141</v>
      </c>
      <c r="D26" s="74"/>
      <c r="E26" s="74"/>
      <c r="F26" s="74"/>
      <c r="G26" s="74"/>
      <c r="H26" s="74"/>
      <c r="I26" s="79"/>
      <c r="J26"/>
      <c r="K26"/>
      <c r="L26"/>
      <c r="M26"/>
      <c r="N26"/>
      <c r="O26"/>
      <c r="P26"/>
      <c r="Q26"/>
      <c r="R26"/>
      <c r="S26"/>
      <c r="T26"/>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c r="BY26" s="2"/>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16</v>
      </c>
      <c r="CN26" s="2" t="s">
        <v>16</v>
      </c>
      <c r="CO26" s="2" t="s">
        <v>16</v>
      </c>
      <c r="CP26" s="2" t="s">
        <v>16</v>
      </c>
      <c r="CQ26" s="2" t="s">
        <v>16</v>
      </c>
      <c r="CR26" s="2" t="s">
        <v>16</v>
      </c>
      <c r="CS26" s="2" t="s">
        <v>16</v>
      </c>
      <c r="CT26" s="2" t="s">
        <v>16</v>
      </c>
      <c r="CU26" s="2" t="s">
        <v>16</v>
      </c>
      <c r="CV26" s="2" t="s">
        <v>16</v>
      </c>
      <c r="CW26" s="2" t="s">
        <v>16</v>
      </c>
      <c r="CX26" s="2"/>
      <c r="CY26" s="2"/>
      <c r="CZ26" s="2" t="s">
        <v>16</v>
      </c>
      <c r="DA26" s="2" t="s">
        <v>15</v>
      </c>
      <c r="DB26" s="2" t="s">
        <v>15</v>
      </c>
      <c r="DC26" s="2" t="s">
        <v>15</v>
      </c>
      <c r="DD26" s="2" t="s">
        <v>15</v>
      </c>
      <c r="DE26" s="2" t="s">
        <v>15</v>
      </c>
      <c r="DF26" s="2" t="s">
        <v>15</v>
      </c>
      <c r="DG26" s="2" t="s">
        <v>15</v>
      </c>
      <c r="DH26" s="2" t="s">
        <v>15</v>
      </c>
      <c r="DI26" s="2" t="s">
        <v>15</v>
      </c>
      <c r="DJ26" s="2" t="s">
        <v>15</v>
      </c>
      <c r="DK26" s="2" t="s">
        <v>15</v>
      </c>
      <c r="DL26" s="2"/>
      <c r="DM26" s="2"/>
      <c r="DN26" s="2" t="s">
        <v>15</v>
      </c>
      <c r="DO26" s="584" t="s">
        <v>726</v>
      </c>
      <c r="DP26" s="585"/>
      <c r="DQ26" s="585"/>
      <c r="DR26" s="585"/>
      <c r="DS26" s="585"/>
      <c r="DT26" s="585"/>
      <c r="DU26" s="585"/>
      <c r="DV26" s="585"/>
      <c r="DW26" s="585"/>
      <c r="DX26" s="585"/>
      <c r="DY26" s="585"/>
      <c r="DZ26" s="585"/>
      <c r="EA26" s="585"/>
      <c r="EB26" s="586"/>
      <c r="EC26"/>
      <c r="ED26"/>
      <c r="EE26"/>
      <c r="EF26"/>
      <c r="EG26"/>
    </row>
    <row r="27" spans="2:137" ht="15" customHeight="1">
      <c r="C27" s="31"/>
      <c r="I27" s="94"/>
      <c r="J27"/>
      <c r="K27"/>
      <c r="L27"/>
      <c r="M27"/>
      <c r="N27"/>
      <c r="O27"/>
      <c r="P27"/>
      <c r="Q27"/>
      <c r="R27"/>
      <c r="S27"/>
      <c r="T27"/>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INDEX(EPD_Measures,3)</f>
        <v>Eutrophication potential</v>
      </c>
      <c r="CP27" s="564" t="str">
        <f>INDEX(EPD_Measures,4)</f>
        <v>Smog creation potential</v>
      </c>
      <c r="CQ27" s="564" t="str">
        <f>INDEX(EPD_Measures,5)</f>
        <v>Ozone depletion potential</v>
      </c>
      <c r="CR27" s="564" t="str">
        <f>INDEX(EPD_Measures,6)</f>
        <v>Total primary energy consumption</v>
      </c>
      <c r="CS27" s="564" t="str">
        <f>INDEX(EPD_Measures,7)</f>
        <v>Nonrenewable energy resources</v>
      </c>
      <c r="CT27" s="564" t="str">
        <f>INDEX(EPD_Measures,8)</f>
        <v>Renewable energy resources</v>
      </c>
      <c r="CU27" s="564" t="str">
        <f>INDEX(EPD_Measures,9)</f>
        <v>Material resources consumption</v>
      </c>
      <c r="CV27" s="564" t="str">
        <f>INDEX(EPD_Measures,10)</f>
        <v>Nonrenewable material resources</v>
      </c>
      <c r="CW27" s="564" t="str">
        <f>INDEX(EPD_Measures,11)</f>
        <v>Renewable material resources</v>
      </c>
      <c r="CX27" s="564"/>
      <c r="CY27" s="564"/>
      <c r="CZ27" s="564" t="str">
        <f>INDEX(EPD_Measures,12)</f>
        <v>Net Fresh Water</v>
      </c>
      <c r="DA27" s="564" t="str">
        <f>INDEX(EPD_Measures,1)</f>
        <v>Global warming potential (GWP)</v>
      </c>
      <c r="DB27" s="564" t="str">
        <f>INDEX(EPD_Measures,2)</f>
        <v>Acidification potential</v>
      </c>
      <c r="DC27" s="564" t="str">
        <f>INDEX(EPD_Measures,3)</f>
        <v>Eutrophication potential</v>
      </c>
      <c r="DD27" s="564" t="str">
        <f>INDEX(EPD_Measures,4)</f>
        <v>Smog creation potential</v>
      </c>
      <c r="DE27" s="564" t="str">
        <f>INDEX(EPD_Measures,5)</f>
        <v>Ozone depletion potential</v>
      </c>
      <c r="DF27" s="564" t="str">
        <f>INDEX(EPD_Measures,6)</f>
        <v>Total primary energy consumption</v>
      </c>
      <c r="DG27" s="564" t="str">
        <f>INDEX(EPD_Measures,7)</f>
        <v>Nonrenewable energy resources</v>
      </c>
      <c r="DH27" s="564" t="str">
        <f>INDEX(EPD_Measures,8)</f>
        <v>Renewable energy resources</v>
      </c>
      <c r="DI27" s="564" t="str">
        <f>INDEX(EPD_Measures,9)</f>
        <v>Material resources consumption</v>
      </c>
      <c r="DJ27" s="564" t="str">
        <f>INDEX(EPD_Measures,10)</f>
        <v>Nonrenewable material resources</v>
      </c>
      <c r="DK27" s="564" t="str">
        <f>INDEX(EPD_Measures,11)</f>
        <v>Renewable material resources</v>
      </c>
      <c r="DL27" s="564"/>
      <c r="DM27" s="564"/>
      <c r="DN27" s="564" t="str">
        <f>INDEX(EPD_Measures,12)</f>
        <v>Net Fresh Water</v>
      </c>
      <c r="DO27" s="564" t="str">
        <f>INDEX(EPD_Measures,1)</f>
        <v>Global warming potential (GWP)</v>
      </c>
      <c r="DP27" s="564" t="str">
        <f>INDEX(EPD_Measures,2)</f>
        <v>Acidification potential</v>
      </c>
      <c r="DQ27" s="564" t="str">
        <f>INDEX(EPD_Measures,3)</f>
        <v>Eutrophication potential</v>
      </c>
      <c r="DR27" s="564" t="str">
        <f>INDEX(EPD_Measures,4)</f>
        <v>Smog creation potential</v>
      </c>
      <c r="DS27" s="564" t="str">
        <f>INDEX(EPD_Measures,5)</f>
        <v>Ozone depletion potential</v>
      </c>
      <c r="DT27" s="564" t="str">
        <f>INDEX(EPD_Measures,6)</f>
        <v>Total primary energy consumption</v>
      </c>
      <c r="DU27" s="564" t="str">
        <f>INDEX(EPD_Measures,7)</f>
        <v>Nonrenewable energy resources</v>
      </c>
      <c r="DV27" s="564" t="str">
        <f>INDEX(EPD_Measures,8)</f>
        <v>Renewable energy resources</v>
      </c>
      <c r="DW27" s="564" t="str">
        <f>INDEX(EPD_Measures,9)</f>
        <v>Material resources consumption</v>
      </c>
      <c r="DX27" s="564" t="str">
        <f>INDEX(EPD_Measures,10)</f>
        <v>Nonrenewable material resources</v>
      </c>
      <c r="DY27" s="564" t="str">
        <f>INDEX(EPD_Measures,11)</f>
        <v>Renewable material resources</v>
      </c>
      <c r="DZ27" s="564"/>
      <c r="EA27" s="564"/>
      <c r="EB27" s="564" t="str">
        <f>INDEX(EPD_Measures,12)</f>
        <v>Net Fresh Water</v>
      </c>
      <c r="EC27"/>
      <c r="ED27"/>
      <c r="EE27"/>
      <c r="EF27"/>
      <c r="EG27"/>
    </row>
    <row r="28" spans="2:137" ht="15" customHeight="1">
      <c r="C28" s="43" t="str">
        <f>"Define the total specific materials used to produce the amount of "&amp;$Y$4&amp;" defined in Table A above."</f>
        <v>Define the total specific materials used to produce the amount of Architectural Precast Products defined in Table A above.</v>
      </c>
      <c r="D28" s="44"/>
      <c r="E28" s="44"/>
      <c r="F28" s="44"/>
      <c r="G28" s="44"/>
      <c r="I28" s="98"/>
      <c r="J28"/>
      <c r="K28"/>
      <c r="L28"/>
      <c r="M28"/>
      <c r="N28"/>
      <c r="O28"/>
      <c r="P28"/>
      <c r="Q28"/>
      <c r="R28"/>
      <c r="S28"/>
      <c r="T28"/>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5" t="str">
        <f>INDEX(EPD_Calc_Units,12)</f>
        <v>m3</v>
      </c>
      <c r="BJ28" s="145"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INDEX(EPD_Calc_Units,3)</f>
        <v>kg</v>
      </c>
      <c r="CP28" s="490" t="str">
        <f>INDEX(EPD_Calc_Units,4)</f>
        <v>kg</v>
      </c>
      <c r="CQ28" s="490" t="str">
        <f>INDEX(EPD_Calc_Units,5)</f>
        <v>kg</v>
      </c>
      <c r="CR28" s="490" t="str">
        <f>INDEX(EPD_Calc_Units,6)</f>
        <v>MJ</v>
      </c>
      <c r="CS28" s="490" t="str">
        <f>INDEX(EPD_Calc_Units,7)</f>
        <v>MJ</v>
      </c>
      <c r="CT28" s="490" t="str">
        <f>INDEX(EPD_Calc_Units,8)</f>
        <v>MJ</v>
      </c>
      <c r="CU28" s="490" t="str">
        <f>INDEX(EPD_Calc_Units,9)</f>
        <v>kg</v>
      </c>
      <c r="CV28" s="490" t="str">
        <f>INDEX(EPD_Calc_Units,10)</f>
        <v>kg</v>
      </c>
      <c r="CW28" s="490" t="str">
        <f>INDEX(EPD_Calc_Units,11)</f>
        <v>kg</v>
      </c>
      <c r="CX28" s="490"/>
      <c r="CY28" s="490"/>
      <c r="CZ28" s="490" t="str">
        <f>INDEX(EPD_Calc_Units,12)</f>
        <v>m3</v>
      </c>
      <c r="DA28" s="490" t="str">
        <f>INDEX(EPD_Calc_Units,1)</f>
        <v>kg</v>
      </c>
      <c r="DB28" s="490" t="str">
        <f>INDEX(EPD_Calc_Units,2)</f>
        <v>kg</v>
      </c>
      <c r="DC28" s="490" t="str">
        <f>INDEX(EPD_Calc_Units,3)</f>
        <v>kg</v>
      </c>
      <c r="DD28" s="490" t="str">
        <f>INDEX(EPD_Calc_Units,4)</f>
        <v>kg</v>
      </c>
      <c r="DE28" s="490" t="str">
        <f>INDEX(EPD_Calc_Units,5)</f>
        <v>kg</v>
      </c>
      <c r="DF28" s="490" t="str">
        <f>INDEX(EPD_Calc_Units,6)</f>
        <v>MJ</v>
      </c>
      <c r="DG28" s="490" t="str">
        <f>INDEX(EPD_Calc_Units,7)</f>
        <v>MJ</v>
      </c>
      <c r="DH28" s="490" t="str">
        <f>INDEX(EPD_Calc_Units,8)</f>
        <v>MJ</v>
      </c>
      <c r="DI28" s="490" t="str">
        <f>INDEX(EPD_Calc_Units,9)</f>
        <v>kg</v>
      </c>
      <c r="DJ28" s="490" t="str">
        <f>INDEX(EPD_Calc_Units,10)</f>
        <v>kg</v>
      </c>
      <c r="DK28" s="490" t="str">
        <f>INDEX(EPD_Calc_Units,11)</f>
        <v>kg</v>
      </c>
      <c r="DL28" s="490"/>
      <c r="DM28" s="490"/>
      <c r="DN28" s="490" t="str">
        <f>INDEX(EPD_Calc_Units,12)</f>
        <v>m3</v>
      </c>
      <c r="DO28" s="490" t="str">
        <f>INDEX(EPD_Calc_Units,1)</f>
        <v>kg</v>
      </c>
      <c r="DP28" s="490" t="str">
        <f>INDEX(EPD_Calc_Units,2)</f>
        <v>kg</v>
      </c>
      <c r="DQ28" s="490" t="str">
        <f>INDEX(EPD_Calc_Units,3)</f>
        <v>kg</v>
      </c>
      <c r="DR28" s="490" t="str">
        <f>INDEX(EPD_Calc_Units,4)</f>
        <v>kg</v>
      </c>
      <c r="DS28" s="490" t="str">
        <f>INDEX(EPD_Calc_Units,5)</f>
        <v>kg</v>
      </c>
      <c r="DT28" s="490" t="str">
        <f>INDEX(EPD_Calc_Units,6)</f>
        <v>MJ</v>
      </c>
      <c r="DU28" s="490" t="str">
        <f>INDEX(EPD_Calc_Units,7)</f>
        <v>MJ</v>
      </c>
      <c r="DV28" s="490" t="str">
        <f>INDEX(EPD_Calc_Units,8)</f>
        <v>MJ</v>
      </c>
      <c r="DW28" s="490" t="str">
        <f>INDEX(EPD_Calc_Units,9)</f>
        <v>kg</v>
      </c>
      <c r="DX28" s="490" t="str">
        <f>INDEX(EPD_Calc_Units,10)</f>
        <v>kg</v>
      </c>
      <c r="DY28" s="490" t="str">
        <f>INDEX(EPD_Calc_Units,11)</f>
        <v>kg</v>
      </c>
      <c r="DZ28" s="490"/>
      <c r="EA28" s="490"/>
      <c r="EB28" s="490" t="str">
        <f>INDEX(EPD_Calc_Units,12)</f>
        <v>m3</v>
      </c>
      <c r="EC28"/>
      <c r="ED28"/>
      <c r="EE28"/>
      <c r="EF28"/>
      <c r="EG28"/>
    </row>
    <row r="29" spans="2:137" ht="15" customHeight="1">
      <c r="C29" s="23" t="s">
        <v>2</v>
      </c>
      <c r="D29" s="24" t="s">
        <v>5</v>
      </c>
      <c r="E29" s="25" t="s">
        <v>12</v>
      </c>
      <c r="F29" s="25" t="s">
        <v>6</v>
      </c>
      <c r="G29" s="25" t="s">
        <v>102</v>
      </c>
      <c r="H29" s="25" t="s">
        <v>6</v>
      </c>
      <c r="I29" s="155" t="s">
        <v>240</v>
      </c>
      <c r="J29"/>
      <c r="K29"/>
      <c r="L29"/>
      <c r="M29"/>
      <c r="N29"/>
      <c r="O29"/>
      <c r="P29"/>
      <c r="Q29"/>
      <c r="R29"/>
      <c r="S29"/>
      <c r="T29"/>
      <c r="Y29" s="13" t="s">
        <v>452</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2:137" ht="15" customHeight="1">
      <c r="B30" s="53">
        <f>X30</f>
        <v>0</v>
      </c>
      <c r="C30" s="26">
        <f>ROW($C30)-ROW($C$30)+1</f>
        <v>1</v>
      </c>
      <c r="D30" s="46" t="str">
        <f>'Plant Inputs'!$D30</f>
        <v>Portland Cement</v>
      </c>
      <c r="E30" s="419"/>
      <c r="F30" s="106" t="str">
        <f t="shared" ref="F30:F41" si="6">MassDisplayUnit</f>
        <v>short ton</v>
      </c>
      <c r="G30" s="158">
        <f>$AV30</f>
        <v>0</v>
      </c>
      <c r="H30" s="204" t="str">
        <f t="shared" ref="H30:H66" si="7">MassDisplayUnit</f>
        <v>short ton</v>
      </c>
      <c r="I30" s="156">
        <f t="shared" ref="I30:I65" si="8">IF($G$68=0,0,G30/$G$68)</f>
        <v>0</v>
      </c>
      <c r="J30"/>
      <c r="K30"/>
      <c r="L30"/>
      <c r="M30"/>
      <c r="N30"/>
      <c r="O30"/>
      <c r="P30"/>
      <c r="Q30"/>
      <c r="R30"/>
      <c r="S30"/>
      <c r="T30"/>
      <c r="X30" s="67">
        <f>IF(ISBLANK(E30),0,1)</f>
        <v>0</v>
      </c>
      <c r="Y30" s="216">
        <f>IF(AND($X30=1,'Plant Inputs'!$Y30=1),1,0)</f>
        <v>0</v>
      </c>
      <c r="Z30" s="216"/>
      <c r="AA30" s="216">
        <f>IF($Y30=0,0,IF('Plant Inputs'!J30="",0,'Plant Inputs'!J30))</f>
        <v>0</v>
      </c>
      <c r="AB30" s="216">
        <f>IF($Y30=0,0,IF('Plant Inputs'!K30="",0,'Plant Inputs'!K30))</f>
        <v>0</v>
      </c>
      <c r="AC30" s="216">
        <f>IF($Y30=0,0,IF('Plant Inputs'!L30="",0,'Plant Inputs'!L30))</f>
        <v>0</v>
      </c>
      <c r="AD30" s="216">
        <f>IF($Y30=0,0,IF('Plant Inputs'!M30="",0,'Plant Inputs'!M30))</f>
        <v>0</v>
      </c>
      <c r="AE30" s="217" t="str">
        <f>'Plant Inputs'!$O30</f>
        <v>mile</v>
      </c>
      <c r="AF30" s="217">
        <f t="shared" ref="AF30:AF64" si="9">INDEX(Conversion_Table,MATCH($AE30,Conversion_Rows,0),MATCH($AG$27,Conversion_Columns,0))</f>
        <v>1.6093473468862911</v>
      </c>
      <c r="AG30" s="216" t="str">
        <f>$AG$27&amp;"/"&amp;$AE30</f>
        <v>km/mile</v>
      </c>
      <c r="AH30" s="216">
        <f t="shared" ref="AH30:AK45" si="10">AA30*$AF30</f>
        <v>0</v>
      </c>
      <c r="AI30" s="216">
        <f t="shared" si="10"/>
        <v>0</v>
      </c>
      <c r="AJ30" s="216">
        <f t="shared" si="10"/>
        <v>0</v>
      </c>
      <c r="AK30" s="216">
        <f t="shared" si="10"/>
        <v>0</v>
      </c>
      <c r="AL30" s="216"/>
      <c r="AM30" s="1" t="str">
        <f t="shared" ref="AM30:AM45" si="11">D30</f>
        <v>Portland Cement</v>
      </c>
      <c r="AN30" t="s">
        <v>127</v>
      </c>
      <c r="AO30">
        <f t="shared" ref="AO30:AO45" si="12">VLOOKUP(AM30,Material_Densities,2,FALSE)</f>
        <v>0</v>
      </c>
      <c r="AP30" s="1">
        <f>IF($E30="",0,$E30)</f>
        <v>0</v>
      </c>
      <c r="AQ30" s="1" t="str">
        <f t="shared" ref="AQ30:AQ45" si="13">F30</f>
        <v>short ton</v>
      </c>
      <c r="AR30" s="1">
        <f t="shared" ref="AR30:AR66" si="14">IFERROR(IF($AN30="M",INDEX(Conversion_Table,MATCH($AQ30,Conversion_Rows,0),MATCH($AT$29,Conversion_Columns,0)),IF($AN30="V",INDEX(Conversion_Table,MATCH($AQ30,Conversion_Rows,0),MATCH("m3",Conversion_Columns,0))*$AO30)),NA())</f>
        <v>0.90718499588591606</v>
      </c>
      <c r="AS30" s="87" t="str">
        <f t="shared" ref="AS30:AS45" si="15">$AT$29&amp;"/"&amp;AQ30</f>
        <v>tonne/short ton</v>
      </c>
      <c r="AT30" s="87">
        <f t="shared" ref="AT30:AT45" si="16">AP30*AR30</f>
        <v>0</v>
      </c>
      <c r="AU30" s="87">
        <f t="shared" ref="AU30:AU45" si="17">INDEX(Conversion_Table,MATCH($AT$29,Conversion_Rows,0),MATCH($AU$29,Conversion_Columns,0))*AT30</f>
        <v>0</v>
      </c>
      <c r="AV30" s="87">
        <f t="shared" ref="AV30:AV66" si="18">$AT30*INDEX(Conversion_Table,MATCH($AT$29,Conversion_Rows,0),MATCH($AV$29,Conversion_Columns,0))</f>
        <v>0</v>
      </c>
      <c r="AW30" t="str">
        <f t="shared" ref="AW30:AW45" si="19">AM30</f>
        <v>Portland Cement</v>
      </c>
      <c r="AX30" s="148">
        <f>'Cement Sources'!BC$13*$AU30</f>
        <v>0</v>
      </c>
      <c r="AY30" s="148">
        <f>'Cement Sources'!BD$13*$AU30</f>
        <v>0</v>
      </c>
      <c r="AZ30" s="148">
        <f>'Cement Sources'!BE$13*$AU30</f>
        <v>0</v>
      </c>
      <c r="BA30" s="148">
        <f>'Cement Sources'!BF$13*$AU30</f>
        <v>0</v>
      </c>
      <c r="BB30" s="148">
        <f>'Cement Sources'!BG$13*$AU30</f>
        <v>0</v>
      </c>
      <c r="BC30" s="148">
        <f>'Cement Sources'!BH$13*$AU30</f>
        <v>0</v>
      </c>
      <c r="BD30" s="148">
        <f>'Cement Sources'!BI$13*$AU30</f>
        <v>0</v>
      </c>
      <c r="BE30" s="148">
        <f>'Cement Sources'!BJ$13*$AU30</f>
        <v>0</v>
      </c>
      <c r="BF30" s="148">
        <f>'Cement Sources'!BK$13*$AU30</f>
        <v>0</v>
      </c>
      <c r="BG30" s="148">
        <f>'Cement Sources'!BL$13*$AU30</f>
        <v>0</v>
      </c>
      <c r="BH30" s="148">
        <f>'Cement Sources'!BM$13*$AU30</f>
        <v>0</v>
      </c>
      <c r="BI30" s="148">
        <f>'Cement Sources'!BN$13*$AU30</f>
        <v>0</v>
      </c>
      <c r="BJ30" s="148">
        <f>'Cement Sources'!BO$13*$AU30</f>
        <v>0</v>
      </c>
      <c r="BK30" s="148">
        <f>'Cement Sources'!BP$13*$AU30</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IFERROR(INDEX(LCIA_Data,MATCH($AO$15&amp;CM$27,LCIA_Rows_B&amp;LCIA_Rows_C,0),MATCH(CM$26,LCIA_Columns,0)),0)*$AT30*$AJ30*$BN$23</f>
        <v>0</v>
      </c>
      <c r="CN30" s="1">
        <f t="array" ref="CN30">IFERROR(INDEX(LCIA_Data,MATCH($AO$15&amp;CN$27,LCIA_Rows_B&amp;LCIA_Rows_C,0),MATCH(CN$26,LCIA_Columns,0)),0)*$AT30*$AJ30*$BN$23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IFERROR(INDEX(LCIA_Data,MATCH($AO$15&amp;DA$27,LCIA_Rows_B&amp;LCIA_Rows_C,0),MATCH(DA$26,LCIA_Columns,0)),0)*$AT30*$AK30*$BN$23</f>
        <v>0</v>
      </c>
      <c r="DB30" s="1">
        <f t="array" ref="DB30">IFERROR(INDEX(LCIA_Data,MATCH($AO$15&amp;DB$27,LCIA_Rows_B&amp;LCIA_Rows_C,0),MATCH(DB$26,LCIA_Columns,0)),0)*$AT30*$AK30*$BN$23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f t="shared" ref="DO30:EA49" si="20">BM30+CA30+CM30+DA30</f>
        <v>0</v>
      </c>
      <c r="DP30">
        <f t="shared" si="20"/>
        <v>0</v>
      </c>
      <c r="DQ30">
        <f t="shared" si="20"/>
        <v>0</v>
      </c>
      <c r="DR30">
        <f t="shared" si="20"/>
        <v>0</v>
      </c>
      <c r="DS30">
        <f t="shared" si="20"/>
        <v>0</v>
      </c>
      <c r="DT30">
        <f t="shared" si="20"/>
        <v>0</v>
      </c>
      <c r="DU30">
        <f t="shared" si="20"/>
        <v>0</v>
      </c>
      <c r="DV30">
        <f t="shared" si="20"/>
        <v>0</v>
      </c>
      <c r="DW30">
        <f t="shared" si="20"/>
        <v>0</v>
      </c>
      <c r="DX30">
        <f t="shared" si="20"/>
        <v>0</v>
      </c>
      <c r="DY30">
        <f t="shared" si="20"/>
        <v>0</v>
      </c>
      <c r="DZ30">
        <f t="shared" si="20"/>
        <v>0</v>
      </c>
      <c r="EA30">
        <f t="shared" si="20"/>
        <v>0</v>
      </c>
      <c r="EB30">
        <f t="shared" ref="EB30:EB64" si="21">BZ30+CL30+CZ30+DN30</f>
        <v>0</v>
      </c>
      <c r="EC30"/>
      <c r="ED30"/>
      <c r="EE30"/>
      <c r="EF30"/>
      <c r="EG30"/>
    </row>
    <row r="31" spans="2:137" ht="15" customHeight="1">
      <c r="B31" s="53">
        <f>X31</f>
        <v>0</v>
      </c>
      <c r="C31" s="26">
        <f t="shared" ref="C31:C67" si="22">ROW($C31)-ROW($C$30)+1</f>
        <v>2</v>
      </c>
      <c r="D31" s="46" t="str">
        <f>'Plant Inputs'!$D31</f>
        <v>Portland Limestone Cement (PLC)</v>
      </c>
      <c r="E31" s="419"/>
      <c r="F31" s="106" t="str">
        <f t="shared" si="6"/>
        <v>short ton</v>
      </c>
      <c r="G31" s="158">
        <f>$AV31</f>
        <v>0</v>
      </c>
      <c r="H31" s="204" t="str">
        <f t="shared" si="7"/>
        <v>short ton</v>
      </c>
      <c r="I31" s="399">
        <f t="shared" si="8"/>
        <v>0</v>
      </c>
      <c r="J31"/>
      <c r="K31"/>
      <c r="L31"/>
      <c r="M31"/>
      <c r="N31"/>
      <c r="O31"/>
      <c r="P31"/>
      <c r="Q31"/>
      <c r="R31"/>
      <c r="S31"/>
      <c r="T31"/>
      <c r="X31" s="67">
        <f>IF(ISBLANK(E31),0,1)</f>
        <v>0</v>
      </c>
      <c r="Y31" s="216">
        <f>IF(AND($X31=1,'Plant Inputs'!$Y31=1),1,0)</f>
        <v>0</v>
      </c>
      <c r="Z31" s="216"/>
      <c r="AA31" s="216">
        <f>IF($Y31=0,0,IF('Plant Inputs'!J31="",0,'Plant Inputs'!J31))</f>
        <v>0</v>
      </c>
      <c r="AB31" s="216">
        <f>IF($Y31=0,0,IF('Plant Inputs'!K31="",0,'Plant Inputs'!K31))</f>
        <v>0</v>
      </c>
      <c r="AC31" s="216">
        <f>IF($Y31=0,0,IF('Plant Inputs'!L31="",0,'Plant Inputs'!L31))</f>
        <v>0</v>
      </c>
      <c r="AD31" s="216">
        <f>IF($Y31=0,0,IF('Plant Inputs'!M31="",0,'Plant Inputs'!M31))</f>
        <v>0</v>
      </c>
      <c r="AE31" s="217" t="str">
        <f>'Plant Inputs'!$O31</f>
        <v>mile</v>
      </c>
      <c r="AF31" s="217">
        <f t="shared" si="9"/>
        <v>1.6093473468862911</v>
      </c>
      <c r="AG31" s="216" t="str">
        <f t="shared" ref="AG31:AG64" si="23">$AG$27&amp;"/"&amp;$AE31</f>
        <v>km/mile</v>
      </c>
      <c r="AH31" s="216">
        <f t="shared" si="10"/>
        <v>0</v>
      </c>
      <c r="AI31" s="216">
        <f t="shared" si="10"/>
        <v>0</v>
      </c>
      <c r="AJ31" s="216">
        <f t="shared" si="10"/>
        <v>0</v>
      </c>
      <c r="AK31" s="216">
        <f t="shared" si="10"/>
        <v>0</v>
      </c>
      <c r="AL31" s="216"/>
      <c r="AM31" s="1" t="str">
        <f t="shared" si="11"/>
        <v>Portland Limestone Cement (PLC)</v>
      </c>
      <c r="AN31" t="s">
        <v>127</v>
      </c>
      <c r="AO31">
        <f t="shared" si="12"/>
        <v>0</v>
      </c>
      <c r="AP31" s="1">
        <f t="shared" ref="AP31:AP67" si="24">IF($E31="",0,$E31)</f>
        <v>0</v>
      </c>
      <c r="AQ31" s="1" t="str">
        <f t="shared" si="13"/>
        <v>short ton</v>
      </c>
      <c r="AR31" s="1">
        <f t="shared" si="14"/>
        <v>0.90718499588591606</v>
      </c>
      <c r="AS31" s="87" t="str">
        <f t="shared" si="15"/>
        <v>tonne/short ton</v>
      </c>
      <c r="AT31" s="87">
        <f t="shared" si="16"/>
        <v>0</v>
      </c>
      <c r="AU31" s="87">
        <f t="shared" si="17"/>
        <v>0</v>
      </c>
      <c r="AV31" s="87">
        <f t="shared" si="18"/>
        <v>0</v>
      </c>
      <c r="AW31" t="str">
        <f t="shared" si="19"/>
        <v>Portland Limestone Cement (PLC)</v>
      </c>
      <c r="AX31" s="148">
        <f>'Cement Sources'!BC$25*$AU31</f>
        <v>0</v>
      </c>
      <c r="AY31" s="148">
        <f>'Cement Sources'!BD$25*$AU31</f>
        <v>0</v>
      </c>
      <c r="AZ31" s="148">
        <f>'Cement Sources'!BE$25*$AU31</f>
        <v>0</v>
      </c>
      <c r="BA31" s="148">
        <f>'Cement Sources'!BF$25*$AU31</f>
        <v>0</v>
      </c>
      <c r="BB31" s="148">
        <f>'Cement Sources'!BG$25*$AU31</f>
        <v>0</v>
      </c>
      <c r="BC31" s="148">
        <f>'Cement Sources'!BH$25*$AU31</f>
        <v>0</v>
      </c>
      <c r="BD31" s="148">
        <f>'Cement Sources'!BI$25*$AU31</f>
        <v>0</v>
      </c>
      <c r="BE31" s="148">
        <f>'Cement Sources'!BJ$25*$AU31</f>
        <v>0</v>
      </c>
      <c r="BF31" s="148">
        <f>'Cement Sources'!BK$25*$AU31</f>
        <v>0</v>
      </c>
      <c r="BG31" s="148">
        <f>'Cement Sources'!BL$25*$AU31</f>
        <v>0</v>
      </c>
      <c r="BH31" s="148">
        <f>'Cement Sources'!BM$25*$AU31</f>
        <v>0</v>
      </c>
      <c r="BI31" s="148">
        <f>'Cement Sources'!BN$25*$AU31</f>
        <v>0</v>
      </c>
      <c r="BJ31" s="148">
        <f>'Cement Sources'!BO$25*$AU31</f>
        <v>0</v>
      </c>
      <c r="BK31" s="148">
        <f>'Cement Sources'!BP$25*$AU31</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IFERROR(INDEX(LCIA_Data,MATCH($AO$15&amp;CM$27,LCIA_Rows_B&amp;LCIA_Rows_C,0),MATCH(CM$26,LCIA_Columns,0)),0)*$AT31*$AJ31*$BN$23</f>
        <v>0</v>
      </c>
      <c r="CN31" s="1">
        <f t="array" ref="CN31">IFERROR(INDEX(LCIA_Data,MATCH($AO$15&amp;CN$27,LCIA_Rows_B&amp;LCIA_Rows_C,0),MATCH(CN$26,LCIA_Columns,0)),0)*$AT31*$AJ31*$BN$23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IFERROR(INDEX(LCIA_Data,MATCH($AO$15&amp;DA$27,LCIA_Rows_B&amp;LCIA_Rows_C,0),MATCH(DA$26,LCIA_Columns,0)),0)*$AT31*$AK31*$BN$23</f>
        <v>0</v>
      </c>
      <c r="DB31" s="1">
        <f t="array" ref="DB31">IFERROR(INDEX(LCIA_Data,MATCH($AO$15&amp;DB$27,LCIA_Rows_B&amp;LCIA_Rows_C,0),MATCH(DB$26,LCIA_Columns,0)),0)*$AT31*$AK31*$BN$23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f t="shared" si="20"/>
        <v>0</v>
      </c>
      <c r="DP31">
        <f t="shared" si="20"/>
        <v>0</v>
      </c>
      <c r="DQ31">
        <f t="shared" si="20"/>
        <v>0</v>
      </c>
      <c r="DR31">
        <f t="shared" si="20"/>
        <v>0</v>
      </c>
      <c r="DS31">
        <f t="shared" si="20"/>
        <v>0</v>
      </c>
      <c r="DT31">
        <f t="shared" si="20"/>
        <v>0</v>
      </c>
      <c r="DU31">
        <f t="shared" si="20"/>
        <v>0</v>
      </c>
      <c r="DV31">
        <f t="shared" si="20"/>
        <v>0</v>
      </c>
      <c r="DW31">
        <f t="shared" si="20"/>
        <v>0</v>
      </c>
      <c r="DX31">
        <f t="shared" si="20"/>
        <v>0</v>
      </c>
      <c r="DY31">
        <f t="shared" si="20"/>
        <v>0</v>
      </c>
      <c r="DZ31">
        <f t="shared" si="20"/>
        <v>0</v>
      </c>
      <c r="EA31">
        <f t="shared" si="20"/>
        <v>0</v>
      </c>
      <c r="EB31">
        <f t="shared" si="21"/>
        <v>0</v>
      </c>
      <c r="EC31"/>
      <c r="ED31"/>
      <c r="EE31"/>
      <c r="EF31"/>
      <c r="EG31"/>
    </row>
    <row r="32" spans="2:137" ht="15" customHeight="1" thickBot="1">
      <c r="B32" s="53">
        <f>X32</f>
        <v>0</v>
      </c>
      <c r="C32" s="578">
        <f t="shared" si="22"/>
        <v>3</v>
      </c>
      <c r="D32" s="579" t="str">
        <f>'Plant Inputs'!$D32</f>
        <v>Pre-Blended Cement</v>
      </c>
      <c r="E32" s="580"/>
      <c r="F32" s="581" t="str">
        <f t="shared" si="6"/>
        <v>short ton</v>
      </c>
      <c r="G32" s="582">
        <f>$AV32</f>
        <v>0</v>
      </c>
      <c r="H32" s="205" t="str">
        <f t="shared" si="7"/>
        <v>short ton</v>
      </c>
      <c r="I32" s="157">
        <f t="shared" si="8"/>
        <v>0</v>
      </c>
      <c r="J32"/>
      <c r="K32"/>
      <c r="L32"/>
      <c r="M32"/>
      <c r="N32"/>
      <c r="O32"/>
      <c r="P32"/>
      <c r="Q32"/>
      <c r="R32"/>
      <c r="S32"/>
      <c r="T32"/>
      <c r="X32" s="67">
        <f>IF(ISBLANK(E32),0,1)</f>
        <v>0</v>
      </c>
      <c r="Y32" s="216">
        <f>IF(AND($X32=1,'Plant Inputs'!$Y32=1),1,0)</f>
        <v>0</v>
      </c>
      <c r="Z32" s="216"/>
      <c r="AA32" s="216">
        <f>IF($Y32=0,0,IF('Plant Inputs'!J32="",0,'Plant Inputs'!J32))</f>
        <v>0</v>
      </c>
      <c r="AB32" s="216">
        <f>IF($Y32=0,0,IF('Plant Inputs'!K32="",0,'Plant Inputs'!K32))</f>
        <v>0</v>
      </c>
      <c r="AC32" s="216">
        <f>IF($Y32=0,0,IF('Plant Inputs'!L32="",0,'Plant Inputs'!L32))</f>
        <v>0</v>
      </c>
      <c r="AD32" s="216">
        <f>IF($Y32=0,0,IF('Plant Inputs'!M32="",0,'Plant Inputs'!M32))</f>
        <v>0</v>
      </c>
      <c r="AE32" s="217" t="str">
        <f>'Plant Inputs'!$O32</f>
        <v>mile</v>
      </c>
      <c r="AF32" s="217">
        <f t="shared" si="9"/>
        <v>1.6093473468862911</v>
      </c>
      <c r="AG32" s="216" t="str">
        <f t="shared" si="23"/>
        <v>km/mile</v>
      </c>
      <c r="AH32" s="216">
        <f t="shared" si="10"/>
        <v>0</v>
      </c>
      <c r="AI32" s="216">
        <f t="shared" si="10"/>
        <v>0</v>
      </c>
      <c r="AJ32" s="216">
        <f t="shared" si="10"/>
        <v>0</v>
      </c>
      <c r="AK32" s="216">
        <f t="shared" si="10"/>
        <v>0</v>
      </c>
      <c r="AL32" s="216"/>
      <c r="AM32" s="1" t="str">
        <f t="shared" si="11"/>
        <v>Pre-Blended Cement</v>
      </c>
      <c r="AN32" t="s">
        <v>127</v>
      </c>
      <c r="AO32">
        <f t="shared" si="12"/>
        <v>0</v>
      </c>
      <c r="AP32" s="1">
        <f t="shared" si="24"/>
        <v>0</v>
      </c>
      <c r="AQ32" s="1" t="str">
        <f t="shared" si="13"/>
        <v>short ton</v>
      </c>
      <c r="AR32" s="1">
        <f t="shared" si="14"/>
        <v>0.90718499588591606</v>
      </c>
      <c r="AS32" s="87" t="str">
        <f t="shared" si="15"/>
        <v>tonne/short ton</v>
      </c>
      <c r="AT32" s="87">
        <f t="shared" si="16"/>
        <v>0</v>
      </c>
      <c r="AU32" s="87">
        <f t="shared" si="17"/>
        <v>0</v>
      </c>
      <c r="AV32" s="87">
        <f t="shared" si="18"/>
        <v>0</v>
      </c>
      <c r="AW32" t="str">
        <f t="shared" si="19"/>
        <v>Pre-Blended Cement</v>
      </c>
      <c r="AX32" s="148">
        <f>'Cement Sources'!BC$37*$AU32</f>
        <v>0</v>
      </c>
      <c r="AY32" s="148">
        <f>'Cement Sources'!BD$37*$AU32</f>
        <v>0</v>
      </c>
      <c r="AZ32" s="148">
        <f>'Cement Sources'!BE$37*$AU32</f>
        <v>0</v>
      </c>
      <c r="BA32" s="148">
        <f>'Cement Sources'!BF$37*$AU32</f>
        <v>0</v>
      </c>
      <c r="BB32" s="148">
        <f>'Cement Sources'!BG$37*$AU32</f>
        <v>0</v>
      </c>
      <c r="BC32" s="148">
        <f>'Cement Sources'!BH$37*$AU32</f>
        <v>0</v>
      </c>
      <c r="BD32" s="148">
        <f>'Cement Sources'!BI$37*$AU32</f>
        <v>0</v>
      </c>
      <c r="BE32" s="148">
        <f>'Cement Sources'!BJ$37*$AU32</f>
        <v>0</v>
      </c>
      <c r="BF32" s="148">
        <f>'Cement Sources'!BK$37*$AU32</f>
        <v>0</v>
      </c>
      <c r="BG32" s="148">
        <f>'Cement Sources'!BL$37*$AU32</f>
        <v>0</v>
      </c>
      <c r="BH32" s="148">
        <f>'Cement Sources'!BM$37*$AU32</f>
        <v>0</v>
      </c>
      <c r="BI32" s="148">
        <f>'Cement Sources'!BN$37*$AU32</f>
        <v>0</v>
      </c>
      <c r="BJ32" s="148">
        <f>'Cement Sources'!BO$37*$AU32</f>
        <v>0</v>
      </c>
      <c r="BK32" s="148">
        <f>'Cement Sources'!BP$37*$AU32</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IFERROR(INDEX(LCIA_Data,MATCH($AO$15&amp;CM$27,LCIA_Rows_B&amp;LCIA_Rows_C,0),MATCH(CM$26,LCIA_Columns,0)),0)*$AT32*$AJ32*$BN$23</f>
        <v>0</v>
      </c>
      <c r="CN32" s="1">
        <f t="array" ref="CN32">IFERROR(INDEX(LCIA_Data,MATCH($AO$15&amp;CN$27,LCIA_Rows_B&amp;LCIA_Rows_C,0),MATCH(CN$26,LCIA_Columns,0)),0)*$AT32*$AJ32*$BN$23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IFERROR(INDEX(LCIA_Data,MATCH($AO$15&amp;DA$27,LCIA_Rows_B&amp;LCIA_Rows_C,0),MATCH(DA$26,LCIA_Columns,0)),0)*$AT32*$AK32*$BN$23</f>
        <v>0</v>
      </c>
      <c r="DB32" s="1">
        <f t="array" ref="DB32">IFERROR(INDEX(LCIA_Data,MATCH($AO$15&amp;DB$27,LCIA_Rows_B&amp;LCIA_Rows_C,0),MATCH(DB$26,LCIA_Columns,0)),0)*$AT32*$AK32*$BN$23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f t="shared" si="20"/>
        <v>0</v>
      </c>
      <c r="DP32">
        <f t="shared" si="20"/>
        <v>0</v>
      </c>
      <c r="DQ32">
        <f t="shared" si="20"/>
        <v>0</v>
      </c>
      <c r="DR32">
        <f t="shared" si="20"/>
        <v>0</v>
      </c>
      <c r="DS32">
        <f t="shared" si="20"/>
        <v>0</v>
      </c>
      <c r="DT32">
        <f t="shared" si="20"/>
        <v>0</v>
      </c>
      <c r="DU32">
        <f t="shared" si="20"/>
        <v>0</v>
      </c>
      <c r="DV32">
        <f t="shared" si="20"/>
        <v>0</v>
      </c>
      <c r="DW32">
        <f t="shared" si="20"/>
        <v>0</v>
      </c>
      <c r="DX32">
        <f t="shared" si="20"/>
        <v>0</v>
      </c>
      <c r="DY32">
        <f t="shared" si="20"/>
        <v>0</v>
      </c>
      <c r="DZ32">
        <f t="shared" si="20"/>
        <v>0</v>
      </c>
      <c r="EA32">
        <f t="shared" si="20"/>
        <v>0</v>
      </c>
      <c r="EB32">
        <f t="shared" si="21"/>
        <v>0</v>
      </c>
      <c r="EC32"/>
      <c r="ED32"/>
      <c r="EE32"/>
      <c r="EF32"/>
      <c r="EG32"/>
    </row>
    <row r="33" spans="2:137" ht="15" customHeight="1">
      <c r="B33" s="53">
        <f t="shared" ref="B33:B45" si="25">X33</f>
        <v>0</v>
      </c>
      <c r="C33" s="221">
        <f t="shared" si="22"/>
        <v>4</v>
      </c>
      <c r="D33" s="222" t="str">
        <f>'Plant Inputs'!$D33</f>
        <v>Fine Aggregate - natural sand</v>
      </c>
      <c r="E33" s="154"/>
      <c r="F33" s="223" t="str">
        <f t="shared" si="6"/>
        <v>short ton</v>
      </c>
      <c r="G33" s="224">
        <f>$AV33</f>
        <v>0</v>
      </c>
      <c r="H33" s="225" t="str">
        <f t="shared" si="7"/>
        <v>short ton</v>
      </c>
      <c r="I33" s="156">
        <f t="shared" si="8"/>
        <v>0</v>
      </c>
      <c r="J33"/>
      <c r="K33"/>
      <c r="L33"/>
      <c r="M33"/>
      <c r="N33"/>
      <c r="O33"/>
      <c r="P33"/>
      <c r="Q33"/>
      <c r="R33"/>
      <c r="S33"/>
      <c r="T33"/>
      <c r="X33" s="67">
        <f>IF(ISBLANK(E33),0,1)</f>
        <v>0</v>
      </c>
      <c r="Y33" s="216">
        <f>IF(AND($X33=1,'Plant Inputs'!$Y33=1),1,0)</f>
        <v>0</v>
      </c>
      <c r="Z33" s="216"/>
      <c r="AA33" s="216">
        <f>IF($Y33=0,0,IF('Plant Inputs'!J33="",0,'Plant Inputs'!J33))</f>
        <v>0</v>
      </c>
      <c r="AB33" s="216">
        <f>IF($Y33=0,0,IF('Plant Inputs'!K33="",0,'Plant Inputs'!K33))</f>
        <v>0</v>
      </c>
      <c r="AC33" s="216">
        <f>IF($Y33=0,0,IF('Plant Inputs'!L33="",0,'Plant Inputs'!L33))</f>
        <v>0</v>
      </c>
      <c r="AD33" s="216">
        <f>IF($Y33=0,0,IF('Plant Inputs'!M33="",0,'Plant Inputs'!M33))</f>
        <v>0</v>
      </c>
      <c r="AE33" s="217" t="str">
        <f>'Plant Inputs'!$O33</f>
        <v>mile</v>
      </c>
      <c r="AF33" s="217">
        <f t="shared" si="9"/>
        <v>1.6093473468862911</v>
      </c>
      <c r="AG33" s="216" t="str">
        <f t="shared" si="23"/>
        <v>km/mile</v>
      </c>
      <c r="AH33" s="216">
        <f t="shared" si="10"/>
        <v>0</v>
      </c>
      <c r="AI33" s="216">
        <f t="shared" si="10"/>
        <v>0</v>
      </c>
      <c r="AJ33" s="216">
        <f t="shared" si="10"/>
        <v>0</v>
      </c>
      <c r="AK33" s="216">
        <f t="shared" si="10"/>
        <v>0</v>
      </c>
      <c r="AL33" s="216"/>
      <c r="AM33" s="1" t="str">
        <f t="shared" si="11"/>
        <v>Fine Aggregate - natural sand</v>
      </c>
      <c r="AN33" t="s">
        <v>127</v>
      </c>
      <c r="AO33">
        <f t="shared" si="12"/>
        <v>0</v>
      </c>
      <c r="AP33" s="1">
        <f t="shared" si="24"/>
        <v>0</v>
      </c>
      <c r="AQ33" s="1" t="str">
        <f t="shared" si="13"/>
        <v>short ton</v>
      </c>
      <c r="AR33" s="1">
        <f t="shared" si="14"/>
        <v>0.90718499588591606</v>
      </c>
      <c r="AS33" s="87" t="str">
        <f t="shared" si="15"/>
        <v>tonne/short ton</v>
      </c>
      <c r="AT33" s="87">
        <f t="shared" si="16"/>
        <v>0</v>
      </c>
      <c r="AU33" s="87">
        <f t="shared" si="17"/>
        <v>0</v>
      </c>
      <c r="AV33" s="87">
        <f t="shared" si="18"/>
        <v>0</v>
      </c>
      <c r="AW33" t="str">
        <f t="shared" si="19"/>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IFERROR(INDEX(LCIA_Data,MATCH($AO$15&amp;CM$27,LCIA_Rows_B&amp;LCIA_Rows_C,0),MATCH(CM$26,LCIA_Columns,0)),0)*$AT33*$AJ33*$BN$23</f>
        <v>0</v>
      </c>
      <c r="CN33" s="1">
        <f t="array" ref="CN33">IFERROR(INDEX(LCIA_Data,MATCH($AO$15&amp;CN$27,LCIA_Rows_B&amp;LCIA_Rows_C,0),MATCH(CN$26,LCIA_Columns,0)),0)*$AT33*$AJ33*$BN$23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IFERROR(INDEX(LCIA_Data,MATCH($AO$15&amp;DA$27,LCIA_Rows_B&amp;LCIA_Rows_C,0),MATCH(DA$26,LCIA_Columns,0)),0)*$AT33*$AK33*$BN$23</f>
        <v>0</v>
      </c>
      <c r="DB33" s="1">
        <f t="array" ref="DB33">IFERROR(INDEX(LCIA_Data,MATCH($AO$15&amp;DB$27,LCIA_Rows_B&amp;LCIA_Rows_C,0),MATCH(DB$26,LCIA_Columns,0)),0)*$AT33*$AK33*$BN$23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f t="shared" si="20"/>
        <v>0</v>
      </c>
      <c r="DP33">
        <f t="shared" si="20"/>
        <v>0</v>
      </c>
      <c r="DQ33">
        <f t="shared" si="20"/>
        <v>0</v>
      </c>
      <c r="DR33">
        <f t="shared" si="20"/>
        <v>0</v>
      </c>
      <c r="DS33">
        <f t="shared" si="20"/>
        <v>0</v>
      </c>
      <c r="DT33">
        <f t="shared" si="20"/>
        <v>0</v>
      </c>
      <c r="DU33">
        <f t="shared" si="20"/>
        <v>0</v>
      </c>
      <c r="DV33">
        <f t="shared" si="20"/>
        <v>0</v>
      </c>
      <c r="DW33">
        <f t="shared" si="20"/>
        <v>0</v>
      </c>
      <c r="DX33">
        <f t="shared" si="20"/>
        <v>0</v>
      </c>
      <c r="DY33">
        <f t="shared" si="20"/>
        <v>0</v>
      </c>
      <c r="DZ33">
        <f t="shared" si="20"/>
        <v>0</v>
      </c>
      <c r="EA33">
        <f t="shared" si="20"/>
        <v>0</v>
      </c>
      <c r="EB33">
        <f t="shared" si="21"/>
        <v>0</v>
      </c>
      <c r="EC33"/>
      <c r="ED33"/>
      <c r="EE33"/>
      <c r="EF33"/>
      <c r="EG33"/>
    </row>
    <row r="34" spans="2:137" ht="15" customHeight="1">
      <c r="B34" s="53">
        <f t="shared" si="25"/>
        <v>0</v>
      </c>
      <c r="C34" s="26">
        <f t="shared" si="22"/>
        <v>5</v>
      </c>
      <c r="D34" s="46" t="str">
        <f>'Plant Inputs'!$D34</f>
        <v>Fine Aggregate - manufactured</v>
      </c>
      <c r="E34" s="99"/>
      <c r="F34" s="119" t="str">
        <f t="shared" si="6"/>
        <v>short ton</v>
      </c>
      <c r="G34" s="158">
        <f t="shared" ref="G34:G66" si="26">$AV34</f>
        <v>0</v>
      </c>
      <c r="H34" s="204" t="str">
        <f t="shared" si="7"/>
        <v>short ton</v>
      </c>
      <c r="I34" s="156">
        <f t="shared" si="8"/>
        <v>0</v>
      </c>
      <c r="J34"/>
      <c r="K34"/>
      <c r="L34"/>
      <c r="M34"/>
      <c r="N34"/>
      <c r="O34"/>
      <c r="P34"/>
      <c r="Q34"/>
      <c r="R34"/>
      <c r="S34"/>
      <c r="T34"/>
      <c r="X34" s="67">
        <f t="shared" ref="X34:X45" si="27">IF(ISBLANK(E34),0,1)</f>
        <v>0</v>
      </c>
      <c r="Y34" s="216">
        <f>IF(AND($X34=1,'Plant Inputs'!$Y34=1),1,0)</f>
        <v>0</v>
      </c>
      <c r="Z34" s="216"/>
      <c r="AA34" s="216">
        <f>IF($Y34=0,0,IF('Plant Inputs'!J34="",0,'Plant Inputs'!J34))</f>
        <v>0</v>
      </c>
      <c r="AB34" s="216">
        <f>IF($Y34=0,0,IF('Plant Inputs'!K34="",0,'Plant Inputs'!K34))</f>
        <v>0</v>
      </c>
      <c r="AC34" s="216">
        <f>IF($Y34=0,0,IF('Plant Inputs'!L34="",0,'Plant Inputs'!L34))</f>
        <v>0</v>
      </c>
      <c r="AD34" s="216">
        <f>IF($Y34=0,0,IF('Plant Inputs'!M34="",0,'Plant Inputs'!M34))</f>
        <v>0</v>
      </c>
      <c r="AE34" s="217" t="str">
        <f>'Plant Inputs'!$O34</f>
        <v>mile</v>
      </c>
      <c r="AF34" s="217">
        <f t="shared" si="9"/>
        <v>1.6093473468862911</v>
      </c>
      <c r="AG34" s="216" t="str">
        <f t="shared" si="23"/>
        <v>km/mile</v>
      </c>
      <c r="AH34" s="216">
        <f t="shared" si="10"/>
        <v>0</v>
      </c>
      <c r="AI34" s="216">
        <f t="shared" si="10"/>
        <v>0</v>
      </c>
      <c r="AJ34" s="216">
        <f t="shared" si="10"/>
        <v>0</v>
      </c>
      <c r="AK34" s="216">
        <f t="shared" si="10"/>
        <v>0</v>
      </c>
      <c r="AL34" s="216"/>
      <c r="AM34" s="1" t="str">
        <f t="shared" si="11"/>
        <v>Fine Aggregate - manufactured</v>
      </c>
      <c r="AN34" t="s">
        <v>127</v>
      </c>
      <c r="AO34">
        <f t="shared" si="12"/>
        <v>0</v>
      </c>
      <c r="AP34" s="1">
        <f t="shared" si="24"/>
        <v>0</v>
      </c>
      <c r="AQ34" s="1" t="str">
        <f t="shared" si="13"/>
        <v>short ton</v>
      </c>
      <c r="AR34" s="1">
        <f t="shared" si="14"/>
        <v>0.90718499588591606</v>
      </c>
      <c r="AS34" s="87" t="str">
        <f t="shared" si="15"/>
        <v>tonne/short ton</v>
      </c>
      <c r="AT34" s="87">
        <f t="shared" si="16"/>
        <v>0</v>
      </c>
      <c r="AU34" s="87">
        <f t="shared" si="17"/>
        <v>0</v>
      </c>
      <c r="AV34" s="87">
        <f t="shared" si="18"/>
        <v>0</v>
      </c>
      <c r="AW34" t="str">
        <f t="shared" si="19"/>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IFERROR(INDEX(LCIA_Data,MATCH($AO$15&amp;CM$27,LCIA_Rows_B&amp;LCIA_Rows_C,0),MATCH(CM$26,LCIA_Columns,0)),0)*$AT34*$AJ34*$BN$23</f>
        <v>0</v>
      </c>
      <c r="CN34" s="1">
        <f t="array" ref="CN34">IFERROR(INDEX(LCIA_Data,MATCH($AO$15&amp;CN$27,LCIA_Rows_B&amp;LCIA_Rows_C,0),MATCH(CN$26,LCIA_Columns,0)),0)*$AT34*$AJ34*$BN$23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IFERROR(INDEX(LCIA_Data,MATCH($AO$15&amp;DA$27,LCIA_Rows_B&amp;LCIA_Rows_C,0),MATCH(DA$26,LCIA_Columns,0)),0)*$AT34*$AK34*$BN$23</f>
        <v>0</v>
      </c>
      <c r="DB34" s="1">
        <f t="array" ref="DB34">IFERROR(INDEX(LCIA_Data,MATCH($AO$15&amp;DB$27,LCIA_Rows_B&amp;LCIA_Rows_C,0),MATCH(DB$26,LCIA_Columns,0)),0)*$AT34*$AK34*$BN$23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f t="shared" si="20"/>
        <v>0</v>
      </c>
      <c r="DP34">
        <f t="shared" si="20"/>
        <v>0</v>
      </c>
      <c r="DQ34">
        <f t="shared" si="20"/>
        <v>0</v>
      </c>
      <c r="DR34">
        <f t="shared" si="20"/>
        <v>0</v>
      </c>
      <c r="DS34">
        <f t="shared" si="20"/>
        <v>0</v>
      </c>
      <c r="DT34">
        <f t="shared" si="20"/>
        <v>0</v>
      </c>
      <c r="DU34">
        <f t="shared" si="20"/>
        <v>0</v>
      </c>
      <c r="DV34">
        <f t="shared" si="20"/>
        <v>0</v>
      </c>
      <c r="DW34">
        <f t="shared" si="20"/>
        <v>0</v>
      </c>
      <c r="DX34">
        <f t="shared" si="20"/>
        <v>0</v>
      </c>
      <c r="DY34">
        <f t="shared" si="20"/>
        <v>0</v>
      </c>
      <c r="DZ34">
        <f t="shared" si="20"/>
        <v>0</v>
      </c>
      <c r="EA34">
        <f t="shared" si="20"/>
        <v>0</v>
      </c>
      <c r="EB34">
        <f t="shared" si="21"/>
        <v>0</v>
      </c>
      <c r="EC34"/>
      <c r="ED34"/>
      <c r="EE34"/>
      <c r="EF34"/>
      <c r="EG34"/>
    </row>
    <row r="35" spans="2:137" ht="15" customHeight="1">
      <c r="B35" s="53">
        <f t="shared" si="25"/>
        <v>0</v>
      </c>
      <c r="C35" s="26">
        <f t="shared" si="22"/>
        <v>6</v>
      </c>
      <c r="D35" s="41" t="str">
        <f>'Plant Inputs'!$D35</f>
        <v>Coarse Aggregate - natural gravel</v>
      </c>
      <c r="E35" s="99"/>
      <c r="F35" s="119" t="str">
        <f t="shared" si="6"/>
        <v>short ton</v>
      </c>
      <c r="G35" s="158">
        <f t="shared" si="26"/>
        <v>0</v>
      </c>
      <c r="H35" s="204" t="str">
        <f t="shared" si="7"/>
        <v>short ton</v>
      </c>
      <c r="I35" s="156">
        <f t="shared" si="8"/>
        <v>0</v>
      </c>
      <c r="J35"/>
      <c r="K35"/>
      <c r="L35"/>
      <c r="M35"/>
      <c r="N35"/>
      <c r="O35"/>
      <c r="P35"/>
      <c r="Q35"/>
      <c r="R35"/>
      <c r="S35"/>
      <c r="T35"/>
      <c r="X35" s="67">
        <f t="shared" si="27"/>
        <v>0</v>
      </c>
      <c r="Y35" s="216">
        <f>IF(AND($X35=1,'Plant Inputs'!$Y35=1),1,0)</f>
        <v>0</v>
      </c>
      <c r="Z35" s="216"/>
      <c r="AA35" s="216">
        <f>IF($Y35=0,0,IF('Plant Inputs'!J35="",0,'Plant Inputs'!J35))</f>
        <v>0</v>
      </c>
      <c r="AB35" s="216">
        <f>IF($Y35=0,0,IF('Plant Inputs'!K35="",0,'Plant Inputs'!K35))</f>
        <v>0</v>
      </c>
      <c r="AC35" s="216">
        <f>IF($Y35=0,0,IF('Plant Inputs'!L35="",0,'Plant Inputs'!L35))</f>
        <v>0</v>
      </c>
      <c r="AD35" s="216">
        <f>IF($Y35=0,0,IF('Plant Inputs'!M35="",0,'Plant Inputs'!M35))</f>
        <v>0</v>
      </c>
      <c r="AE35" s="217" t="str">
        <f>'Plant Inputs'!$O35</f>
        <v>mile</v>
      </c>
      <c r="AF35" s="217">
        <f t="shared" si="9"/>
        <v>1.6093473468862911</v>
      </c>
      <c r="AG35" s="216" t="str">
        <f t="shared" si="23"/>
        <v>km/mile</v>
      </c>
      <c r="AH35" s="216">
        <f t="shared" si="10"/>
        <v>0</v>
      </c>
      <c r="AI35" s="216">
        <f t="shared" si="10"/>
        <v>0</v>
      </c>
      <c r="AJ35" s="216">
        <f t="shared" si="10"/>
        <v>0</v>
      </c>
      <c r="AK35" s="216">
        <f t="shared" si="10"/>
        <v>0</v>
      </c>
      <c r="AL35" s="216"/>
      <c r="AM35" s="1" t="str">
        <f t="shared" si="11"/>
        <v>Coarse Aggregate - natural gravel</v>
      </c>
      <c r="AN35" t="s">
        <v>127</v>
      </c>
      <c r="AO35">
        <f t="shared" si="12"/>
        <v>0</v>
      </c>
      <c r="AP35" s="1">
        <f t="shared" si="24"/>
        <v>0</v>
      </c>
      <c r="AQ35" s="1" t="str">
        <f t="shared" si="13"/>
        <v>short ton</v>
      </c>
      <c r="AR35" s="1">
        <f t="shared" si="14"/>
        <v>0.90718499588591606</v>
      </c>
      <c r="AS35" s="87" t="str">
        <f t="shared" si="15"/>
        <v>tonne/short ton</v>
      </c>
      <c r="AT35" s="87">
        <f t="shared" si="16"/>
        <v>0</v>
      </c>
      <c r="AU35" s="87">
        <f t="shared" si="17"/>
        <v>0</v>
      </c>
      <c r="AV35" s="87">
        <f t="shared" si="18"/>
        <v>0</v>
      </c>
      <c r="AW35" t="str">
        <f t="shared" si="19"/>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IFERROR(INDEX(LCIA_Data,MATCH($AO$15&amp;CM$27,LCIA_Rows_B&amp;LCIA_Rows_C,0),MATCH(CM$26,LCIA_Columns,0)),0)*$AT35*$AJ35*$BN$23</f>
        <v>0</v>
      </c>
      <c r="CN35" s="1">
        <f t="array" ref="CN35">IFERROR(INDEX(LCIA_Data,MATCH($AO$15&amp;CN$27,LCIA_Rows_B&amp;LCIA_Rows_C,0),MATCH(CN$26,LCIA_Columns,0)),0)*$AT35*$AJ35*$BN$23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IFERROR(INDEX(LCIA_Data,MATCH($AO$15&amp;DA$27,LCIA_Rows_B&amp;LCIA_Rows_C,0),MATCH(DA$26,LCIA_Columns,0)),0)*$AT35*$AK35*$BN$23</f>
        <v>0</v>
      </c>
      <c r="DB35" s="1">
        <f t="array" ref="DB35">IFERROR(INDEX(LCIA_Data,MATCH($AO$15&amp;DB$27,LCIA_Rows_B&amp;LCIA_Rows_C,0),MATCH(DB$26,LCIA_Columns,0)),0)*$AT35*$AK35*$BN$23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f t="shared" si="20"/>
        <v>0</v>
      </c>
      <c r="DP35">
        <f t="shared" si="20"/>
        <v>0</v>
      </c>
      <c r="DQ35">
        <f t="shared" si="20"/>
        <v>0</v>
      </c>
      <c r="DR35">
        <f t="shared" si="20"/>
        <v>0</v>
      </c>
      <c r="DS35">
        <f t="shared" si="20"/>
        <v>0</v>
      </c>
      <c r="DT35">
        <f t="shared" si="20"/>
        <v>0</v>
      </c>
      <c r="DU35">
        <f t="shared" si="20"/>
        <v>0</v>
      </c>
      <c r="DV35">
        <f t="shared" si="20"/>
        <v>0</v>
      </c>
      <c r="DW35">
        <f t="shared" si="20"/>
        <v>0</v>
      </c>
      <c r="DX35">
        <f t="shared" si="20"/>
        <v>0</v>
      </c>
      <c r="DY35">
        <f t="shared" si="20"/>
        <v>0</v>
      </c>
      <c r="DZ35">
        <f t="shared" si="20"/>
        <v>0</v>
      </c>
      <c r="EA35">
        <f t="shared" si="20"/>
        <v>0</v>
      </c>
      <c r="EB35">
        <f t="shared" si="21"/>
        <v>0</v>
      </c>
      <c r="EC35"/>
      <c r="ED35"/>
      <c r="EE35"/>
      <c r="EF35"/>
      <c r="EG35"/>
    </row>
    <row r="36" spans="2:137" ht="15" customHeight="1">
      <c r="B36" s="53">
        <f t="shared" si="25"/>
        <v>0</v>
      </c>
      <c r="C36" s="26">
        <f t="shared" si="22"/>
        <v>7</v>
      </c>
      <c r="D36" s="41" t="str">
        <f>'Plant Inputs'!$D36</f>
        <v>Coarse Aggregate - crushed</v>
      </c>
      <c r="E36" s="99"/>
      <c r="F36" s="119" t="str">
        <f t="shared" si="6"/>
        <v>short ton</v>
      </c>
      <c r="G36" s="158">
        <f t="shared" si="26"/>
        <v>0</v>
      </c>
      <c r="H36" s="204" t="str">
        <f t="shared" si="7"/>
        <v>short ton</v>
      </c>
      <c r="I36" s="156">
        <f t="shared" si="8"/>
        <v>0</v>
      </c>
      <c r="J36"/>
      <c r="K36"/>
      <c r="L36"/>
      <c r="M36"/>
      <c r="N36"/>
      <c r="O36"/>
      <c r="P36"/>
      <c r="Q36"/>
      <c r="R36"/>
      <c r="S36"/>
      <c r="T36"/>
      <c r="X36" s="67">
        <f t="shared" si="27"/>
        <v>0</v>
      </c>
      <c r="Y36" s="216">
        <f>IF(AND($X36=1,'Plant Inputs'!$Y36=1),1,0)</f>
        <v>0</v>
      </c>
      <c r="Z36" s="216"/>
      <c r="AA36" s="216">
        <f>IF($Y36=0,0,IF('Plant Inputs'!J36="",0,'Plant Inputs'!J36))</f>
        <v>0</v>
      </c>
      <c r="AB36" s="216">
        <f>IF($Y36=0,0,IF('Plant Inputs'!K36="",0,'Plant Inputs'!K36))</f>
        <v>0</v>
      </c>
      <c r="AC36" s="216">
        <f>IF($Y36=0,0,IF('Plant Inputs'!L36="",0,'Plant Inputs'!L36))</f>
        <v>0</v>
      </c>
      <c r="AD36" s="216">
        <f>IF($Y36=0,0,IF('Plant Inputs'!M36="",0,'Plant Inputs'!M36))</f>
        <v>0</v>
      </c>
      <c r="AE36" s="217" t="str">
        <f>'Plant Inputs'!$O36</f>
        <v>mile</v>
      </c>
      <c r="AF36" s="217">
        <f t="shared" si="9"/>
        <v>1.6093473468862911</v>
      </c>
      <c r="AG36" s="216" t="str">
        <f t="shared" si="23"/>
        <v>km/mile</v>
      </c>
      <c r="AH36" s="216">
        <f t="shared" si="10"/>
        <v>0</v>
      </c>
      <c r="AI36" s="216">
        <f t="shared" si="10"/>
        <v>0</v>
      </c>
      <c r="AJ36" s="216">
        <f t="shared" si="10"/>
        <v>0</v>
      </c>
      <c r="AK36" s="216">
        <f t="shared" si="10"/>
        <v>0</v>
      </c>
      <c r="AL36" s="216"/>
      <c r="AM36" s="1" t="str">
        <f t="shared" si="11"/>
        <v>Coarse Aggregate - crushed</v>
      </c>
      <c r="AN36" t="s">
        <v>127</v>
      </c>
      <c r="AO36">
        <f t="shared" si="12"/>
        <v>0</v>
      </c>
      <c r="AP36" s="1">
        <f t="shared" si="24"/>
        <v>0</v>
      </c>
      <c r="AQ36" s="1" t="str">
        <f t="shared" si="13"/>
        <v>short ton</v>
      </c>
      <c r="AR36" s="1">
        <f t="shared" si="14"/>
        <v>0.90718499588591606</v>
      </c>
      <c r="AS36" s="87" t="str">
        <f t="shared" si="15"/>
        <v>tonne/short ton</v>
      </c>
      <c r="AT36" s="87">
        <f t="shared" si="16"/>
        <v>0</v>
      </c>
      <c r="AU36" s="87">
        <f t="shared" si="17"/>
        <v>0</v>
      </c>
      <c r="AV36" s="87">
        <f t="shared" si="18"/>
        <v>0</v>
      </c>
      <c r="AW36" t="str">
        <f t="shared" si="19"/>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IFERROR(INDEX(LCIA_Data,MATCH($AO$15&amp;CM$27,LCIA_Rows_B&amp;LCIA_Rows_C,0),MATCH(CM$26,LCIA_Columns,0)),0)*$AT36*$AJ36*$BN$23</f>
        <v>0</v>
      </c>
      <c r="CN36" s="1">
        <f t="array" ref="CN36">IFERROR(INDEX(LCIA_Data,MATCH($AO$15&amp;CN$27,LCIA_Rows_B&amp;LCIA_Rows_C,0),MATCH(CN$26,LCIA_Columns,0)),0)*$AT36*$AJ36*$BN$23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IFERROR(INDEX(LCIA_Data,MATCH($AO$15&amp;DA$27,LCIA_Rows_B&amp;LCIA_Rows_C,0),MATCH(DA$26,LCIA_Columns,0)),0)*$AT36*$AK36*$BN$23</f>
        <v>0</v>
      </c>
      <c r="DB36" s="1">
        <f t="array" ref="DB36">IFERROR(INDEX(LCIA_Data,MATCH($AO$15&amp;DB$27,LCIA_Rows_B&amp;LCIA_Rows_C,0),MATCH(DB$26,LCIA_Columns,0)),0)*$AT36*$AK36*$BN$23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f t="shared" si="20"/>
        <v>0</v>
      </c>
      <c r="DP36">
        <f t="shared" si="20"/>
        <v>0</v>
      </c>
      <c r="DQ36">
        <f t="shared" si="20"/>
        <v>0</v>
      </c>
      <c r="DR36">
        <f t="shared" si="20"/>
        <v>0</v>
      </c>
      <c r="DS36">
        <f t="shared" si="20"/>
        <v>0</v>
      </c>
      <c r="DT36">
        <f t="shared" si="20"/>
        <v>0</v>
      </c>
      <c r="DU36">
        <f t="shared" si="20"/>
        <v>0</v>
      </c>
      <c r="DV36">
        <f t="shared" si="20"/>
        <v>0</v>
      </c>
      <c r="DW36">
        <f t="shared" si="20"/>
        <v>0</v>
      </c>
      <c r="DX36">
        <f t="shared" si="20"/>
        <v>0</v>
      </c>
      <c r="DY36">
        <f t="shared" si="20"/>
        <v>0</v>
      </c>
      <c r="DZ36">
        <f t="shared" si="20"/>
        <v>0</v>
      </c>
      <c r="EA36">
        <f t="shared" si="20"/>
        <v>0</v>
      </c>
      <c r="EB36">
        <f t="shared" si="21"/>
        <v>0</v>
      </c>
      <c r="EC36"/>
      <c r="ED36"/>
      <c r="EE36"/>
      <c r="EF36"/>
      <c r="EG36"/>
    </row>
    <row r="37" spans="2:137" ht="15" customHeight="1">
      <c r="B37" s="53">
        <f t="shared" si="25"/>
        <v>0</v>
      </c>
      <c r="C37" s="26">
        <f t="shared" si="22"/>
        <v>8</v>
      </c>
      <c r="D37" s="41" t="str">
        <f>'Plant Inputs'!$D37</f>
        <v>Manufactured Lightweight Aggregate</v>
      </c>
      <c r="E37" s="99"/>
      <c r="F37" s="119" t="str">
        <f t="shared" si="6"/>
        <v>short ton</v>
      </c>
      <c r="G37" s="158">
        <f t="shared" si="26"/>
        <v>0</v>
      </c>
      <c r="H37" s="204" t="str">
        <f t="shared" si="7"/>
        <v>short ton</v>
      </c>
      <c r="I37" s="156">
        <f t="shared" si="8"/>
        <v>0</v>
      </c>
      <c r="J37"/>
      <c r="K37"/>
      <c r="L37"/>
      <c r="M37"/>
      <c r="N37"/>
      <c r="O37"/>
      <c r="P37"/>
      <c r="Q37"/>
      <c r="R37"/>
      <c r="S37"/>
      <c r="T37"/>
      <c r="X37" s="67">
        <f t="shared" si="27"/>
        <v>0</v>
      </c>
      <c r="Y37" s="216">
        <f>IF(AND($X37=1,'Plant Inputs'!$Y37=1),1,0)</f>
        <v>0</v>
      </c>
      <c r="Z37" s="216"/>
      <c r="AA37" s="216">
        <f>IF($Y37=0,0,IF('Plant Inputs'!J37="",0,'Plant Inputs'!J37))</f>
        <v>0</v>
      </c>
      <c r="AB37" s="216">
        <f>IF($Y37=0,0,IF('Plant Inputs'!K37="",0,'Plant Inputs'!K37))</f>
        <v>0</v>
      </c>
      <c r="AC37" s="216">
        <f>IF($Y37=0,0,IF('Plant Inputs'!L37="",0,'Plant Inputs'!L37))</f>
        <v>0</v>
      </c>
      <c r="AD37" s="216">
        <f>IF($Y37=0,0,IF('Plant Inputs'!M37="",0,'Plant Inputs'!M37))</f>
        <v>0</v>
      </c>
      <c r="AE37" s="217" t="str">
        <f>'Plant Inputs'!$O37</f>
        <v>mile</v>
      </c>
      <c r="AF37" s="217">
        <f t="shared" si="9"/>
        <v>1.6093473468862911</v>
      </c>
      <c r="AG37" s="216" t="str">
        <f t="shared" si="23"/>
        <v>km/mile</v>
      </c>
      <c r="AH37" s="216">
        <f t="shared" si="10"/>
        <v>0</v>
      </c>
      <c r="AI37" s="216">
        <f t="shared" si="10"/>
        <v>0</v>
      </c>
      <c r="AJ37" s="216">
        <f t="shared" si="10"/>
        <v>0</v>
      </c>
      <c r="AK37" s="216">
        <f t="shared" si="10"/>
        <v>0</v>
      </c>
      <c r="AL37" s="216"/>
      <c r="AM37" s="1" t="str">
        <f t="shared" si="11"/>
        <v>Manufactured Lightweight Aggregate</v>
      </c>
      <c r="AN37" t="s">
        <v>127</v>
      </c>
      <c r="AO37">
        <f t="shared" si="12"/>
        <v>0</v>
      </c>
      <c r="AP37" s="1">
        <f t="shared" si="24"/>
        <v>0</v>
      </c>
      <c r="AQ37" s="1" t="str">
        <f t="shared" si="13"/>
        <v>short ton</v>
      </c>
      <c r="AR37" s="1">
        <f t="shared" si="14"/>
        <v>0.90718499588591606</v>
      </c>
      <c r="AS37" s="87" t="str">
        <f t="shared" si="15"/>
        <v>tonne/short ton</v>
      </c>
      <c r="AT37" s="87">
        <f t="shared" si="16"/>
        <v>0</v>
      </c>
      <c r="AU37" s="87">
        <f t="shared" si="17"/>
        <v>0</v>
      </c>
      <c r="AV37" s="87">
        <f t="shared" si="18"/>
        <v>0</v>
      </c>
      <c r="AW37" t="str">
        <f t="shared" si="19"/>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IFERROR(INDEX(LCIA_Data,MATCH($AO$15&amp;CM$27,LCIA_Rows_B&amp;LCIA_Rows_C,0),MATCH(CM$26,LCIA_Columns,0)),0)*$AT37*$AJ37*$BN$23</f>
        <v>0</v>
      </c>
      <c r="CN37" s="1">
        <f t="array" ref="CN37">IFERROR(INDEX(LCIA_Data,MATCH($AO$15&amp;CN$27,LCIA_Rows_B&amp;LCIA_Rows_C,0),MATCH(CN$26,LCIA_Columns,0)),0)*$AT37*$AJ37*$BN$23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IFERROR(INDEX(LCIA_Data,MATCH($AO$15&amp;DA$27,LCIA_Rows_B&amp;LCIA_Rows_C,0),MATCH(DA$26,LCIA_Columns,0)),0)*$AT37*$AK37*$BN$23</f>
        <v>0</v>
      </c>
      <c r="DB37" s="1">
        <f t="array" ref="DB37">IFERROR(INDEX(LCIA_Data,MATCH($AO$15&amp;DB$27,LCIA_Rows_B&amp;LCIA_Rows_C,0),MATCH(DB$26,LCIA_Columns,0)),0)*$AT37*$AK37*$BN$23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f t="shared" si="20"/>
        <v>0</v>
      </c>
      <c r="DP37">
        <f t="shared" si="20"/>
        <v>0</v>
      </c>
      <c r="DQ37">
        <f t="shared" si="20"/>
        <v>0</v>
      </c>
      <c r="DR37">
        <f t="shared" si="20"/>
        <v>0</v>
      </c>
      <c r="DS37">
        <f t="shared" si="20"/>
        <v>0</v>
      </c>
      <c r="DT37">
        <f t="shared" si="20"/>
        <v>0</v>
      </c>
      <c r="DU37">
        <f t="shared" si="20"/>
        <v>0</v>
      </c>
      <c r="DV37">
        <f t="shared" si="20"/>
        <v>0</v>
      </c>
      <c r="DW37">
        <f t="shared" si="20"/>
        <v>0</v>
      </c>
      <c r="DX37">
        <f t="shared" si="20"/>
        <v>0</v>
      </c>
      <c r="DY37">
        <f t="shared" si="20"/>
        <v>0</v>
      </c>
      <c r="DZ37">
        <f t="shared" si="20"/>
        <v>0</v>
      </c>
      <c r="EA37">
        <f t="shared" si="20"/>
        <v>0</v>
      </c>
      <c r="EB37">
        <f t="shared" si="21"/>
        <v>0</v>
      </c>
      <c r="EC37"/>
      <c r="ED37"/>
      <c r="EE37"/>
      <c r="EF37"/>
      <c r="EG37"/>
    </row>
    <row r="38" spans="2:137" ht="15" customHeight="1">
      <c r="B38" s="53">
        <f t="shared" si="25"/>
        <v>0</v>
      </c>
      <c r="C38" s="233">
        <f t="shared" si="22"/>
        <v>9</v>
      </c>
      <c r="D38" s="234" t="str">
        <f>'Plant Inputs'!$D38</f>
        <v>Natural Lightweight Aggregate</v>
      </c>
      <c r="E38" s="101"/>
      <c r="F38" s="235" t="str">
        <f t="shared" si="6"/>
        <v>short ton</v>
      </c>
      <c r="G38" s="236">
        <f t="shared" si="26"/>
        <v>0</v>
      </c>
      <c r="H38" s="237" t="str">
        <f t="shared" si="7"/>
        <v>short ton</v>
      </c>
      <c r="I38" s="398">
        <f t="shared" si="8"/>
        <v>0</v>
      </c>
      <c r="J38"/>
      <c r="K38"/>
      <c r="L38"/>
      <c r="M38"/>
      <c r="N38"/>
      <c r="O38"/>
      <c r="P38"/>
      <c r="Q38"/>
      <c r="R38"/>
      <c r="S38"/>
      <c r="T38"/>
      <c r="X38" s="67">
        <f t="shared" si="27"/>
        <v>0</v>
      </c>
      <c r="Y38" s="216">
        <f>IF(AND($X38=1,'Plant Inputs'!$Y38=1),1,0)</f>
        <v>0</v>
      </c>
      <c r="Z38" s="216"/>
      <c r="AA38" s="216">
        <f>IF($Y38=0,0,IF('Plant Inputs'!J38="",0,'Plant Inputs'!J38))</f>
        <v>0</v>
      </c>
      <c r="AB38" s="216">
        <f>IF($Y38=0,0,IF('Plant Inputs'!K38="",0,'Plant Inputs'!K38))</f>
        <v>0</v>
      </c>
      <c r="AC38" s="216">
        <f>IF($Y38=0,0,IF('Plant Inputs'!L38="",0,'Plant Inputs'!L38))</f>
        <v>0</v>
      </c>
      <c r="AD38" s="216">
        <f>IF($Y38=0,0,IF('Plant Inputs'!M38="",0,'Plant Inputs'!M38))</f>
        <v>0</v>
      </c>
      <c r="AE38" s="217" t="str">
        <f>'Plant Inputs'!$O38</f>
        <v>mile</v>
      </c>
      <c r="AF38" s="217">
        <f t="shared" si="9"/>
        <v>1.6093473468862911</v>
      </c>
      <c r="AG38" s="216" t="str">
        <f t="shared" si="23"/>
        <v>km/mile</v>
      </c>
      <c r="AH38" s="216">
        <f t="shared" si="10"/>
        <v>0</v>
      </c>
      <c r="AI38" s="216">
        <f t="shared" si="10"/>
        <v>0</v>
      </c>
      <c r="AJ38" s="216">
        <f t="shared" si="10"/>
        <v>0</v>
      </c>
      <c r="AK38" s="216">
        <f t="shared" si="10"/>
        <v>0</v>
      </c>
      <c r="AL38" s="216"/>
      <c r="AM38" s="1" t="str">
        <f t="shared" si="11"/>
        <v>Natural Lightweight Aggregate</v>
      </c>
      <c r="AN38" t="s">
        <v>127</v>
      </c>
      <c r="AO38">
        <f t="shared" si="12"/>
        <v>0</v>
      </c>
      <c r="AP38" s="1">
        <f t="shared" si="24"/>
        <v>0</v>
      </c>
      <c r="AQ38" s="1" t="str">
        <f t="shared" si="13"/>
        <v>short ton</v>
      </c>
      <c r="AR38" s="1">
        <f t="shared" si="14"/>
        <v>0.90718499588591606</v>
      </c>
      <c r="AS38" s="87" t="str">
        <f t="shared" si="15"/>
        <v>tonne/short ton</v>
      </c>
      <c r="AT38" s="87">
        <f t="shared" si="16"/>
        <v>0</v>
      </c>
      <c r="AU38" s="87">
        <f t="shared" si="17"/>
        <v>0</v>
      </c>
      <c r="AV38" s="87">
        <f t="shared" si="18"/>
        <v>0</v>
      </c>
      <c r="AW38" t="str">
        <f t="shared" si="19"/>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IFERROR(INDEX(LCIA_Data,MATCH($AO$15&amp;CM$27,LCIA_Rows_B&amp;LCIA_Rows_C,0),MATCH(CM$26,LCIA_Columns,0)),0)*$AT38*$AJ38*$BN$23</f>
        <v>0</v>
      </c>
      <c r="CN38" s="1">
        <f t="array" ref="CN38">IFERROR(INDEX(LCIA_Data,MATCH($AO$15&amp;CN$27,LCIA_Rows_B&amp;LCIA_Rows_C,0),MATCH(CN$26,LCIA_Columns,0)),0)*$AT38*$AJ38*$BN$23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IFERROR(INDEX(LCIA_Data,MATCH($AO$15&amp;DA$27,LCIA_Rows_B&amp;LCIA_Rows_C,0),MATCH(DA$26,LCIA_Columns,0)),0)*$AT38*$AK38*$BN$23</f>
        <v>0</v>
      </c>
      <c r="DB38" s="1">
        <f t="array" ref="DB38">IFERROR(INDEX(LCIA_Data,MATCH($AO$15&amp;DB$27,LCIA_Rows_B&amp;LCIA_Rows_C,0),MATCH(DB$26,LCIA_Columns,0)),0)*$AT38*$AK38*$BN$23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f t="shared" si="20"/>
        <v>0</v>
      </c>
      <c r="DP38">
        <f t="shared" si="20"/>
        <v>0</v>
      </c>
      <c r="DQ38">
        <f t="shared" si="20"/>
        <v>0</v>
      </c>
      <c r="DR38">
        <f t="shared" si="20"/>
        <v>0</v>
      </c>
      <c r="DS38">
        <f t="shared" si="20"/>
        <v>0</v>
      </c>
      <c r="DT38">
        <f t="shared" si="20"/>
        <v>0</v>
      </c>
      <c r="DU38">
        <f t="shared" si="20"/>
        <v>0</v>
      </c>
      <c r="DV38">
        <f t="shared" si="20"/>
        <v>0</v>
      </c>
      <c r="DW38">
        <f t="shared" si="20"/>
        <v>0</v>
      </c>
      <c r="DX38">
        <f t="shared" si="20"/>
        <v>0</v>
      </c>
      <c r="DY38">
        <f t="shared" si="20"/>
        <v>0</v>
      </c>
      <c r="DZ38">
        <f t="shared" si="20"/>
        <v>0</v>
      </c>
      <c r="EA38">
        <f t="shared" si="20"/>
        <v>0</v>
      </c>
      <c r="EB38">
        <f t="shared" si="21"/>
        <v>0</v>
      </c>
      <c r="EC38"/>
      <c r="ED38"/>
      <c r="EE38"/>
      <c r="EF38"/>
      <c r="EG38"/>
    </row>
    <row r="39" spans="2:137" ht="15" customHeight="1">
      <c r="B39" s="53">
        <f t="shared" si="25"/>
        <v>0</v>
      </c>
      <c r="C39" s="26">
        <f t="shared" si="22"/>
        <v>10</v>
      </c>
      <c r="D39" s="46" t="str">
        <f>'Plant Inputs'!$D39</f>
        <v>SCMs - Fly Ash</v>
      </c>
      <c r="E39" s="99"/>
      <c r="F39" s="119" t="str">
        <f t="shared" si="6"/>
        <v>short ton</v>
      </c>
      <c r="G39" s="158">
        <f t="shared" si="26"/>
        <v>0</v>
      </c>
      <c r="H39" s="204" t="str">
        <f t="shared" si="7"/>
        <v>short ton</v>
      </c>
      <c r="I39" s="399">
        <f t="shared" si="8"/>
        <v>0</v>
      </c>
      <c r="J39"/>
      <c r="K39"/>
      <c r="L39"/>
      <c r="M39"/>
      <c r="N39"/>
      <c r="O39"/>
      <c r="P39"/>
      <c r="Q39"/>
      <c r="R39"/>
      <c r="S39"/>
      <c r="T39"/>
      <c r="X39" s="67">
        <f t="shared" si="27"/>
        <v>0</v>
      </c>
      <c r="Y39" s="216">
        <f>IF(AND($X39=1,'Plant Inputs'!$Y39=1),1,0)</f>
        <v>0</v>
      </c>
      <c r="Z39" s="216"/>
      <c r="AA39" s="216">
        <f>IF($Y39=0,0,IF('Plant Inputs'!J39="",0,'Plant Inputs'!J39))</f>
        <v>0</v>
      </c>
      <c r="AB39" s="216">
        <f>IF($Y39=0,0,IF('Plant Inputs'!K39="",0,'Plant Inputs'!K39))</f>
        <v>0</v>
      </c>
      <c r="AC39" s="216">
        <f>IF($Y39=0,0,IF('Plant Inputs'!L39="",0,'Plant Inputs'!L39))</f>
        <v>0</v>
      </c>
      <c r="AD39" s="216">
        <f>IF($Y39=0,0,IF('Plant Inputs'!M39="",0,'Plant Inputs'!M39))</f>
        <v>0</v>
      </c>
      <c r="AE39" s="217" t="str">
        <f>'Plant Inputs'!$O39</f>
        <v>mile</v>
      </c>
      <c r="AF39" s="217">
        <f t="shared" si="9"/>
        <v>1.6093473468862911</v>
      </c>
      <c r="AG39" s="216" t="str">
        <f t="shared" si="23"/>
        <v>km/mile</v>
      </c>
      <c r="AH39" s="216">
        <f t="shared" si="10"/>
        <v>0</v>
      </c>
      <c r="AI39" s="216">
        <f t="shared" si="10"/>
        <v>0</v>
      </c>
      <c r="AJ39" s="216">
        <f t="shared" si="10"/>
        <v>0</v>
      </c>
      <c r="AK39" s="216">
        <f t="shared" si="10"/>
        <v>0</v>
      </c>
      <c r="AL39" s="216"/>
      <c r="AM39" s="1" t="str">
        <f t="shared" si="11"/>
        <v>SCMs - Fly Ash</v>
      </c>
      <c r="AN39" t="s">
        <v>127</v>
      </c>
      <c r="AO39">
        <f t="shared" si="12"/>
        <v>0</v>
      </c>
      <c r="AP39" s="1">
        <f t="shared" si="24"/>
        <v>0</v>
      </c>
      <c r="AQ39" s="1" t="str">
        <f t="shared" si="13"/>
        <v>short ton</v>
      </c>
      <c r="AR39" s="1">
        <f t="shared" si="14"/>
        <v>0.90718499588591606</v>
      </c>
      <c r="AS39" s="87" t="str">
        <f t="shared" si="15"/>
        <v>tonne/short ton</v>
      </c>
      <c r="AT39" s="87">
        <f t="shared" si="16"/>
        <v>0</v>
      </c>
      <c r="AU39" s="87">
        <f t="shared" si="17"/>
        <v>0</v>
      </c>
      <c r="AV39" s="87">
        <f t="shared" si="18"/>
        <v>0</v>
      </c>
      <c r="AW39" t="str">
        <f t="shared" si="19"/>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IFERROR(INDEX(LCIA_Data,MATCH($AO$15&amp;CM$27,LCIA_Rows_B&amp;LCIA_Rows_C,0),MATCH(CM$26,LCIA_Columns,0)),0)*$AT39*$AJ39*$BN$23</f>
        <v>0</v>
      </c>
      <c r="CN39" s="1">
        <f t="array" ref="CN39">IFERROR(INDEX(LCIA_Data,MATCH($AO$15&amp;CN$27,LCIA_Rows_B&amp;LCIA_Rows_C,0),MATCH(CN$26,LCIA_Columns,0)),0)*$AT39*$AJ39*$BN$23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IFERROR(INDEX(LCIA_Data,MATCH($AO$15&amp;DA$27,LCIA_Rows_B&amp;LCIA_Rows_C,0),MATCH(DA$26,LCIA_Columns,0)),0)*$AT39*$AK39*$BN$23</f>
        <v>0</v>
      </c>
      <c r="DB39" s="1">
        <f t="array" ref="DB39">IFERROR(INDEX(LCIA_Data,MATCH($AO$15&amp;DB$27,LCIA_Rows_B&amp;LCIA_Rows_C,0),MATCH(DB$26,LCIA_Columns,0)),0)*$AT39*$AK39*$BN$23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f t="shared" si="20"/>
        <v>0</v>
      </c>
      <c r="DP39">
        <f t="shared" si="20"/>
        <v>0</v>
      </c>
      <c r="DQ39">
        <f t="shared" si="20"/>
        <v>0</v>
      </c>
      <c r="DR39">
        <f t="shared" si="20"/>
        <v>0</v>
      </c>
      <c r="DS39">
        <f t="shared" si="20"/>
        <v>0</v>
      </c>
      <c r="DT39">
        <f t="shared" si="20"/>
        <v>0</v>
      </c>
      <c r="DU39">
        <f t="shared" si="20"/>
        <v>0</v>
      </c>
      <c r="DV39">
        <f t="shared" si="20"/>
        <v>0</v>
      </c>
      <c r="DW39">
        <f t="shared" si="20"/>
        <v>0</v>
      </c>
      <c r="DX39">
        <f t="shared" si="20"/>
        <v>0</v>
      </c>
      <c r="DY39">
        <f t="shared" si="20"/>
        <v>0</v>
      </c>
      <c r="DZ39">
        <f t="shared" si="20"/>
        <v>0</v>
      </c>
      <c r="EA39">
        <f t="shared" si="20"/>
        <v>0</v>
      </c>
      <c r="EB39">
        <f t="shared" si="21"/>
        <v>0</v>
      </c>
      <c r="EC39"/>
      <c r="ED39"/>
      <c r="EE39"/>
      <c r="EF39"/>
      <c r="EG39"/>
    </row>
    <row r="40" spans="2:137" ht="15" customHeight="1">
      <c r="B40" s="53">
        <f t="shared" si="25"/>
        <v>0</v>
      </c>
      <c r="C40" s="26">
        <f t="shared" si="22"/>
        <v>11</v>
      </c>
      <c r="D40" s="46" t="str">
        <f>'Plant Inputs'!$D40</f>
        <v>SCMs - Silica Fume</v>
      </c>
      <c r="E40" s="99"/>
      <c r="F40" s="119" t="str">
        <f t="shared" si="6"/>
        <v>short ton</v>
      </c>
      <c r="G40" s="158">
        <f t="shared" si="26"/>
        <v>0</v>
      </c>
      <c r="H40" s="204" t="str">
        <f t="shared" si="7"/>
        <v>short ton</v>
      </c>
      <c r="I40" s="156">
        <f t="shared" si="8"/>
        <v>0</v>
      </c>
      <c r="J40"/>
      <c r="K40"/>
      <c r="L40"/>
      <c r="M40"/>
      <c r="N40"/>
      <c r="O40"/>
      <c r="P40"/>
      <c r="Q40"/>
      <c r="R40"/>
      <c r="S40"/>
      <c r="T40"/>
      <c r="X40" s="67">
        <f t="shared" si="27"/>
        <v>0</v>
      </c>
      <c r="Y40" s="216">
        <f>IF(AND($X40=1,'Plant Inputs'!$Y40=1),1,0)</f>
        <v>0</v>
      </c>
      <c r="Z40" s="216"/>
      <c r="AA40" s="216">
        <f>IF($Y40=0,0,IF('Plant Inputs'!J40="",0,'Plant Inputs'!J40))</f>
        <v>0</v>
      </c>
      <c r="AB40" s="216">
        <f>IF($Y40=0,0,IF('Plant Inputs'!K40="",0,'Plant Inputs'!K40))</f>
        <v>0</v>
      </c>
      <c r="AC40" s="216">
        <f>IF($Y40=0,0,IF('Plant Inputs'!L40="",0,'Plant Inputs'!L40))</f>
        <v>0</v>
      </c>
      <c r="AD40" s="216">
        <f>IF($Y40=0,0,IF('Plant Inputs'!M40="",0,'Plant Inputs'!M40))</f>
        <v>0</v>
      </c>
      <c r="AE40" s="217" t="str">
        <f>'Plant Inputs'!$O40</f>
        <v>mile</v>
      </c>
      <c r="AF40" s="217">
        <f t="shared" si="9"/>
        <v>1.6093473468862911</v>
      </c>
      <c r="AG40" s="216" t="str">
        <f t="shared" si="23"/>
        <v>km/mile</v>
      </c>
      <c r="AH40" s="216">
        <f t="shared" si="10"/>
        <v>0</v>
      </c>
      <c r="AI40" s="216">
        <f t="shared" si="10"/>
        <v>0</v>
      </c>
      <c r="AJ40" s="216">
        <f t="shared" si="10"/>
        <v>0</v>
      </c>
      <c r="AK40" s="216">
        <f t="shared" si="10"/>
        <v>0</v>
      </c>
      <c r="AL40" s="216"/>
      <c r="AM40" s="1" t="str">
        <f t="shared" si="11"/>
        <v>SCMs - Silica Fume</v>
      </c>
      <c r="AN40" t="s">
        <v>127</v>
      </c>
      <c r="AO40">
        <f t="shared" si="12"/>
        <v>0</v>
      </c>
      <c r="AP40" s="1">
        <f t="shared" si="24"/>
        <v>0</v>
      </c>
      <c r="AQ40" s="1" t="str">
        <f t="shared" si="13"/>
        <v>short ton</v>
      </c>
      <c r="AR40" s="1">
        <f t="shared" si="14"/>
        <v>0.90718499588591606</v>
      </c>
      <c r="AS40" s="87" t="str">
        <f t="shared" si="15"/>
        <v>tonne/short ton</v>
      </c>
      <c r="AT40" s="87">
        <f t="shared" si="16"/>
        <v>0</v>
      </c>
      <c r="AU40" s="87">
        <f t="shared" si="17"/>
        <v>0</v>
      </c>
      <c r="AV40" s="87">
        <f t="shared" si="18"/>
        <v>0</v>
      </c>
      <c r="AW40" t="str">
        <f t="shared" si="19"/>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IFERROR(INDEX(LCIA_Data,MATCH($AO$15&amp;CM$27,LCIA_Rows_B&amp;LCIA_Rows_C,0),MATCH(CM$26,LCIA_Columns,0)),0)*$AT40*$AJ40*$BN$23</f>
        <v>0</v>
      </c>
      <c r="CN40" s="1">
        <f t="array" ref="CN40">IFERROR(INDEX(LCIA_Data,MATCH($AO$15&amp;CN$27,LCIA_Rows_B&amp;LCIA_Rows_C,0),MATCH(CN$26,LCIA_Columns,0)),0)*$AT40*$AJ40*$BN$23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IFERROR(INDEX(LCIA_Data,MATCH($AO$15&amp;DA$27,LCIA_Rows_B&amp;LCIA_Rows_C,0),MATCH(DA$26,LCIA_Columns,0)),0)*$AT40*$AK40*$BN$23</f>
        <v>0</v>
      </c>
      <c r="DB40" s="1">
        <f t="array" ref="DB40">IFERROR(INDEX(LCIA_Data,MATCH($AO$15&amp;DB$27,LCIA_Rows_B&amp;LCIA_Rows_C,0),MATCH(DB$26,LCIA_Columns,0)),0)*$AT40*$AK40*$BN$23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f t="shared" si="20"/>
        <v>0</v>
      </c>
      <c r="DP40">
        <f t="shared" si="20"/>
        <v>0</v>
      </c>
      <c r="DQ40">
        <f t="shared" si="20"/>
        <v>0</v>
      </c>
      <c r="DR40">
        <f t="shared" si="20"/>
        <v>0</v>
      </c>
      <c r="DS40">
        <f t="shared" si="20"/>
        <v>0</v>
      </c>
      <c r="DT40">
        <f t="shared" si="20"/>
        <v>0</v>
      </c>
      <c r="DU40">
        <f t="shared" si="20"/>
        <v>0</v>
      </c>
      <c r="DV40">
        <f t="shared" si="20"/>
        <v>0</v>
      </c>
      <c r="DW40">
        <f t="shared" si="20"/>
        <v>0</v>
      </c>
      <c r="DX40">
        <f t="shared" si="20"/>
        <v>0</v>
      </c>
      <c r="DY40">
        <f t="shared" si="20"/>
        <v>0</v>
      </c>
      <c r="DZ40">
        <f t="shared" si="20"/>
        <v>0</v>
      </c>
      <c r="EA40">
        <f t="shared" si="20"/>
        <v>0</v>
      </c>
      <c r="EB40">
        <f t="shared" si="21"/>
        <v>0</v>
      </c>
      <c r="EC40"/>
      <c r="ED40"/>
      <c r="EE40"/>
      <c r="EF40"/>
      <c r="EG40"/>
    </row>
    <row r="41" spans="2:137" ht="15" customHeight="1" thickBot="1">
      <c r="B41" s="53">
        <f t="shared" si="25"/>
        <v>0</v>
      </c>
      <c r="C41" s="32">
        <f t="shared" si="22"/>
        <v>12</v>
      </c>
      <c r="D41" s="47" t="str">
        <f>'Plant Inputs'!$D41</f>
        <v>Slag Cement</v>
      </c>
      <c r="E41" s="102"/>
      <c r="F41" s="231" t="str">
        <f t="shared" si="6"/>
        <v>short ton</v>
      </c>
      <c r="G41" s="228">
        <f t="shared" si="26"/>
        <v>0</v>
      </c>
      <c r="H41" s="227" t="str">
        <f t="shared" si="7"/>
        <v>short ton</v>
      </c>
      <c r="I41" s="397">
        <f t="shared" si="8"/>
        <v>0</v>
      </c>
      <c r="J41"/>
      <c r="K41"/>
      <c r="L41"/>
      <c r="M41"/>
      <c r="N41"/>
      <c r="O41"/>
      <c r="P41"/>
      <c r="Q41"/>
      <c r="R41"/>
      <c r="S41"/>
      <c r="T41"/>
      <c r="X41" s="67">
        <f t="shared" si="27"/>
        <v>0</v>
      </c>
      <c r="Y41" s="216">
        <f>IF(AND($X41=1,'Plant Inputs'!$Y41=1),1,0)</f>
        <v>0</v>
      </c>
      <c r="Z41" s="216"/>
      <c r="AA41" s="216">
        <f>IF($Y41=0,0,IF('Plant Inputs'!J41="",0,'Plant Inputs'!J41))</f>
        <v>0</v>
      </c>
      <c r="AB41" s="216">
        <f>IF($Y41=0,0,IF('Plant Inputs'!K41="",0,'Plant Inputs'!K41))</f>
        <v>0</v>
      </c>
      <c r="AC41" s="216">
        <f>IF($Y41=0,0,IF('Plant Inputs'!L41="",0,'Plant Inputs'!L41))</f>
        <v>0</v>
      </c>
      <c r="AD41" s="216">
        <f>IF($Y41=0,0,IF('Plant Inputs'!M41="",0,'Plant Inputs'!M41))</f>
        <v>0</v>
      </c>
      <c r="AE41" s="217" t="str">
        <f>'Plant Inputs'!$O41</f>
        <v>mile</v>
      </c>
      <c r="AF41" s="217">
        <f t="shared" si="9"/>
        <v>1.6093473468862911</v>
      </c>
      <c r="AG41" s="216" t="str">
        <f t="shared" si="23"/>
        <v>km/mile</v>
      </c>
      <c r="AH41" s="216">
        <f t="shared" si="10"/>
        <v>0</v>
      </c>
      <c r="AI41" s="216">
        <f t="shared" si="10"/>
        <v>0</v>
      </c>
      <c r="AJ41" s="216">
        <f t="shared" si="10"/>
        <v>0</v>
      </c>
      <c r="AK41" s="216">
        <f t="shared" si="10"/>
        <v>0</v>
      </c>
      <c r="AL41" s="216"/>
      <c r="AM41" s="1" t="str">
        <f t="shared" si="11"/>
        <v>Slag Cement</v>
      </c>
      <c r="AN41" t="s">
        <v>127</v>
      </c>
      <c r="AO41">
        <f t="shared" si="12"/>
        <v>0</v>
      </c>
      <c r="AP41" s="1">
        <f t="shared" si="24"/>
        <v>0</v>
      </c>
      <c r="AQ41" s="1" t="str">
        <f t="shared" si="13"/>
        <v>short ton</v>
      </c>
      <c r="AR41" s="1">
        <f t="shared" si="14"/>
        <v>0.90718499588591606</v>
      </c>
      <c r="AS41" s="87" t="str">
        <f t="shared" si="15"/>
        <v>tonne/short ton</v>
      </c>
      <c r="AT41" s="87">
        <f t="shared" si="16"/>
        <v>0</v>
      </c>
      <c r="AU41" s="87">
        <f t="shared" si="17"/>
        <v>0</v>
      </c>
      <c r="AV41" s="87">
        <f t="shared" si="18"/>
        <v>0</v>
      </c>
      <c r="AW41" t="str">
        <f t="shared" si="19"/>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IFERROR(INDEX(LCIA_Data,MATCH($AO$15&amp;CM$27,LCIA_Rows_B&amp;LCIA_Rows_C,0),MATCH(CM$26,LCIA_Columns,0)),0)*$AT41*$AJ41*$BN$23</f>
        <v>0</v>
      </c>
      <c r="CN41" s="1">
        <f t="array" ref="CN41">IFERROR(INDEX(LCIA_Data,MATCH($AO$15&amp;CN$27,LCIA_Rows_B&amp;LCIA_Rows_C,0),MATCH(CN$26,LCIA_Columns,0)),0)*$AT41*$AJ41*$BN$23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IFERROR(INDEX(LCIA_Data,MATCH($AO$15&amp;DA$27,LCIA_Rows_B&amp;LCIA_Rows_C,0),MATCH(DA$26,LCIA_Columns,0)),0)*$AT41*$AK41*$BN$23</f>
        <v>0</v>
      </c>
      <c r="DB41" s="1">
        <f t="array" ref="DB41">IFERROR(INDEX(LCIA_Data,MATCH($AO$15&amp;DB$27,LCIA_Rows_B&amp;LCIA_Rows_C,0),MATCH(DB$26,LCIA_Columns,0)),0)*$AT41*$AK41*$BN$23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f t="shared" si="20"/>
        <v>0</v>
      </c>
      <c r="DP41">
        <f t="shared" si="20"/>
        <v>0</v>
      </c>
      <c r="DQ41">
        <f t="shared" si="20"/>
        <v>0</v>
      </c>
      <c r="DR41">
        <f t="shared" si="20"/>
        <v>0</v>
      </c>
      <c r="DS41">
        <f t="shared" si="20"/>
        <v>0</v>
      </c>
      <c r="DT41">
        <f t="shared" si="20"/>
        <v>0</v>
      </c>
      <c r="DU41">
        <f t="shared" si="20"/>
        <v>0</v>
      </c>
      <c r="DV41">
        <f t="shared" si="20"/>
        <v>0</v>
      </c>
      <c r="DW41">
        <f t="shared" si="20"/>
        <v>0</v>
      </c>
      <c r="DX41">
        <f t="shared" si="20"/>
        <v>0</v>
      </c>
      <c r="DY41">
        <f t="shared" si="20"/>
        <v>0</v>
      </c>
      <c r="DZ41">
        <f t="shared" si="20"/>
        <v>0</v>
      </c>
      <c r="EA41">
        <f t="shared" si="20"/>
        <v>0</v>
      </c>
      <c r="EB41">
        <f t="shared" si="21"/>
        <v>0</v>
      </c>
      <c r="EC41"/>
      <c r="ED41"/>
      <c r="EE41"/>
      <c r="EF41"/>
      <c r="EG41"/>
    </row>
    <row r="42" spans="2:137" ht="15" customHeight="1">
      <c r="B42" s="53">
        <f t="shared" si="25"/>
        <v>0</v>
      </c>
      <c r="C42" s="221">
        <f t="shared" si="22"/>
        <v>13</v>
      </c>
      <c r="D42" s="222" t="str">
        <f>'Plant Inputs'!$D42</f>
        <v>Chemical Admixture - Air Entraining Agent</v>
      </c>
      <c r="E42" s="154"/>
      <c r="F42" s="240" t="str">
        <f t="shared" ref="F42:F48" si="28">VolumeDisplayUnit</f>
        <v>gallon</v>
      </c>
      <c r="G42" s="224">
        <f t="shared" si="26"/>
        <v>0</v>
      </c>
      <c r="H42" s="225" t="str">
        <f t="shared" si="7"/>
        <v>short ton</v>
      </c>
      <c r="I42" s="156">
        <f t="shared" si="8"/>
        <v>0</v>
      </c>
      <c r="J42"/>
      <c r="K42"/>
      <c r="L42"/>
      <c r="M42"/>
      <c r="N42"/>
      <c r="O42"/>
      <c r="P42"/>
      <c r="Q42"/>
      <c r="R42"/>
      <c r="S42"/>
      <c r="T42"/>
      <c r="X42" s="67">
        <f t="shared" si="27"/>
        <v>0</v>
      </c>
      <c r="Y42" s="216">
        <f>IF(AND($X42=1,'Plant Inputs'!$Y42=1),1,0)</f>
        <v>0</v>
      </c>
      <c r="Z42" s="216"/>
      <c r="AA42" s="216">
        <f>IF($Y42=0,0,IF('Plant Inputs'!J42="",0,'Plant Inputs'!J42))</f>
        <v>0</v>
      </c>
      <c r="AB42" s="216">
        <f>IF($Y42=0,0,IF('Plant Inputs'!K42="",0,'Plant Inputs'!K42))</f>
        <v>0</v>
      </c>
      <c r="AC42" s="216">
        <f>IF($Y42=0,0,IF('Plant Inputs'!L42="",0,'Plant Inputs'!L42))</f>
        <v>0</v>
      </c>
      <c r="AD42" s="216">
        <f>IF($Y42=0,0,IF('Plant Inputs'!M42="",0,'Plant Inputs'!M42))</f>
        <v>0</v>
      </c>
      <c r="AE42" s="217" t="str">
        <f>'Plant Inputs'!$O42</f>
        <v>mile</v>
      </c>
      <c r="AF42" s="217">
        <f t="shared" si="9"/>
        <v>1.6093473468862911</v>
      </c>
      <c r="AG42" s="216" t="str">
        <f t="shared" si="23"/>
        <v>km/mile</v>
      </c>
      <c r="AH42" s="216">
        <f t="shared" si="10"/>
        <v>0</v>
      </c>
      <c r="AI42" s="216">
        <f t="shared" si="10"/>
        <v>0</v>
      </c>
      <c r="AJ42" s="216">
        <f t="shared" si="10"/>
        <v>0</v>
      </c>
      <c r="AK42" s="216">
        <f t="shared" si="10"/>
        <v>0</v>
      </c>
      <c r="AL42" s="216"/>
      <c r="AM42" s="1" t="str">
        <f t="shared" si="11"/>
        <v>Chemical Admixture - Air Entraining Agent</v>
      </c>
      <c r="AN42" s="12" t="s">
        <v>128</v>
      </c>
      <c r="AO42">
        <f t="shared" si="12"/>
        <v>1.1982656298327359</v>
      </c>
      <c r="AP42" s="1">
        <f t="shared" si="24"/>
        <v>0</v>
      </c>
      <c r="AQ42" s="1" t="str">
        <f t="shared" si="13"/>
        <v>gallon</v>
      </c>
      <c r="AR42" s="1">
        <f t="shared" si="14"/>
        <v>4.535929094356397E-3</v>
      </c>
      <c r="AS42" s="87" t="str">
        <f t="shared" si="15"/>
        <v>tonne/gallon</v>
      </c>
      <c r="AT42" s="87">
        <f t="shared" si="16"/>
        <v>0</v>
      </c>
      <c r="AU42" s="87">
        <f t="shared" si="17"/>
        <v>0</v>
      </c>
      <c r="AV42" s="87">
        <f t="shared" si="18"/>
        <v>0</v>
      </c>
      <c r="AW42" t="str">
        <f t="shared" si="19"/>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IFERROR(INDEX(LCIA_Data,MATCH($AO$15&amp;CM$27,LCIA_Rows_B&amp;LCIA_Rows_C,0),MATCH(CM$26,LCIA_Columns,0)),0)*$AT42*$AJ42*$BN$23</f>
        <v>0</v>
      </c>
      <c r="CN42" s="1">
        <f t="array" ref="CN42">IFERROR(INDEX(LCIA_Data,MATCH($AO$15&amp;CN$27,LCIA_Rows_B&amp;LCIA_Rows_C,0),MATCH(CN$26,LCIA_Columns,0)),0)*$AT42*$AJ42*$BN$23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IFERROR(INDEX(LCIA_Data,MATCH($AO$15&amp;DA$27,LCIA_Rows_B&amp;LCIA_Rows_C,0),MATCH(DA$26,LCIA_Columns,0)),0)*$AT42*$AK42*$BN$23</f>
        <v>0</v>
      </c>
      <c r="DB42" s="1">
        <f t="array" ref="DB42">IFERROR(INDEX(LCIA_Data,MATCH($AO$15&amp;DB$27,LCIA_Rows_B&amp;LCIA_Rows_C,0),MATCH(DB$26,LCIA_Columns,0)),0)*$AT42*$AK42*$BN$23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f t="shared" si="20"/>
        <v>0</v>
      </c>
      <c r="DP42">
        <f t="shared" si="20"/>
        <v>0</v>
      </c>
      <c r="DQ42">
        <f t="shared" si="20"/>
        <v>0</v>
      </c>
      <c r="DR42">
        <f t="shared" si="20"/>
        <v>0</v>
      </c>
      <c r="DS42">
        <f t="shared" si="20"/>
        <v>0</v>
      </c>
      <c r="DT42">
        <f t="shared" si="20"/>
        <v>0</v>
      </c>
      <c r="DU42">
        <f t="shared" si="20"/>
        <v>0</v>
      </c>
      <c r="DV42">
        <f t="shared" si="20"/>
        <v>0</v>
      </c>
      <c r="DW42">
        <f t="shared" si="20"/>
        <v>0</v>
      </c>
      <c r="DX42">
        <f t="shared" si="20"/>
        <v>0</v>
      </c>
      <c r="DY42">
        <f t="shared" si="20"/>
        <v>0</v>
      </c>
      <c r="DZ42">
        <f t="shared" si="20"/>
        <v>0</v>
      </c>
      <c r="EA42">
        <f t="shared" si="20"/>
        <v>0</v>
      </c>
      <c r="EB42">
        <f t="shared" si="21"/>
        <v>0</v>
      </c>
      <c r="EC42"/>
      <c r="ED42"/>
      <c r="EE42"/>
      <c r="EF42"/>
      <c r="EG42"/>
    </row>
    <row r="43" spans="2:137" ht="15" customHeight="1">
      <c r="B43" s="53">
        <f t="shared" si="25"/>
        <v>0</v>
      </c>
      <c r="C43" s="26">
        <f t="shared" si="22"/>
        <v>14</v>
      </c>
      <c r="D43" s="46" t="str">
        <f>'Plant Inputs'!$D43</f>
        <v>Chemical Admixture - Water Reducer/Plasticizer</v>
      </c>
      <c r="E43" s="99"/>
      <c r="F43" s="106" t="str">
        <f t="shared" si="28"/>
        <v>gallon</v>
      </c>
      <c r="G43" s="158">
        <f t="shared" si="26"/>
        <v>0</v>
      </c>
      <c r="H43" s="204" t="str">
        <f t="shared" si="7"/>
        <v>short ton</v>
      </c>
      <c r="I43" s="156">
        <f t="shared" si="8"/>
        <v>0</v>
      </c>
      <c r="J43"/>
      <c r="K43"/>
      <c r="L43"/>
      <c r="M43"/>
      <c r="N43"/>
      <c r="O43"/>
      <c r="P43"/>
      <c r="Q43"/>
      <c r="R43"/>
      <c r="S43"/>
      <c r="T43"/>
      <c r="X43" s="67">
        <f t="shared" si="27"/>
        <v>0</v>
      </c>
      <c r="Y43" s="216">
        <f>IF(AND($X43=1,'Plant Inputs'!$Y43=1),1,0)</f>
        <v>0</v>
      </c>
      <c r="Z43" s="216"/>
      <c r="AA43" s="216">
        <f>IF($Y43=0,0,IF('Plant Inputs'!J43="",0,'Plant Inputs'!J43))</f>
        <v>0</v>
      </c>
      <c r="AB43" s="216">
        <f>IF($Y43=0,0,IF('Plant Inputs'!K43="",0,'Plant Inputs'!K43))</f>
        <v>0</v>
      </c>
      <c r="AC43" s="216">
        <f>IF($Y43=0,0,IF('Plant Inputs'!L43="",0,'Plant Inputs'!L43))</f>
        <v>0</v>
      </c>
      <c r="AD43" s="216">
        <f>IF($Y43=0,0,IF('Plant Inputs'!M43="",0,'Plant Inputs'!M43))</f>
        <v>0</v>
      </c>
      <c r="AE43" s="217" t="str">
        <f>'Plant Inputs'!$O43</f>
        <v>mile</v>
      </c>
      <c r="AF43" s="217">
        <f t="shared" si="9"/>
        <v>1.6093473468862911</v>
      </c>
      <c r="AG43" s="216" t="str">
        <f t="shared" si="23"/>
        <v>km/mile</v>
      </c>
      <c r="AH43" s="216">
        <f t="shared" si="10"/>
        <v>0</v>
      </c>
      <c r="AI43" s="216">
        <f t="shared" si="10"/>
        <v>0</v>
      </c>
      <c r="AJ43" s="216">
        <f t="shared" si="10"/>
        <v>0</v>
      </c>
      <c r="AK43" s="216">
        <f t="shared" si="10"/>
        <v>0</v>
      </c>
      <c r="AL43" s="216"/>
      <c r="AM43" s="1" t="str">
        <f t="shared" si="11"/>
        <v>Chemical Admixture - Water Reducer/Plasticizer</v>
      </c>
      <c r="AN43" s="12" t="s">
        <v>128</v>
      </c>
      <c r="AO43">
        <f t="shared" si="12"/>
        <v>1.1982656298327359</v>
      </c>
      <c r="AP43" s="1">
        <f t="shared" si="24"/>
        <v>0</v>
      </c>
      <c r="AQ43" s="1" t="str">
        <f t="shared" si="13"/>
        <v>gallon</v>
      </c>
      <c r="AR43" s="1">
        <f t="shared" si="14"/>
        <v>4.535929094356397E-3</v>
      </c>
      <c r="AS43" s="87" t="str">
        <f t="shared" si="15"/>
        <v>tonne/gallon</v>
      </c>
      <c r="AT43" s="87">
        <f t="shared" si="16"/>
        <v>0</v>
      </c>
      <c r="AU43" s="87">
        <f t="shared" si="17"/>
        <v>0</v>
      </c>
      <c r="AV43" s="87">
        <f t="shared" si="18"/>
        <v>0</v>
      </c>
      <c r="AW43" t="str">
        <f t="shared" si="19"/>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IFERROR(INDEX(LCIA_Data,MATCH($AO$15&amp;CM$27,LCIA_Rows_B&amp;LCIA_Rows_C,0),MATCH(CM$26,LCIA_Columns,0)),0)*$AT43*$AJ43*$BN$23</f>
        <v>0</v>
      </c>
      <c r="CN43" s="1">
        <f t="array" ref="CN43">IFERROR(INDEX(LCIA_Data,MATCH($AO$15&amp;CN$27,LCIA_Rows_B&amp;LCIA_Rows_C,0),MATCH(CN$26,LCIA_Columns,0)),0)*$AT43*$AJ43*$BN$23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IFERROR(INDEX(LCIA_Data,MATCH($AO$15&amp;DA$27,LCIA_Rows_B&amp;LCIA_Rows_C,0),MATCH(DA$26,LCIA_Columns,0)),0)*$AT43*$AK43*$BN$23</f>
        <v>0</v>
      </c>
      <c r="DB43" s="1">
        <f t="array" ref="DB43">IFERROR(INDEX(LCIA_Data,MATCH($AO$15&amp;DB$27,LCIA_Rows_B&amp;LCIA_Rows_C,0),MATCH(DB$26,LCIA_Columns,0)),0)*$AT43*$AK43*$BN$23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f t="shared" si="20"/>
        <v>0</v>
      </c>
      <c r="DP43">
        <f t="shared" si="20"/>
        <v>0</v>
      </c>
      <c r="DQ43">
        <f t="shared" si="20"/>
        <v>0</v>
      </c>
      <c r="DR43">
        <f t="shared" si="20"/>
        <v>0</v>
      </c>
      <c r="DS43">
        <f t="shared" si="20"/>
        <v>0</v>
      </c>
      <c r="DT43">
        <f t="shared" si="20"/>
        <v>0</v>
      </c>
      <c r="DU43">
        <f t="shared" si="20"/>
        <v>0</v>
      </c>
      <c r="DV43">
        <f t="shared" si="20"/>
        <v>0</v>
      </c>
      <c r="DW43">
        <f t="shared" si="20"/>
        <v>0</v>
      </c>
      <c r="DX43">
        <f t="shared" si="20"/>
        <v>0</v>
      </c>
      <c r="DY43">
        <f t="shared" si="20"/>
        <v>0</v>
      </c>
      <c r="DZ43">
        <f t="shared" si="20"/>
        <v>0</v>
      </c>
      <c r="EA43">
        <f t="shared" si="20"/>
        <v>0</v>
      </c>
      <c r="EB43">
        <f t="shared" si="21"/>
        <v>0</v>
      </c>
      <c r="EC43"/>
      <c r="ED43"/>
      <c r="EE43"/>
      <c r="EF43"/>
      <c r="EG43"/>
    </row>
    <row r="44" spans="2:137" ht="15" customHeight="1">
      <c r="B44" s="53">
        <f t="shared" si="25"/>
        <v>0</v>
      </c>
      <c r="C44" s="26">
        <f t="shared" si="22"/>
        <v>15</v>
      </c>
      <c r="D44" s="46" t="str">
        <f>'Plant Inputs'!$D44</f>
        <v>Chemical Admixture - Accelerator</v>
      </c>
      <c r="E44" s="99"/>
      <c r="F44" s="106" t="str">
        <f t="shared" si="28"/>
        <v>gallon</v>
      </c>
      <c r="G44" s="158">
        <f t="shared" si="26"/>
        <v>0</v>
      </c>
      <c r="H44" s="204" t="str">
        <f t="shared" si="7"/>
        <v>short ton</v>
      </c>
      <c r="I44" s="156">
        <f t="shared" si="8"/>
        <v>0</v>
      </c>
      <c r="J44"/>
      <c r="K44"/>
      <c r="L44"/>
      <c r="M44"/>
      <c r="N44"/>
      <c r="O44"/>
      <c r="P44"/>
      <c r="Q44"/>
      <c r="R44"/>
      <c r="S44"/>
      <c r="T44"/>
      <c r="X44" s="67">
        <f t="shared" si="27"/>
        <v>0</v>
      </c>
      <c r="Y44" s="216">
        <f>IF(AND($X44=1,'Plant Inputs'!$Y44=1),1,0)</f>
        <v>0</v>
      </c>
      <c r="Z44" s="216"/>
      <c r="AA44" s="216">
        <f>IF($Y44=0,0,IF('Plant Inputs'!J44="",0,'Plant Inputs'!J44))</f>
        <v>0</v>
      </c>
      <c r="AB44" s="216">
        <f>IF($Y44=0,0,IF('Plant Inputs'!K44="",0,'Plant Inputs'!K44))</f>
        <v>0</v>
      </c>
      <c r="AC44" s="216">
        <f>IF($Y44=0,0,IF('Plant Inputs'!L44="",0,'Plant Inputs'!L44))</f>
        <v>0</v>
      </c>
      <c r="AD44" s="216">
        <f>IF($Y44=0,0,IF('Plant Inputs'!M44="",0,'Plant Inputs'!M44))</f>
        <v>0</v>
      </c>
      <c r="AE44" s="217" t="str">
        <f>'Plant Inputs'!$O44</f>
        <v>mile</v>
      </c>
      <c r="AF44" s="217">
        <f t="shared" si="9"/>
        <v>1.6093473468862911</v>
      </c>
      <c r="AG44" s="216" t="str">
        <f t="shared" si="23"/>
        <v>km/mile</v>
      </c>
      <c r="AH44" s="216">
        <f t="shared" si="10"/>
        <v>0</v>
      </c>
      <c r="AI44" s="216">
        <f t="shared" si="10"/>
        <v>0</v>
      </c>
      <c r="AJ44" s="216">
        <f t="shared" si="10"/>
        <v>0</v>
      </c>
      <c r="AK44" s="216">
        <f t="shared" si="10"/>
        <v>0</v>
      </c>
      <c r="AL44" s="216"/>
      <c r="AM44" s="1" t="str">
        <f t="shared" si="11"/>
        <v>Chemical Admixture - Accelerator</v>
      </c>
      <c r="AN44" s="12" t="s">
        <v>128</v>
      </c>
      <c r="AO44">
        <f t="shared" si="12"/>
        <v>1.1982656298327359</v>
      </c>
      <c r="AP44" s="1">
        <f t="shared" si="24"/>
        <v>0</v>
      </c>
      <c r="AQ44" s="1" t="str">
        <f t="shared" si="13"/>
        <v>gallon</v>
      </c>
      <c r="AR44" s="1">
        <f t="shared" si="14"/>
        <v>4.535929094356397E-3</v>
      </c>
      <c r="AS44" s="87" t="str">
        <f t="shared" si="15"/>
        <v>tonne/gallon</v>
      </c>
      <c r="AT44" s="87">
        <f t="shared" si="16"/>
        <v>0</v>
      </c>
      <c r="AU44" s="87">
        <f t="shared" si="17"/>
        <v>0</v>
      </c>
      <c r="AV44" s="87">
        <f t="shared" si="18"/>
        <v>0</v>
      </c>
      <c r="AW44" t="str">
        <f t="shared" si="19"/>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IFERROR(INDEX(LCIA_Data,MATCH($AO$15&amp;CM$27,LCIA_Rows_B&amp;LCIA_Rows_C,0),MATCH(CM$26,LCIA_Columns,0)),0)*$AT44*$AJ44*$BN$23</f>
        <v>0</v>
      </c>
      <c r="CN44" s="1">
        <f t="array" ref="CN44">IFERROR(INDEX(LCIA_Data,MATCH($AO$15&amp;CN$27,LCIA_Rows_B&amp;LCIA_Rows_C,0),MATCH(CN$26,LCIA_Columns,0)),0)*$AT44*$AJ44*$BN$23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IFERROR(INDEX(LCIA_Data,MATCH($AO$15&amp;DA$27,LCIA_Rows_B&amp;LCIA_Rows_C,0),MATCH(DA$26,LCIA_Columns,0)),0)*$AT44*$AK44*$BN$23</f>
        <v>0</v>
      </c>
      <c r="DB44" s="1">
        <f t="array" ref="DB44">IFERROR(INDEX(LCIA_Data,MATCH($AO$15&amp;DB$27,LCIA_Rows_B&amp;LCIA_Rows_C,0),MATCH(DB$26,LCIA_Columns,0)),0)*$AT44*$AK44*$BN$23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f t="shared" si="20"/>
        <v>0</v>
      </c>
      <c r="DP44">
        <f t="shared" si="20"/>
        <v>0</v>
      </c>
      <c r="DQ44">
        <f t="shared" si="20"/>
        <v>0</v>
      </c>
      <c r="DR44">
        <f t="shared" si="20"/>
        <v>0</v>
      </c>
      <c r="DS44">
        <f t="shared" si="20"/>
        <v>0</v>
      </c>
      <c r="DT44">
        <f t="shared" si="20"/>
        <v>0</v>
      </c>
      <c r="DU44">
        <f t="shared" si="20"/>
        <v>0</v>
      </c>
      <c r="DV44">
        <f t="shared" si="20"/>
        <v>0</v>
      </c>
      <c r="DW44">
        <f t="shared" si="20"/>
        <v>0</v>
      </c>
      <c r="DX44">
        <f t="shared" si="20"/>
        <v>0</v>
      </c>
      <c r="DY44">
        <f t="shared" si="20"/>
        <v>0</v>
      </c>
      <c r="DZ44">
        <f t="shared" si="20"/>
        <v>0</v>
      </c>
      <c r="EA44">
        <f t="shared" si="20"/>
        <v>0</v>
      </c>
      <c r="EB44">
        <f t="shared" si="21"/>
        <v>0</v>
      </c>
      <c r="EC44"/>
      <c r="ED44"/>
      <c r="EE44"/>
      <c r="EF44"/>
      <c r="EG44"/>
    </row>
    <row r="45" spans="2:137" ht="26.25" customHeight="1">
      <c r="B45" s="53">
        <f t="shared" si="25"/>
        <v>0</v>
      </c>
      <c r="C45" s="26">
        <f t="shared" si="22"/>
        <v>16</v>
      </c>
      <c r="D45" s="46" t="str">
        <f>'Plant Inputs'!$D45</f>
        <v>Chemical Admixture - High Range Water Reducer (HRWR)/Super Plasticizer</v>
      </c>
      <c r="E45" s="99"/>
      <c r="F45" s="106" t="str">
        <f t="shared" si="28"/>
        <v>gallon</v>
      </c>
      <c r="G45" s="158">
        <f t="shared" si="26"/>
        <v>0</v>
      </c>
      <c r="H45" s="204" t="str">
        <f t="shared" si="7"/>
        <v>short ton</v>
      </c>
      <c r="I45" s="156">
        <f t="shared" si="8"/>
        <v>0</v>
      </c>
      <c r="J45"/>
      <c r="K45"/>
      <c r="L45"/>
      <c r="M45"/>
      <c r="N45"/>
      <c r="O45"/>
      <c r="P45"/>
      <c r="Q45"/>
      <c r="R45"/>
      <c r="S45"/>
      <c r="T45"/>
      <c r="X45" s="67">
        <f t="shared" si="27"/>
        <v>0</v>
      </c>
      <c r="Y45" s="216">
        <f>IF(AND($X45=1,'Plant Inputs'!$Y45=1),1,0)</f>
        <v>0</v>
      </c>
      <c r="Z45" s="216"/>
      <c r="AA45" s="216">
        <f>IF($Y45=0,0,IF('Plant Inputs'!J45="",0,'Plant Inputs'!J45))</f>
        <v>0</v>
      </c>
      <c r="AB45" s="216">
        <f>IF($Y45=0,0,IF('Plant Inputs'!K45="",0,'Plant Inputs'!K45))</f>
        <v>0</v>
      </c>
      <c r="AC45" s="216">
        <f>IF($Y45=0,0,IF('Plant Inputs'!L45="",0,'Plant Inputs'!L45))</f>
        <v>0</v>
      </c>
      <c r="AD45" s="216">
        <f>IF($Y45=0,0,IF('Plant Inputs'!M45="",0,'Plant Inputs'!M45))</f>
        <v>0</v>
      </c>
      <c r="AE45" s="217" t="str">
        <f>'Plant Inputs'!$O45</f>
        <v>mile</v>
      </c>
      <c r="AF45" s="217">
        <f t="shared" si="9"/>
        <v>1.6093473468862911</v>
      </c>
      <c r="AG45" s="216" t="str">
        <f t="shared" si="23"/>
        <v>km/mile</v>
      </c>
      <c r="AH45" s="216">
        <f t="shared" si="10"/>
        <v>0</v>
      </c>
      <c r="AI45" s="216">
        <f t="shared" si="10"/>
        <v>0</v>
      </c>
      <c r="AJ45" s="216">
        <f t="shared" si="10"/>
        <v>0</v>
      </c>
      <c r="AK45" s="216">
        <f t="shared" si="10"/>
        <v>0</v>
      </c>
      <c r="AL45" s="216"/>
      <c r="AM45" s="1" t="str">
        <f t="shared" si="11"/>
        <v>Chemical Admixture - High Range Water Reducer (HRWR)/Super Plasticizer</v>
      </c>
      <c r="AN45" s="12" t="s">
        <v>128</v>
      </c>
      <c r="AO45">
        <f t="shared" si="12"/>
        <v>1.1982656298327359</v>
      </c>
      <c r="AP45" s="1">
        <f t="shared" si="24"/>
        <v>0</v>
      </c>
      <c r="AQ45" s="1" t="str">
        <f t="shared" si="13"/>
        <v>gallon</v>
      </c>
      <c r="AR45" s="1">
        <f t="shared" si="14"/>
        <v>4.535929094356397E-3</v>
      </c>
      <c r="AS45" s="87" t="str">
        <f t="shared" si="15"/>
        <v>tonne/gallon</v>
      </c>
      <c r="AT45" s="87">
        <f t="shared" si="16"/>
        <v>0</v>
      </c>
      <c r="AU45" s="87">
        <f t="shared" si="17"/>
        <v>0</v>
      </c>
      <c r="AV45" s="87">
        <f t="shared" si="18"/>
        <v>0</v>
      </c>
      <c r="AW45" t="str">
        <f t="shared" si="19"/>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IFERROR(INDEX(LCIA_Data,MATCH($AO$15&amp;CM$27,LCIA_Rows_B&amp;LCIA_Rows_C,0),MATCH(CM$26,LCIA_Columns,0)),0)*$AT45*$AJ45*$BN$23</f>
        <v>0</v>
      </c>
      <c r="CN45" s="1">
        <f t="array" ref="CN45">IFERROR(INDEX(LCIA_Data,MATCH($AO$15&amp;CN$27,LCIA_Rows_B&amp;LCIA_Rows_C,0),MATCH(CN$26,LCIA_Columns,0)),0)*$AT45*$AJ45*$BN$23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IFERROR(INDEX(LCIA_Data,MATCH($AO$15&amp;DA$27,LCIA_Rows_B&amp;LCIA_Rows_C,0),MATCH(DA$26,LCIA_Columns,0)),0)*$AT45*$AK45*$BN$23</f>
        <v>0</v>
      </c>
      <c r="DB45" s="1">
        <f t="array" ref="DB45">IFERROR(INDEX(LCIA_Data,MATCH($AO$15&amp;DB$27,LCIA_Rows_B&amp;LCIA_Rows_C,0),MATCH(DB$26,LCIA_Columns,0)),0)*$AT45*$AK45*$BN$23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f t="shared" si="20"/>
        <v>0</v>
      </c>
      <c r="DP45">
        <f t="shared" si="20"/>
        <v>0</v>
      </c>
      <c r="DQ45">
        <f t="shared" si="20"/>
        <v>0</v>
      </c>
      <c r="DR45">
        <f t="shared" si="20"/>
        <v>0</v>
      </c>
      <c r="DS45">
        <f t="shared" si="20"/>
        <v>0</v>
      </c>
      <c r="DT45">
        <f t="shared" si="20"/>
        <v>0</v>
      </c>
      <c r="DU45">
        <f t="shared" si="20"/>
        <v>0</v>
      </c>
      <c r="DV45">
        <f t="shared" si="20"/>
        <v>0</v>
      </c>
      <c r="DW45">
        <f t="shared" si="20"/>
        <v>0</v>
      </c>
      <c r="DX45">
        <f t="shared" si="20"/>
        <v>0</v>
      </c>
      <c r="DY45">
        <f t="shared" si="20"/>
        <v>0</v>
      </c>
      <c r="DZ45">
        <f t="shared" si="20"/>
        <v>0</v>
      </c>
      <c r="EA45">
        <f t="shared" si="20"/>
        <v>0</v>
      </c>
      <c r="EB45">
        <f t="shared" si="21"/>
        <v>0</v>
      </c>
      <c r="EC45"/>
      <c r="ED45"/>
      <c r="EE45"/>
      <c r="EF45"/>
      <c r="EG45"/>
    </row>
    <row r="46" spans="2:137" ht="15" customHeight="1">
      <c r="B46" s="53">
        <f>X46</f>
        <v>0</v>
      </c>
      <c r="C46" s="26">
        <f t="shared" si="22"/>
        <v>17</v>
      </c>
      <c r="D46" s="46" t="str">
        <f>'Plant Inputs'!$D46</f>
        <v>Chemical Admixture - Corrosion Inhibiting</v>
      </c>
      <c r="E46" s="99"/>
      <c r="F46" s="106" t="str">
        <f t="shared" si="28"/>
        <v>gallon</v>
      </c>
      <c r="G46" s="158">
        <f t="shared" si="26"/>
        <v>0</v>
      </c>
      <c r="H46" s="204" t="str">
        <f t="shared" si="7"/>
        <v>short ton</v>
      </c>
      <c r="I46" s="156">
        <f t="shared" si="8"/>
        <v>0</v>
      </c>
      <c r="J46"/>
      <c r="K46"/>
      <c r="L46"/>
      <c r="M46"/>
      <c r="N46"/>
      <c r="O46"/>
      <c r="P46"/>
      <c r="Q46"/>
      <c r="R46"/>
      <c r="S46"/>
      <c r="T46"/>
      <c r="X46" s="67">
        <f>IF(ISBLANK(E46),0,1)</f>
        <v>0</v>
      </c>
      <c r="Y46" s="216">
        <f>IF(AND($X46=1,'Plant Inputs'!$Y46=1),1,0)</f>
        <v>0</v>
      </c>
      <c r="Z46" s="216"/>
      <c r="AA46" s="216">
        <f>IF($Y46=0,0,IF('Plant Inputs'!J46="",0,'Plant Inputs'!J46))</f>
        <v>0</v>
      </c>
      <c r="AB46" s="216">
        <f>IF($Y46=0,0,IF('Plant Inputs'!K46="",0,'Plant Inputs'!K46))</f>
        <v>0</v>
      </c>
      <c r="AC46" s="216">
        <f>IF($Y46=0,0,IF('Plant Inputs'!L46="",0,'Plant Inputs'!L46))</f>
        <v>0</v>
      </c>
      <c r="AD46" s="216">
        <f>IF($Y46=0,0,IF('Plant Inputs'!M46="",0,'Plant Inputs'!M46))</f>
        <v>0</v>
      </c>
      <c r="AE46" s="217" t="str">
        <f>'Plant Inputs'!$O46</f>
        <v>mile</v>
      </c>
      <c r="AF46" s="217">
        <f t="shared" si="9"/>
        <v>1.6093473468862911</v>
      </c>
      <c r="AG46" s="216" t="str">
        <f t="shared" si="23"/>
        <v>km/mile</v>
      </c>
      <c r="AH46" s="216">
        <f>AA46*$AF46</f>
        <v>0</v>
      </c>
      <c r="AI46" s="216">
        <f>AB46*$AF46</f>
        <v>0</v>
      </c>
      <c r="AJ46" s="216">
        <f>AC46*$AF46</f>
        <v>0</v>
      </c>
      <c r="AK46" s="216">
        <f>AD46*$AF46</f>
        <v>0</v>
      </c>
      <c r="AL46" s="216"/>
      <c r="AM46" s="1" t="str">
        <f>D46</f>
        <v>Chemical Admixture - Corrosion Inhibiting</v>
      </c>
      <c r="AN46" s="12" t="s">
        <v>128</v>
      </c>
      <c r="AO46">
        <f>VLOOKUP(AM46,Material_Densities,2,FALSE)</f>
        <v>1.1982656298327359</v>
      </c>
      <c r="AP46" s="1">
        <f t="shared" si="24"/>
        <v>0</v>
      </c>
      <c r="AQ46" s="1" t="str">
        <f>F46</f>
        <v>gallon</v>
      </c>
      <c r="AR46" s="1">
        <f t="shared" si="14"/>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IFERROR(INDEX(LCIA_Data,MATCH($AO$15&amp;CM$27,LCIA_Rows_B&amp;LCIA_Rows_C,0),MATCH(CM$26,LCIA_Columns,0)),0)*$AT46*$AJ46*$BN$23</f>
        <v>0</v>
      </c>
      <c r="CN46" s="1">
        <f t="array" ref="CN46">IFERROR(INDEX(LCIA_Data,MATCH($AO$15&amp;CN$27,LCIA_Rows_B&amp;LCIA_Rows_C,0),MATCH(CN$26,LCIA_Columns,0)),0)*$AT46*$AJ46*$BN$23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IFERROR(INDEX(LCIA_Data,MATCH($AO$15&amp;DA$27,LCIA_Rows_B&amp;LCIA_Rows_C,0),MATCH(DA$26,LCIA_Columns,0)),0)*$AT46*$AK46*$BN$23</f>
        <v>0</v>
      </c>
      <c r="DB46" s="1">
        <f t="array" ref="DB46">IFERROR(INDEX(LCIA_Data,MATCH($AO$15&amp;DB$27,LCIA_Rows_B&amp;LCIA_Rows_C,0),MATCH(DB$26,LCIA_Columns,0)),0)*$AT46*$AK46*$BN$23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f t="shared" si="20"/>
        <v>0</v>
      </c>
      <c r="DP46">
        <f t="shared" si="20"/>
        <v>0</v>
      </c>
      <c r="DQ46">
        <f t="shared" si="20"/>
        <v>0</v>
      </c>
      <c r="DR46">
        <f t="shared" si="20"/>
        <v>0</v>
      </c>
      <c r="DS46">
        <f t="shared" si="20"/>
        <v>0</v>
      </c>
      <c r="DT46">
        <f t="shared" si="20"/>
        <v>0</v>
      </c>
      <c r="DU46">
        <f t="shared" si="20"/>
        <v>0</v>
      </c>
      <c r="DV46">
        <f t="shared" si="20"/>
        <v>0</v>
      </c>
      <c r="DW46">
        <f t="shared" si="20"/>
        <v>0</v>
      </c>
      <c r="DX46">
        <f t="shared" si="20"/>
        <v>0</v>
      </c>
      <c r="DY46">
        <f t="shared" si="20"/>
        <v>0</v>
      </c>
      <c r="DZ46">
        <f t="shared" si="20"/>
        <v>0</v>
      </c>
      <c r="EA46">
        <f t="shared" si="20"/>
        <v>0</v>
      </c>
      <c r="EB46">
        <f t="shared" si="21"/>
        <v>0</v>
      </c>
      <c r="EC46"/>
      <c r="ED46"/>
      <c r="EE46"/>
      <c r="EF46"/>
      <c r="EG46"/>
    </row>
    <row r="47" spans="2:137" ht="15" customHeight="1">
      <c r="B47" s="53">
        <f t="shared" ref="B47:B64" si="29">X47</f>
        <v>0</v>
      </c>
      <c r="C47" s="26">
        <f t="shared" si="22"/>
        <v>18</v>
      </c>
      <c r="D47" s="46" t="str">
        <f>'Plant Inputs'!$D47</f>
        <v>Chemical Admixture - Viscosity Modifying Admixture (VMA)</v>
      </c>
      <c r="E47" s="99"/>
      <c r="F47" s="106" t="str">
        <f t="shared" si="28"/>
        <v>gallon</v>
      </c>
      <c r="G47" s="158">
        <f t="shared" si="26"/>
        <v>0</v>
      </c>
      <c r="H47" s="204" t="str">
        <f t="shared" si="7"/>
        <v>short ton</v>
      </c>
      <c r="I47" s="156">
        <f t="shared" si="8"/>
        <v>0</v>
      </c>
      <c r="J47"/>
      <c r="K47"/>
      <c r="L47"/>
      <c r="M47"/>
      <c r="N47"/>
      <c r="O47"/>
      <c r="P47"/>
      <c r="Q47"/>
      <c r="R47"/>
      <c r="S47"/>
      <c r="T47"/>
      <c r="X47" s="67">
        <f t="shared" ref="X47:X65" si="30">IF(ISBLANK(E47),0,1)</f>
        <v>0</v>
      </c>
      <c r="Y47" s="216">
        <f>IF(AND($X47=1,'Plant Inputs'!$Y47=1),1,0)</f>
        <v>0</v>
      </c>
      <c r="Z47" s="216"/>
      <c r="AA47" s="216">
        <f>IF($Y47=0,0,IF('Plant Inputs'!J47="",0,'Plant Inputs'!J47))</f>
        <v>0</v>
      </c>
      <c r="AB47" s="216">
        <f>IF($Y47=0,0,IF('Plant Inputs'!K47="",0,'Plant Inputs'!K47))</f>
        <v>0</v>
      </c>
      <c r="AC47" s="216">
        <f>IF($Y47=0,0,IF('Plant Inputs'!L47="",0,'Plant Inputs'!L47))</f>
        <v>0</v>
      </c>
      <c r="AD47" s="216">
        <f>IF($Y47=0,0,IF('Plant Inputs'!M47="",0,'Plant Inputs'!M47))</f>
        <v>0</v>
      </c>
      <c r="AE47" s="217" t="str">
        <f>'Plant Inputs'!$O47</f>
        <v>mile</v>
      </c>
      <c r="AF47" s="217">
        <f t="shared" si="9"/>
        <v>1.6093473468862911</v>
      </c>
      <c r="AG47" s="216" t="str">
        <f t="shared" si="23"/>
        <v>km/mile</v>
      </c>
      <c r="AH47" s="216">
        <f t="shared" ref="AH47:AK52" si="31">AA47*$AF47</f>
        <v>0</v>
      </c>
      <c r="AI47" s="216">
        <f t="shared" si="31"/>
        <v>0</v>
      </c>
      <c r="AJ47" s="216">
        <f t="shared" si="31"/>
        <v>0</v>
      </c>
      <c r="AK47" s="216">
        <f t="shared" si="31"/>
        <v>0</v>
      </c>
      <c r="AL47" s="216"/>
      <c r="AM47" s="1" t="str">
        <f t="shared" ref="AM47:AM64" si="32">D47</f>
        <v>Chemical Admixture - Viscosity Modifying Admixture (VMA)</v>
      </c>
      <c r="AN47" s="12" t="s">
        <v>128</v>
      </c>
      <c r="AO47">
        <f t="shared" ref="AO47:AO65" si="33">VLOOKUP(AM47,Material_Densities,2,FALSE)</f>
        <v>1.1982656298327359</v>
      </c>
      <c r="AP47" s="1">
        <f t="shared" si="24"/>
        <v>0</v>
      </c>
      <c r="AQ47" s="1" t="str">
        <f t="shared" ref="AQ47:AQ65" si="34">F47</f>
        <v>gallon</v>
      </c>
      <c r="AR47" s="1">
        <f t="shared" si="14"/>
        <v>4.535929094356397E-3</v>
      </c>
      <c r="AS47" s="87" t="str">
        <f t="shared" ref="AS47:AS65" si="35">$AT$29&amp;"/"&amp;AQ47</f>
        <v>tonne/gallon</v>
      </c>
      <c r="AT47" s="87">
        <f t="shared" ref="AT47:AT65" si="36">AP47*AR47</f>
        <v>0</v>
      </c>
      <c r="AU47" s="87">
        <f t="shared" ref="AU47:AU65" si="37">INDEX(Conversion_Table,MATCH($AT$29,Conversion_Rows,0),MATCH($AU$29,Conversion_Columns,0))*AT47</f>
        <v>0</v>
      </c>
      <c r="AV47" s="87">
        <f t="shared" si="18"/>
        <v>0</v>
      </c>
      <c r="AW47" t="str">
        <f t="shared" ref="AW47:AW65" si="38">AM47</f>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IFERROR(INDEX(LCIA_Data,MATCH($AO$15&amp;CM$27,LCIA_Rows_B&amp;LCIA_Rows_C,0),MATCH(CM$26,LCIA_Columns,0)),0)*$AT47*$AJ47*$BN$23</f>
        <v>0</v>
      </c>
      <c r="CN47" s="1">
        <f t="array" ref="CN47">IFERROR(INDEX(LCIA_Data,MATCH($AO$15&amp;CN$27,LCIA_Rows_B&amp;LCIA_Rows_C,0),MATCH(CN$26,LCIA_Columns,0)),0)*$AT47*$AJ47*$BN$23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IFERROR(INDEX(LCIA_Data,MATCH($AO$15&amp;DA$27,LCIA_Rows_B&amp;LCIA_Rows_C,0),MATCH(DA$26,LCIA_Columns,0)),0)*$AT47*$AK47*$BN$23</f>
        <v>0</v>
      </c>
      <c r="DB47" s="1">
        <f t="array" ref="DB47">IFERROR(INDEX(LCIA_Data,MATCH($AO$15&amp;DB$27,LCIA_Rows_B&amp;LCIA_Rows_C,0),MATCH(DB$26,LCIA_Columns,0)),0)*$AT47*$AK47*$BN$23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f t="shared" si="20"/>
        <v>0</v>
      </c>
      <c r="DP47">
        <f t="shared" si="20"/>
        <v>0</v>
      </c>
      <c r="DQ47">
        <f t="shared" si="20"/>
        <v>0</v>
      </c>
      <c r="DR47">
        <f t="shared" si="20"/>
        <v>0</v>
      </c>
      <c r="DS47">
        <f t="shared" si="20"/>
        <v>0</v>
      </c>
      <c r="DT47">
        <f t="shared" si="20"/>
        <v>0</v>
      </c>
      <c r="DU47">
        <f t="shared" si="20"/>
        <v>0</v>
      </c>
      <c r="DV47">
        <f t="shared" si="20"/>
        <v>0</v>
      </c>
      <c r="DW47">
        <f t="shared" si="20"/>
        <v>0</v>
      </c>
      <c r="DX47">
        <f t="shared" si="20"/>
        <v>0</v>
      </c>
      <c r="DY47">
        <f t="shared" si="20"/>
        <v>0</v>
      </c>
      <c r="DZ47">
        <f t="shared" si="20"/>
        <v>0</v>
      </c>
      <c r="EA47">
        <f t="shared" si="20"/>
        <v>0</v>
      </c>
      <c r="EB47">
        <f t="shared" si="21"/>
        <v>0</v>
      </c>
      <c r="EC47"/>
      <c r="ED47"/>
      <c r="EE47"/>
      <c r="EF47"/>
      <c r="EG47"/>
    </row>
    <row r="48" spans="2:137" ht="15" customHeight="1" thickBot="1">
      <c r="B48" s="53">
        <f t="shared" si="29"/>
        <v>0</v>
      </c>
      <c r="C48" s="32">
        <f t="shared" si="22"/>
        <v>19</v>
      </c>
      <c r="D48" s="47" t="str">
        <f>'Plant Inputs'!$D48</f>
        <v>Form Release Agent</v>
      </c>
      <c r="E48" s="102"/>
      <c r="F48" s="247" t="str">
        <f t="shared" si="28"/>
        <v>gallon</v>
      </c>
      <c r="G48" s="228">
        <f t="shared" si="26"/>
        <v>0</v>
      </c>
      <c r="H48" s="227" t="str">
        <f t="shared" si="7"/>
        <v>short ton</v>
      </c>
      <c r="I48" s="157">
        <f t="shared" si="8"/>
        <v>0</v>
      </c>
      <c r="J48"/>
      <c r="K48"/>
      <c r="L48"/>
      <c r="M48"/>
      <c r="N48"/>
      <c r="O48"/>
      <c r="P48"/>
      <c r="Q48"/>
      <c r="R48"/>
      <c r="S48"/>
      <c r="T48"/>
      <c r="X48" s="67">
        <f t="shared" si="30"/>
        <v>0</v>
      </c>
      <c r="Y48" s="216">
        <f>IF(AND($X48=1,'Plant Inputs'!$Y48=1),1,0)</f>
        <v>0</v>
      </c>
      <c r="Z48" s="216"/>
      <c r="AA48" s="216">
        <f>IF($Y48=0,0,IF('Plant Inputs'!J48="",0,'Plant Inputs'!J48))</f>
        <v>0</v>
      </c>
      <c r="AB48" s="216">
        <f>IF($Y48=0,0,IF('Plant Inputs'!K48="",0,'Plant Inputs'!K48))</f>
        <v>0</v>
      </c>
      <c r="AC48" s="216">
        <f>IF($Y48=0,0,IF('Plant Inputs'!L48="",0,'Plant Inputs'!L48))</f>
        <v>0</v>
      </c>
      <c r="AD48" s="216">
        <f>IF($Y48=0,0,IF('Plant Inputs'!M48="",0,'Plant Inputs'!M48))</f>
        <v>0</v>
      </c>
      <c r="AE48" s="217" t="str">
        <f>'Plant Inputs'!$O48</f>
        <v>mile</v>
      </c>
      <c r="AF48" s="217">
        <f t="shared" si="9"/>
        <v>1.6093473468862911</v>
      </c>
      <c r="AG48" s="216" t="str">
        <f t="shared" si="23"/>
        <v>km/mile</v>
      </c>
      <c r="AH48" s="216">
        <f t="shared" si="31"/>
        <v>0</v>
      </c>
      <c r="AI48" s="216">
        <f t="shared" si="31"/>
        <v>0</v>
      </c>
      <c r="AJ48" s="216">
        <f t="shared" si="31"/>
        <v>0</v>
      </c>
      <c r="AK48" s="216">
        <f t="shared" si="31"/>
        <v>0</v>
      </c>
      <c r="AL48" s="216"/>
      <c r="AM48" s="1" t="str">
        <f t="shared" si="32"/>
        <v>Form Release Agent</v>
      </c>
      <c r="AN48" s="12" t="s">
        <v>128</v>
      </c>
      <c r="AO48">
        <f t="shared" si="33"/>
        <v>0.86599999999999999</v>
      </c>
      <c r="AP48" s="1">
        <f t="shared" si="24"/>
        <v>0</v>
      </c>
      <c r="AQ48" s="1" t="str">
        <f t="shared" si="34"/>
        <v>gallon</v>
      </c>
      <c r="AR48" s="1">
        <f t="shared" si="14"/>
        <v>3.2781667920000006E-3</v>
      </c>
      <c r="AS48" s="87" t="str">
        <f t="shared" si="35"/>
        <v>tonne/gallon</v>
      </c>
      <c r="AT48" s="87">
        <f t="shared" si="36"/>
        <v>0</v>
      </c>
      <c r="AU48" s="87">
        <f t="shared" si="37"/>
        <v>0</v>
      </c>
      <c r="AV48" s="87">
        <f t="shared" si="18"/>
        <v>0</v>
      </c>
      <c r="AW48" t="str">
        <f t="shared" si="38"/>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IFERROR(INDEX(LCIA_Data,MATCH($AO$15&amp;CM$27,LCIA_Rows_B&amp;LCIA_Rows_C,0),MATCH(CM$26,LCIA_Columns,0)),0)*$AT48*$AJ48*$BN$23</f>
        <v>0</v>
      </c>
      <c r="CN48" s="1">
        <f t="array" ref="CN48">IFERROR(INDEX(LCIA_Data,MATCH($AO$15&amp;CN$27,LCIA_Rows_B&amp;LCIA_Rows_C,0),MATCH(CN$26,LCIA_Columns,0)),0)*$AT48*$AJ48*$BN$23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IFERROR(INDEX(LCIA_Data,MATCH($AO$15&amp;DA$27,LCIA_Rows_B&amp;LCIA_Rows_C,0),MATCH(DA$26,LCIA_Columns,0)),0)*$AT48*$AK48*$BN$23</f>
        <v>0</v>
      </c>
      <c r="DB48" s="1">
        <f t="array" ref="DB48">IFERROR(INDEX(LCIA_Data,MATCH($AO$15&amp;DB$27,LCIA_Rows_B&amp;LCIA_Rows_C,0),MATCH(DB$26,LCIA_Columns,0)),0)*$AT48*$AK48*$BN$23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f t="shared" si="20"/>
        <v>0</v>
      </c>
      <c r="DP48">
        <f t="shared" si="20"/>
        <v>0</v>
      </c>
      <c r="DQ48">
        <f t="shared" si="20"/>
        <v>0</v>
      </c>
      <c r="DR48">
        <f t="shared" si="20"/>
        <v>0</v>
      </c>
      <c r="DS48">
        <f t="shared" si="20"/>
        <v>0</v>
      </c>
      <c r="DT48">
        <f t="shared" si="20"/>
        <v>0</v>
      </c>
      <c r="DU48">
        <f t="shared" si="20"/>
        <v>0</v>
      </c>
      <c r="DV48">
        <f t="shared" si="20"/>
        <v>0</v>
      </c>
      <c r="DW48">
        <f t="shared" si="20"/>
        <v>0</v>
      </c>
      <c r="DX48">
        <f t="shared" si="20"/>
        <v>0</v>
      </c>
      <c r="DY48">
        <f t="shared" si="20"/>
        <v>0</v>
      </c>
      <c r="DZ48">
        <f t="shared" si="20"/>
        <v>0</v>
      </c>
      <c r="EA48">
        <f t="shared" si="20"/>
        <v>0</v>
      </c>
      <c r="EB48">
        <f t="shared" si="21"/>
        <v>0</v>
      </c>
      <c r="EC48"/>
      <c r="ED48"/>
      <c r="EE48"/>
      <c r="EF48"/>
      <c r="EG48"/>
    </row>
    <row r="49" spans="2:137" ht="15" customHeight="1">
      <c r="B49" s="53">
        <f t="shared" si="29"/>
        <v>0</v>
      </c>
      <c r="C49" s="221">
        <f t="shared" si="22"/>
        <v>20</v>
      </c>
      <c r="D49" s="222" t="str">
        <f>'Plant Inputs'!$D49</f>
        <v>Rebar</v>
      </c>
      <c r="E49" s="154"/>
      <c r="F49" s="223" t="str">
        <f t="shared" ref="F49:F58" si="39">MassDisplayUnit</f>
        <v>short ton</v>
      </c>
      <c r="G49" s="224">
        <f t="shared" si="26"/>
        <v>0</v>
      </c>
      <c r="H49" s="225" t="str">
        <f t="shared" si="7"/>
        <v>short ton</v>
      </c>
      <c r="I49" s="156">
        <f t="shared" si="8"/>
        <v>0</v>
      </c>
      <c r="J49"/>
      <c r="K49"/>
      <c r="L49"/>
      <c r="M49"/>
      <c r="N49"/>
      <c r="O49"/>
      <c r="P49"/>
      <c r="Q49"/>
      <c r="R49"/>
      <c r="S49"/>
      <c r="T49"/>
      <c r="X49" s="67">
        <f t="shared" si="30"/>
        <v>0</v>
      </c>
      <c r="Y49" s="216">
        <f>IF(AND($X49=1,'Plant Inputs'!$Y49=1),1,0)</f>
        <v>0</v>
      </c>
      <c r="Z49" s="216"/>
      <c r="AA49" s="216">
        <f>IF($Y49=0,0,IF('Plant Inputs'!J49="",0,'Plant Inputs'!J49))</f>
        <v>0</v>
      </c>
      <c r="AB49" s="216">
        <f>IF($Y49=0,0,IF('Plant Inputs'!K49="",0,'Plant Inputs'!K49))</f>
        <v>0</v>
      </c>
      <c r="AC49" s="216">
        <f>IF($Y49=0,0,IF('Plant Inputs'!L49="",0,'Plant Inputs'!L49))</f>
        <v>0</v>
      </c>
      <c r="AD49" s="216">
        <f>IF($Y49=0,0,IF('Plant Inputs'!M49="",0,'Plant Inputs'!M49))</f>
        <v>0</v>
      </c>
      <c r="AE49" s="217" t="str">
        <f>'Plant Inputs'!$O49</f>
        <v>mile</v>
      </c>
      <c r="AF49" s="217">
        <f t="shared" si="9"/>
        <v>1.6093473468862911</v>
      </c>
      <c r="AG49" s="216" t="str">
        <f t="shared" si="23"/>
        <v>km/mile</v>
      </c>
      <c r="AH49" s="216">
        <f t="shared" si="31"/>
        <v>0</v>
      </c>
      <c r="AI49" s="216">
        <f t="shared" si="31"/>
        <v>0</v>
      </c>
      <c r="AJ49" s="216">
        <f t="shared" si="31"/>
        <v>0</v>
      </c>
      <c r="AK49" s="216">
        <f t="shared" si="31"/>
        <v>0</v>
      </c>
      <c r="AL49" s="216"/>
      <c r="AM49" s="1" t="str">
        <f t="shared" si="32"/>
        <v>Rebar</v>
      </c>
      <c r="AN49" t="s">
        <v>127</v>
      </c>
      <c r="AO49">
        <f t="shared" si="33"/>
        <v>0</v>
      </c>
      <c r="AP49" s="1">
        <f t="shared" si="24"/>
        <v>0</v>
      </c>
      <c r="AQ49" s="1" t="str">
        <f t="shared" si="34"/>
        <v>short ton</v>
      </c>
      <c r="AR49" s="1">
        <f t="shared" si="14"/>
        <v>0.90718499588591606</v>
      </c>
      <c r="AS49" s="87" t="str">
        <f t="shared" si="35"/>
        <v>tonne/short ton</v>
      </c>
      <c r="AT49" s="87">
        <f t="shared" si="36"/>
        <v>0</v>
      </c>
      <c r="AU49" s="87">
        <f t="shared" si="37"/>
        <v>0</v>
      </c>
      <c r="AV49" s="87">
        <f t="shared" si="18"/>
        <v>0</v>
      </c>
      <c r="AW49" t="str">
        <f t="shared" si="38"/>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IFERROR(INDEX(LCIA_Data,MATCH($AO$15&amp;CM$27,LCIA_Rows_B&amp;LCIA_Rows_C,0),MATCH(CM$26,LCIA_Columns,0)),0)*$AT49*$AJ49*$BN$23</f>
        <v>0</v>
      </c>
      <c r="CN49" s="1">
        <f t="array" ref="CN49">IFERROR(INDEX(LCIA_Data,MATCH($AO$15&amp;CN$27,LCIA_Rows_B&amp;LCIA_Rows_C,0),MATCH(CN$26,LCIA_Columns,0)),0)*$AT49*$AJ49*$BN$23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IFERROR(INDEX(LCIA_Data,MATCH($AO$15&amp;DA$27,LCIA_Rows_B&amp;LCIA_Rows_C,0),MATCH(DA$26,LCIA_Columns,0)),0)*$AT49*$AK49*$BN$23</f>
        <v>0</v>
      </c>
      <c r="DB49" s="1">
        <f t="array" ref="DB49">IFERROR(INDEX(LCIA_Data,MATCH($AO$15&amp;DB$27,LCIA_Rows_B&amp;LCIA_Rows_C,0),MATCH(DB$26,LCIA_Columns,0)),0)*$AT49*$AK49*$BN$23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f t="shared" si="20"/>
        <v>0</v>
      </c>
      <c r="DP49">
        <f t="shared" si="20"/>
        <v>0</v>
      </c>
      <c r="DQ49">
        <f t="shared" si="20"/>
        <v>0</v>
      </c>
      <c r="DR49">
        <f t="shared" si="20"/>
        <v>0</v>
      </c>
      <c r="DS49">
        <f t="shared" si="20"/>
        <v>0</v>
      </c>
      <c r="DT49">
        <f t="shared" si="20"/>
        <v>0</v>
      </c>
      <c r="DU49">
        <f t="shared" si="20"/>
        <v>0</v>
      </c>
      <c r="DV49">
        <f t="shared" si="20"/>
        <v>0</v>
      </c>
      <c r="DW49">
        <f t="shared" ref="DW49:EA64" si="40">BU49+CI49+CU49+DI49</f>
        <v>0</v>
      </c>
      <c r="DX49">
        <f t="shared" si="40"/>
        <v>0</v>
      </c>
      <c r="DY49">
        <f t="shared" si="40"/>
        <v>0</v>
      </c>
      <c r="DZ49">
        <f t="shared" si="40"/>
        <v>0</v>
      </c>
      <c r="EA49">
        <f t="shared" si="40"/>
        <v>0</v>
      </c>
      <c r="EB49">
        <f t="shared" si="21"/>
        <v>0</v>
      </c>
      <c r="EC49"/>
      <c r="ED49"/>
      <c r="EE49"/>
      <c r="EF49"/>
      <c r="EG49"/>
    </row>
    <row r="50" spans="2:137" ht="15" customHeight="1">
      <c r="B50" s="53">
        <f t="shared" si="29"/>
        <v>0</v>
      </c>
      <c r="C50" s="26">
        <f t="shared" si="22"/>
        <v>21</v>
      </c>
      <c r="D50" s="46" t="str">
        <f>'Plant Inputs'!$D50</f>
        <v>Welded Wire Reinforcement (WWR)</v>
      </c>
      <c r="E50" s="99"/>
      <c r="F50" s="119" t="str">
        <f t="shared" si="39"/>
        <v>short ton</v>
      </c>
      <c r="G50" s="158">
        <f t="shared" si="26"/>
        <v>0</v>
      </c>
      <c r="H50" s="204" t="str">
        <f t="shared" si="7"/>
        <v>short ton</v>
      </c>
      <c r="I50" s="156">
        <f t="shared" si="8"/>
        <v>0</v>
      </c>
      <c r="J50"/>
      <c r="K50"/>
      <c r="L50"/>
      <c r="M50"/>
      <c r="N50"/>
      <c r="O50"/>
      <c r="P50"/>
      <c r="Q50"/>
      <c r="R50"/>
      <c r="S50"/>
      <c r="T50"/>
      <c r="X50" s="67">
        <f t="shared" si="30"/>
        <v>0</v>
      </c>
      <c r="Y50" s="216">
        <f>IF(AND($X50=1,'Plant Inputs'!$Y50=1),1,0)</f>
        <v>0</v>
      </c>
      <c r="Z50" s="216"/>
      <c r="AA50" s="216">
        <f>IF($Y50=0,0,IF('Plant Inputs'!J50="",0,'Plant Inputs'!J50))</f>
        <v>0</v>
      </c>
      <c r="AB50" s="216">
        <f>IF($Y50=0,0,IF('Plant Inputs'!K50="",0,'Plant Inputs'!K50))</f>
        <v>0</v>
      </c>
      <c r="AC50" s="216">
        <f>IF($Y50=0,0,IF('Plant Inputs'!L50="",0,'Plant Inputs'!L50))</f>
        <v>0</v>
      </c>
      <c r="AD50" s="216">
        <f>IF($Y50=0,0,IF('Plant Inputs'!M50="",0,'Plant Inputs'!M50))</f>
        <v>0</v>
      </c>
      <c r="AE50" s="217" t="str">
        <f>'Plant Inputs'!$O50</f>
        <v>mile</v>
      </c>
      <c r="AF50" s="217">
        <f t="shared" si="9"/>
        <v>1.6093473468862911</v>
      </c>
      <c r="AG50" s="216" t="str">
        <f t="shared" si="23"/>
        <v>km/mile</v>
      </c>
      <c r="AH50" s="216">
        <f t="shared" si="31"/>
        <v>0</v>
      </c>
      <c r="AI50" s="216">
        <f t="shared" si="31"/>
        <v>0</v>
      </c>
      <c r="AJ50" s="216">
        <f t="shared" si="31"/>
        <v>0</v>
      </c>
      <c r="AK50" s="216">
        <f t="shared" si="31"/>
        <v>0</v>
      </c>
      <c r="AL50" s="216"/>
      <c r="AM50" s="1" t="str">
        <f t="shared" si="32"/>
        <v>Welded Wire Reinforcement (WWR)</v>
      </c>
      <c r="AN50" t="s">
        <v>127</v>
      </c>
      <c r="AO50">
        <f t="shared" si="33"/>
        <v>0</v>
      </c>
      <c r="AP50" s="1">
        <f t="shared" si="24"/>
        <v>0</v>
      </c>
      <c r="AQ50" s="1" t="str">
        <f t="shared" si="34"/>
        <v>short ton</v>
      </c>
      <c r="AR50" s="1">
        <f t="shared" si="14"/>
        <v>0.90718499588591606</v>
      </c>
      <c r="AS50" s="87" t="str">
        <f t="shared" si="35"/>
        <v>tonne/short ton</v>
      </c>
      <c r="AT50" s="87">
        <f t="shared" si="36"/>
        <v>0</v>
      </c>
      <c r="AU50" s="87">
        <f t="shared" si="37"/>
        <v>0</v>
      </c>
      <c r="AV50" s="87">
        <f t="shared" si="18"/>
        <v>0</v>
      </c>
      <c r="AW50" t="str">
        <f t="shared" si="38"/>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IFERROR(INDEX(LCIA_Data,MATCH($AO$15&amp;CM$27,LCIA_Rows_B&amp;LCIA_Rows_C,0),MATCH(CM$26,LCIA_Columns,0)),0)*$AT50*$AJ50*$BN$23</f>
        <v>0</v>
      </c>
      <c r="CN50" s="1">
        <f t="array" ref="CN50">IFERROR(INDEX(LCIA_Data,MATCH($AO$15&amp;CN$27,LCIA_Rows_B&amp;LCIA_Rows_C,0),MATCH(CN$26,LCIA_Columns,0)),0)*$AT50*$AJ50*$BN$23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IFERROR(INDEX(LCIA_Data,MATCH($AO$15&amp;DA$27,LCIA_Rows_B&amp;LCIA_Rows_C,0),MATCH(DA$26,LCIA_Columns,0)),0)*$AT50*$AK50*$BN$23</f>
        <v>0</v>
      </c>
      <c r="DB50" s="1">
        <f t="array" ref="DB50">IFERROR(INDEX(LCIA_Data,MATCH($AO$15&amp;DB$27,LCIA_Rows_B&amp;LCIA_Rows_C,0),MATCH(DB$26,LCIA_Columns,0)),0)*$AT50*$AK50*$BN$23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f t="shared" ref="DO50:DV64" si="41">BM50+CA50+CM50+DA50</f>
        <v>0</v>
      </c>
      <c r="DP50">
        <f t="shared" si="41"/>
        <v>0</v>
      </c>
      <c r="DQ50">
        <f t="shared" si="41"/>
        <v>0</v>
      </c>
      <c r="DR50">
        <f t="shared" si="41"/>
        <v>0</v>
      </c>
      <c r="DS50">
        <f t="shared" si="41"/>
        <v>0</v>
      </c>
      <c r="DT50">
        <f t="shared" si="41"/>
        <v>0</v>
      </c>
      <c r="DU50">
        <f t="shared" si="41"/>
        <v>0</v>
      </c>
      <c r="DV50">
        <f t="shared" si="41"/>
        <v>0</v>
      </c>
      <c r="DW50">
        <f t="shared" si="40"/>
        <v>0</v>
      </c>
      <c r="DX50">
        <f t="shared" si="40"/>
        <v>0</v>
      </c>
      <c r="DY50">
        <f t="shared" si="40"/>
        <v>0</v>
      </c>
      <c r="DZ50">
        <f t="shared" si="40"/>
        <v>0</v>
      </c>
      <c r="EA50">
        <f t="shared" si="40"/>
        <v>0</v>
      </c>
      <c r="EB50">
        <f t="shared" si="21"/>
        <v>0</v>
      </c>
      <c r="EC50"/>
      <c r="ED50"/>
      <c r="EE50"/>
      <c r="EF50"/>
      <c r="EG50"/>
    </row>
    <row r="51" spans="2:137" ht="15" customHeight="1" thickBot="1">
      <c r="B51" s="53">
        <f t="shared" si="29"/>
        <v>0</v>
      </c>
      <c r="C51" s="32">
        <f t="shared" si="22"/>
        <v>22</v>
      </c>
      <c r="D51" s="47" t="str">
        <f>'Plant Inputs'!$D51</f>
        <v>Steel Anchors</v>
      </c>
      <c r="E51" s="102"/>
      <c r="F51" s="231" t="str">
        <f t="shared" si="39"/>
        <v>short ton</v>
      </c>
      <c r="G51" s="228">
        <f t="shared" si="26"/>
        <v>0</v>
      </c>
      <c r="H51" s="227" t="str">
        <f t="shared" si="7"/>
        <v>short ton</v>
      </c>
      <c r="I51" s="397">
        <f t="shared" si="8"/>
        <v>0</v>
      </c>
      <c r="J51"/>
      <c r="K51"/>
      <c r="L51"/>
      <c r="M51"/>
      <c r="N51"/>
      <c r="O51"/>
      <c r="P51"/>
      <c r="Q51"/>
      <c r="R51"/>
      <c r="S51"/>
      <c r="T51"/>
      <c r="X51" s="67">
        <f t="shared" si="30"/>
        <v>0</v>
      </c>
      <c r="Y51" s="216">
        <f>IF(AND($X51=1,'Plant Inputs'!$Y51=1),1,0)</f>
        <v>0</v>
      </c>
      <c r="Z51" s="216"/>
      <c r="AA51" s="216">
        <f>IF($Y51=0,0,IF('Plant Inputs'!J51="",0,'Plant Inputs'!J51))</f>
        <v>0</v>
      </c>
      <c r="AB51" s="216">
        <f>IF($Y51=0,0,IF('Plant Inputs'!K51="",0,'Plant Inputs'!K51))</f>
        <v>0</v>
      </c>
      <c r="AC51" s="216">
        <f>IF($Y51=0,0,IF('Plant Inputs'!L51="",0,'Plant Inputs'!L51))</f>
        <v>0</v>
      </c>
      <c r="AD51" s="216">
        <f>IF($Y51=0,0,IF('Plant Inputs'!M51="",0,'Plant Inputs'!M51))</f>
        <v>0</v>
      </c>
      <c r="AE51" s="217" t="str">
        <f>'Plant Inputs'!$O51</f>
        <v>mile</v>
      </c>
      <c r="AF51" s="217">
        <f t="shared" si="9"/>
        <v>1.6093473468862911</v>
      </c>
      <c r="AG51" s="216" t="str">
        <f t="shared" si="23"/>
        <v>km/mile</v>
      </c>
      <c r="AH51" s="216">
        <f t="shared" si="31"/>
        <v>0</v>
      </c>
      <c r="AI51" s="216">
        <f t="shared" si="31"/>
        <v>0</v>
      </c>
      <c r="AJ51" s="216">
        <f t="shared" si="31"/>
        <v>0</v>
      </c>
      <c r="AK51" s="216">
        <f t="shared" si="31"/>
        <v>0</v>
      </c>
      <c r="AL51" s="216"/>
      <c r="AM51" s="1" t="str">
        <f t="shared" si="32"/>
        <v>Steel Anchors</v>
      </c>
      <c r="AN51" t="s">
        <v>127</v>
      </c>
      <c r="AO51">
        <f t="shared" si="33"/>
        <v>0</v>
      </c>
      <c r="AP51" s="1">
        <f t="shared" si="24"/>
        <v>0</v>
      </c>
      <c r="AQ51" s="1" t="str">
        <f t="shared" si="34"/>
        <v>short ton</v>
      </c>
      <c r="AR51" s="1">
        <f t="shared" si="14"/>
        <v>0.90718499588591606</v>
      </c>
      <c r="AS51" s="87" t="str">
        <f t="shared" si="35"/>
        <v>tonne/short ton</v>
      </c>
      <c r="AT51" s="87">
        <f t="shared" si="36"/>
        <v>0</v>
      </c>
      <c r="AU51" s="87">
        <f t="shared" si="37"/>
        <v>0</v>
      </c>
      <c r="AV51" s="87">
        <f t="shared" si="18"/>
        <v>0</v>
      </c>
      <c r="AW51" t="str">
        <f t="shared" si="38"/>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IFERROR(INDEX(LCIA_Data,MATCH($AO$15&amp;CM$27,LCIA_Rows_B&amp;LCIA_Rows_C,0),MATCH(CM$26,LCIA_Columns,0)),0)*$AT51*$AJ51*$BN$23</f>
        <v>0</v>
      </c>
      <c r="CN51" s="1">
        <f t="array" ref="CN51">IFERROR(INDEX(LCIA_Data,MATCH($AO$15&amp;CN$27,LCIA_Rows_B&amp;LCIA_Rows_C,0),MATCH(CN$26,LCIA_Columns,0)),0)*$AT51*$AJ51*$BN$23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IFERROR(INDEX(LCIA_Data,MATCH($AO$15&amp;DA$27,LCIA_Rows_B&amp;LCIA_Rows_C,0),MATCH(DA$26,LCIA_Columns,0)),0)*$AT51*$AK51*$BN$23</f>
        <v>0</v>
      </c>
      <c r="DB51" s="1">
        <f t="array" ref="DB51">IFERROR(INDEX(LCIA_Data,MATCH($AO$15&amp;DB$27,LCIA_Rows_B&amp;LCIA_Rows_C,0),MATCH(DB$26,LCIA_Columns,0)),0)*$AT51*$AK51*$BN$23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f t="shared" si="41"/>
        <v>0</v>
      </c>
      <c r="DP51">
        <f t="shared" si="41"/>
        <v>0</v>
      </c>
      <c r="DQ51">
        <f t="shared" si="41"/>
        <v>0</v>
      </c>
      <c r="DR51">
        <f t="shared" si="41"/>
        <v>0</v>
      </c>
      <c r="DS51">
        <f t="shared" si="41"/>
        <v>0</v>
      </c>
      <c r="DT51">
        <f t="shared" si="41"/>
        <v>0</v>
      </c>
      <c r="DU51">
        <f t="shared" si="41"/>
        <v>0</v>
      </c>
      <c r="DV51">
        <f t="shared" si="41"/>
        <v>0</v>
      </c>
      <c r="DW51">
        <f t="shared" si="40"/>
        <v>0</v>
      </c>
      <c r="DX51">
        <f t="shared" si="40"/>
        <v>0</v>
      </c>
      <c r="DY51">
        <f t="shared" si="40"/>
        <v>0</v>
      </c>
      <c r="DZ51">
        <f t="shared" si="40"/>
        <v>0</v>
      </c>
      <c r="EA51">
        <f t="shared" si="40"/>
        <v>0</v>
      </c>
      <c r="EB51">
        <f t="shared" si="21"/>
        <v>0</v>
      </c>
      <c r="EC51"/>
      <c r="ED51"/>
      <c r="EE51"/>
      <c r="EF51"/>
      <c r="EG51"/>
    </row>
    <row r="52" spans="2:137" ht="15" customHeight="1">
      <c r="B52" s="53">
        <f t="shared" si="29"/>
        <v>0</v>
      </c>
      <c r="C52" s="221">
        <f t="shared" si="22"/>
        <v>23</v>
      </c>
      <c r="D52" s="222" t="str">
        <f>'Plant Inputs'!$D52</f>
        <v>Steel Stressing Strand</v>
      </c>
      <c r="E52" s="154"/>
      <c r="F52" s="223" t="str">
        <f t="shared" si="39"/>
        <v>short ton</v>
      </c>
      <c r="G52" s="224">
        <f t="shared" si="26"/>
        <v>0</v>
      </c>
      <c r="H52" s="225" t="str">
        <f t="shared" si="7"/>
        <v>short ton</v>
      </c>
      <c r="I52" s="156">
        <f t="shared" si="8"/>
        <v>0</v>
      </c>
      <c r="J52"/>
      <c r="K52"/>
      <c r="L52"/>
      <c r="M52"/>
      <c r="N52"/>
      <c r="O52"/>
      <c r="P52"/>
      <c r="Q52"/>
      <c r="R52"/>
      <c r="S52"/>
      <c r="T52"/>
      <c r="X52" s="67">
        <f t="shared" si="30"/>
        <v>0</v>
      </c>
      <c r="Y52" s="216">
        <f>IF(AND($X52=1,'Plant Inputs'!$Y52=1),1,0)</f>
        <v>0</v>
      </c>
      <c r="Z52" s="216"/>
      <c r="AA52" s="216">
        <f>IF($Y52=0,0,IF('Plant Inputs'!J52="",0,'Plant Inputs'!J52))</f>
        <v>0</v>
      </c>
      <c r="AB52" s="216">
        <f>IF($Y52=0,0,IF('Plant Inputs'!K52="",0,'Plant Inputs'!K52))</f>
        <v>0</v>
      </c>
      <c r="AC52" s="216">
        <f>IF($Y52=0,0,IF('Plant Inputs'!L52="",0,'Plant Inputs'!L52))</f>
        <v>0</v>
      </c>
      <c r="AD52" s="216">
        <f>IF($Y52=0,0,IF('Plant Inputs'!M52="",0,'Plant Inputs'!M52))</f>
        <v>0</v>
      </c>
      <c r="AE52" s="217" t="str">
        <f>'Plant Inputs'!$O52</f>
        <v>mile</v>
      </c>
      <c r="AF52" s="217">
        <f t="shared" si="9"/>
        <v>1.6093473468862911</v>
      </c>
      <c r="AG52" s="216" t="str">
        <f t="shared" si="23"/>
        <v>km/mile</v>
      </c>
      <c r="AH52" s="216">
        <f t="shared" si="31"/>
        <v>0</v>
      </c>
      <c r="AI52" s="216">
        <f t="shared" si="31"/>
        <v>0</v>
      </c>
      <c r="AJ52" s="216">
        <f t="shared" si="31"/>
        <v>0</v>
      </c>
      <c r="AK52" s="216">
        <f t="shared" si="31"/>
        <v>0</v>
      </c>
      <c r="AL52" s="216"/>
      <c r="AM52" s="1" t="str">
        <f t="shared" si="32"/>
        <v>Steel Stressing Strand</v>
      </c>
      <c r="AN52" t="s">
        <v>127</v>
      </c>
      <c r="AO52">
        <f t="shared" si="33"/>
        <v>0</v>
      </c>
      <c r="AP52" s="1">
        <f t="shared" si="24"/>
        <v>0</v>
      </c>
      <c r="AQ52" s="1" t="str">
        <f t="shared" si="34"/>
        <v>short ton</v>
      </c>
      <c r="AR52" s="1">
        <f t="shared" si="14"/>
        <v>0.90718499588591606</v>
      </c>
      <c r="AS52" s="87" t="str">
        <f t="shared" si="35"/>
        <v>tonne/short ton</v>
      </c>
      <c r="AT52" s="87">
        <f t="shared" si="36"/>
        <v>0</v>
      </c>
      <c r="AU52" s="87">
        <f t="shared" si="37"/>
        <v>0</v>
      </c>
      <c r="AV52" s="87">
        <f t="shared" si="18"/>
        <v>0</v>
      </c>
      <c r="AW52" t="str">
        <f t="shared" si="38"/>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IFERROR(INDEX(LCIA_Data,MATCH($AO$15&amp;CM$27,LCIA_Rows_B&amp;LCIA_Rows_C,0),MATCH(CM$26,LCIA_Columns,0)),0)*$AT52*$AJ52*$BN$23</f>
        <v>0</v>
      </c>
      <c r="CN52" s="1">
        <f t="array" ref="CN52">IFERROR(INDEX(LCIA_Data,MATCH($AO$15&amp;CN$27,LCIA_Rows_B&amp;LCIA_Rows_C,0),MATCH(CN$26,LCIA_Columns,0)),0)*$AT52*$AJ52*$BN$23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IFERROR(INDEX(LCIA_Data,MATCH($AO$15&amp;DA$27,LCIA_Rows_B&amp;LCIA_Rows_C,0),MATCH(DA$26,LCIA_Columns,0)),0)*$AT52*$AK52*$BN$23</f>
        <v>0</v>
      </c>
      <c r="DB52" s="1">
        <f t="array" ref="DB52">IFERROR(INDEX(LCIA_Data,MATCH($AO$15&amp;DB$27,LCIA_Rows_B&amp;LCIA_Rows_C,0),MATCH(DB$26,LCIA_Columns,0)),0)*$AT52*$AK52*$BN$23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f t="shared" si="41"/>
        <v>0</v>
      </c>
      <c r="DP52">
        <f t="shared" si="41"/>
        <v>0</v>
      </c>
      <c r="DQ52">
        <f t="shared" si="41"/>
        <v>0</v>
      </c>
      <c r="DR52">
        <f t="shared" si="41"/>
        <v>0</v>
      </c>
      <c r="DS52">
        <f t="shared" si="41"/>
        <v>0</v>
      </c>
      <c r="DT52">
        <f t="shared" si="41"/>
        <v>0</v>
      </c>
      <c r="DU52">
        <f t="shared" si="41"/>
        <v>0</v>
      </c>
      <c r="DV52">
        <f t="shared" si="41"/>
        <v>0</v>
      </c>
      <c r="DW52">
        <f t="shared" si="40"/>
        <v>0</v>
      </c>
      <c r="DX52">
        <f t="shared" si="40"/>
        <v>0</v>
      </c>
      <c r="DY52">
        <f t="shared" si="40"/>
        <v>0</v>
      </c>
      <c r="DZ52">
        <f t="shared" si="40"/>
        <v>0</v>
      </c>
      <c r="EA52">
        <f t="shared" si="40"/>
        <v>0</v>
      </c>
      <c r="EB52">
        <f t="shared" si="21"/>
        <v>0</v>
      </c>
      <c r="EC52"/>
      <c r="ED52"/>
      <c r="EE52"/>
      <c r="EF52"/>
      <c r="EG52"/>
    </row>
    <row r="53" spans="2:137" ht="15" customHeight="1">
      <c r="B53" s="53">
        <f t="shared" si="29"/>
        <v>0</v>
      </c>
      <c r="C53" s="233">
        <f t="shared" si="22"/>
        <v>24</v>
      </c>
      <c r="D53" s="244" t="str">
        <f>'Plant Inputs'!$D53</f>
        <v>Carbon Fibre Reinforced Polymer (CFRP) strand</v>
      </c>
      <c r="E53" s="101"/>
      <c r="F53" s="235" t="str">
        <f t="shared" si="39"/>
        <v>short ton</v>
      </c>
      <c r="G53" s="236">
        <f t="shared" si="26"/>
        <v>0</v>
      </c>
      <c r="H53" s="237" t="str">
        <f t="shared" si="7"/>
        <v>short ton</v>
      </c>
      <c r="I53" s="398">
        <f t="shared" si="8"/>
        <v>0</v>
      </c>
      <c r="J53"/>
      <c r="K53"/>
      <c r="L53"/>
      <c r="M53"/>
      <c r="N53"/>
      <c r="O53"/>
      <c r="P53"/>
      <c r="Q53"/>
      <c r="R53"/>
      <c r="S53"/>
      <c r="T53"/>
      <c r="X53" s="67">
        <f t="shared" si="30"/>
        <v>0</v>
      </c>
      <c r="Y53" s="216">
        <f>IF(AND($X53=1,'Plant Inputs'!$Y53=1),1,0)</f>
        <v>0</v>
      </c>
      <c r="Z53" s="216"/>
      <c r="AA53" s="216">
        <f>IF($Y53=0,0,IF('Plant Inputs'!J53="",0,'Plant Inputs'!J53))</f>
        <v>0</v>
      </c>
      <c r="AB53" s="216">
        <f>IF($Y53=0,0,IF('Plant Inputs'!K53="",0,'Plant Inputs'!K53))</f>
        <v>0</v>
      </c>
      <c r="AC53" s="216">
        <f>IF($Y53=0,0,IF('Plant Inputs'!L53="",0,'Plant Inputs'!L53))</f>
        <v>0</v>
      </c>
      <c r="AD53" s="216">
        <f>IF($Y53=0,0,IF('Plant Inputs'!M53="",0,'Plant Inputs'!M53))</f>
        <v>0</v>
      </c>
      <c r="AE53" s="217" t="str">
        <f>'Plant Inputs'!$O53</f>
        <v>mile</v>
      </c>
      <c r="AF53" s="217">
        <f t="shared" si="9"/>
        <v>1.6093473468862911</v>
      </c>
      <c r="AG53" s="216" t="str">
        <f t="shared" si="23"/>
        <v>km/mile</v>
      </c>
      <c r="AH53" s="216">
        <f>AA53*$AF53</f>
        <v>0</v>
      </c>
      <c r="AI53" s="216">
        <f>AB53*$AF53</f>
        <v>0</v>
      </c>
      <c r="AJ53" s="216">
        <f>AC53*$AF53</f>
        <v>0</v>
      </c>
      <c r="AK53" s="216">
        <f>AD53*$AF53</f>
        <v>0</v>
      </c>
      <c r="AL53" s="216"/>
      <c r="AM53" s="1" t="str">
        <f t="shared" si="32"/>
        <v>Carbon Fibre Reinforced Polymer (CFRP) strand</v>
      </c>
      <c r="AN53" s="12" t="s">
        <v>127</v>
      </c>
      <c r="AO53">
        <f t="shared" si="33"/>
        <v>0</v>
      </c>
      <c r="AP53" s="1">
        <f t="shared" si="24"/>
        <v>0</v>
      </c>
      <c r="AQ53" s="1" t="str">
        <f t="shared" si="34"/>
        <v>short ton</v>
      </c>
      <c r="AR53" s="1">
        <f t="shared" si="14"/>
        <v>0.90718499588591606</v>
      </c>
      <c r="AS53" s="87" t="str">
        <f t="shared" si="35"/>
        <v>tonne/short ton</v>
      </c>
      <c r="AT53" s="87">
        <f t="shared" si="36"/>
        <v>0</v>
      </c>
      <c r="AU53" s="87">
        <f t="shared" si="37"/>
        <v>0</v>
      </c>
      <c r="AV53" s="87">
        <f t="shared" si="18"/>
        <v>0</v>
      </c>
      <c r="AW53" t="str">
        <f t="shared" si="38"/>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IFERROR(INDEX(LCIA_Data,MATCH($AO$15&amp;CM$27,LCIA_Rows_B&amp;LCIA_Rows_C,0),MATCH(CM$26,LCIA_Columns,0)),0)*$AT53*$AJ53*$BN$23</f>
        <v>0</v>
      </c>
      <c r="CN53" s="1">
        <f t="array" ref="CN53">IFERROR(INDEX(LCIA_Data,MATCH($AO$15&amp;CN$27,LCIA_Rows_B&amp;LCIA_Rows_C,0),MATCH(CN$26,LCIA_Columns,0)),0)*$AT53*$AJ53*$BN$23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IFERROR(INDEX(LCIA_Data,MATCH($AO$15&amp;DA$27,LCIA_Rows_B&amp;LCIA_Rows_C,0),MATCH(DA$26,LCIA_Columns,0)),0)*$AT53*$AK53*$BN$23</f>
        <v>0</v>
      </c>
      <c r="DB53" s="1">
        <f t="array" ref="DB53">IFERROR(INDEX(LCIA_Data,MATCH($AO$15&amp;DB$27,LCIA_Rows_B&amp;LCIA_Rows_C,0),MATCH(DB$26,LCIA_Columns,0)),0)*$AT53*$AK53*$BN$23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f t="shared" si="41"/>
        <v>0</v>
      </c>
      <c r="DP53">
        <f t="shared" si="41"/>
        <v>0</v>
      </c>
      <c r="DQ53">
        <f t="shared" si="41"/>
        <v>0</v>
      </c>
      <c r="DR53">
        <f t="shared" si="41"/>
        <v>0</v>
      </c>
      <c r="DS53">
        <f t="shared" si="41"/>
        <v>0</v>
      </c>
      <c r="DT53">
        <f t="shared" si="41"/>
        <v>0</v>
      </c>
      <c r="DU53">
        <f t="shared" si="41"/>
        <v>0</v>
      </c>
      <c r="DV53">
        <f t="shared" si="41"/>
        <v>0</v>
      </c>
      <c r="DW53">
        <f t="shared" si="40"/>
        <v>0</v>
      </c>
      <c r="DX53">
        <f t="shared" si="40"/>
        <v>0</v>
      </c>
      <c r="DY53">
        <f t="shared" si="40"/>
        <v>0</v>
      </c>
      <c r="DZ53">
        <f t="shared" si="40"/>
        <v>0</v>
      </c>
      <c r="EA53">
        <f t="shared" si="40"/>
        <v>0</v>
      </c>
      <c r="EB53">
        <f t="shared" si="21"/>
        <v>0</v>
      </c>
      <c r="EC53"/>
      <c r="ED53"/>
      <c r="EE53"/>
      <c r="EF53"/>
      <c r="EG53"/>
    </row>
    <row r="54" spans="2:137" ht="15" customHeight="1">
      <c r="B54" s="53">
        <f t="shared" si="29"/>
        <v>0</v>
      </c>
      <c r="C54" s="26">
        <f t="shared" si="22"/>
        <v>25</v>
      </c>
      <c r="D54" s="46" t="str">
        <f>'Plant Inputs'!$D54</f>
        <v>Polypropylene Fibers</v>
      </c>
      <c r="E54" s="99"/>
      <c r="F54" s="119" t="str">
        <f t="shared" si="39"/>
        <v>short ton</v>
      </c>
      <c r="G54" s="158">
        <f t="shared" si="26"/>
        <v>0</v>
      </c>
      <c r="H54" s="204" t="str">
        <f t="shared" si="7"/>
        <v>short ton</v>
      </c>
      <c r="I54" s="399">
        <f t="shared" si="8"/>
        <v>0</v>
      </c>
      <c r="J54"/>
      <c r="K54"/>
      <c r="L54"/>
      <c r="M54"/>
      <c r="N54"/>
      <c r="O54"/>
      <c r="P54"/>
      <c r="Q54"/>
      <c r="R54"/>
      <c r="S54"/>
      <c r="T54"/>
      <c r="X54" s="67">
        <f t="shared" si="30"/>
        <v>0</v>
      </c>
      <c r="Y54" s="216">
        <f>IF(AND($X54=1,'Plant Inputs'!$Y54=1),1,0)</f>
        <v>0</v>
      </c>
      <c r="Z54" s="216"/>
      <c r="AA54" s="216">
        <f>IF($Y54=0,0,IF('Plant Inputs'!J54="",0,'Plant Inputs'!J54))</f>
        <v>0</v>
      </c>
      <c r="AB54" s="216">
        <f>IF($Y54=0,0,IF('Plant Inputs'!K54="",0,'Plant Inputs'!K54))</f>
        <v>0</v>
      </c>
      <c r="AC54" s="216">
        <f>IF($Y54=0,0,IF('Plant Inputs'!L54="",0,'Plant Inputs'!L54))</f>
        <v>0</v>
      </c>
      <c r="AD54" s="216">
        <f>IF($Y54=0,0,IF('Plant Inputs'!M54="",0,'Plant Inputs'!M54))</f>
        <v>0</v>
      </c>
      <c r="AE54" s="217" t="str">
        <f>'Plant Inputs'!$O54</f>
        <v>mile</v>
      </c>
      <c r="AF54" s="217">
        <f t="shared" si="9"/>
        <v>1.6093473468862911</v>
      </c>
      <c r="AG54" s="216" t="str">
        <f t="shared" si="23"/>
        <v>km/mile</v>
      </c>
      <c r="AH54" s="216">
        <f t="shared" ref="AH54:AK64" si="42">AA54*$AF54</f>
        <v>0</v>
      </c>
      <c r="AI54" s="216">
        <f t="shared" si="42"/>
        <v>0</v>
      </c>
      <c r="AJ54" s="216">
        <f t="shared" si="42"/>
        <v>0</v>
      </c>
      <c r="AK54" s="216">
        <f t="shared" si="42"/>
        <v>0</v>
      </c>
      <c r="AL54" s="216"/>
      <c r="AM54" s="1" t="str">
        <f t="shared" si="32"/>
        <v>Polypropylene Fibers</v>
      </c>
      <c r="AN54" s="12" t="s">
        <v>127</v>
      </c>
      <c r="AO54">
        <f t="shared" si="33"/>
        <v>0</v>
      </c>
      <c r="AP54" s="1">
        <f t="shared" si="24"/>
        <v>0</v>
      </c>
      <c r="AQ54" s="1" t="str">
        <f t="shared" si="34"/>
        <v>short ton</v>
      </c>
      <c r="AR54" s="1">
        <f t="shared" si="14"/>
        <v>0.90718499588591606</v>
      </c>
      <c r="AS54" s="87" t="str">
        <f t="shared" si="35"/>
        <v>tonne/short ton</v>
      </c>
      <c r="AT54" s="87">
        <f t="shared" si="36"/>
        <v>0</v>
      </c>
      <c r="AU54" s="87">
        <f t="shared" si="37"/>
        <v>0</v>
      </c>
      <c r="AV54" s="87">
        <f t="shared" si="18"/>
        <v>0</v>
      </c>
      <c r="AW54" t="str">
        <f t="shared" si="38"/>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IFERROR(INDEX(LCIA_Data,MATCH($AO$15&amp;CM$27,LCIA_Rows_B&amp;LCIA_Rows_C,0),MATCH(CM$26,LCIA_Columns,0)),0)*$AT54*$AJ54*$BN$23</f>
        <v>0</v>
      </c>
      <c r="CN54" s="1">
        <f t="array" ref="CN54">IFERROR(INDEX(LCIA_Data,MATCH($AO$15&amp;CN$27,LCIA_Rows_B&amp;LCIA_Rows_C,0),MATCH(CN$26,LCIA_Columns,0)),0)*$AT54*$AJ54*$BN$23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IFERROR(INDEX(LCIA_Data,MATCH($AO$15&amp;DA$27,LCIA_Rows_B&amp;LCIA_Rows_C,0),MATCH(DA$26,LCIA_Columns,0)),0)*$AT54*$AK54*$BN$23</f>
        <v>0</v>
      </c>
      <c r="DB54" s="1">
        <f t="array" ref="DB54">IFERROR(INDEX(LCIA_Data,MATCH($AO$15&amp;DB$27,LCIA_Rows_B&amp;LCIA_Rows_C,0),MATCH(DB$26,LCIA_Columns,0)),0)*$AT54*$AK54*$BN$23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f t="shared" si="41"/>
        <v>0</v>
      </c>
      <c r="DP54">
        <f t="shared" si="41"/>
        <v>0</v>
      </c>
      <c r="DQ54">
        <f t="shared" si="41"/>
        <v>0</v>
      </c>
      <c r="DR54">
        <f t="shared" si="41"/>
        <v>0</v>
      </c>
      <c r="DS54">
        <f t="shared" si="41"/>
        <v>0</v>
      </c>
      <c r="DT54">
        <f t="shared" si="41"/>
        <v>0</v>
      </c>
      <c r="DU54">
        <f t="shared" si="41"/>
        <v>0</v>
      </c>
      <c r="DV54">
        <f t="shared" si="41"/>
        <v>0</v>
      </c>
      <c r="DW54">
        <f t="shared" si="40"/>
        <v>0</v>
      </c>
      <c r="DX54">
        <f t="shared" si="40"/>
        <v>0</v>
      </c>
      <c r="DY54">
        <f t="shared" si="40"/>
        <v>0</v>
      </c>
      <c r="DZ54">
        <f t="shared" si="40"/>
        <v>0</v>
      </c>
      <c r="EA54">
        <f t="shared" si="40"/>
        <v>0</v>
      </c>
      <c r="EB54">
        <f t="shared" si="21"/>
        <v>0</v>
      </c>
      <c r="EC54"/>
      <c r="ED54"/>
      <c r="EE54"/>
      <c r="EF54"/>
      <c r="EG54"/>
    </row>
    <row r="55" spans="2:137" ht="15" customHeight="1">
      <c r="B55" s="53">
        <f t="shared" si="29"/>
        <v>0</v>
      </c>
      <c r="C55" s="26">
        <f t="shared" si="22"/>
        <v>26</v>
      </c>
      <c r="D55" s="46" t="str">
        <f>'Plant Inputs'!$D55</f>
        <v>Steel Fibers</v>
      </c>
      <c r="E55" s="99"/>
      <c r="F55" s="119" t="str">
        <f t="shared" si="39"/>
        <v>short ton</v>
      </c>
      <c r="G55" s="158">
        <f t="shared" si="26"/>
        <v>0</v>
      </c>
      <c r="H55" s="204" t="str">
        <f t="shared" si="7"/>
        <v>short ton</v>
      </c>
      <c r="I55" s="156">
        <f t="shared" si="8"/>
        <v>0</v>
      </c>
      <c r="J55"/>
      <c r="K55"/>
      <c r="L55"/>
      <c r="M55"/>
      <c r="N55"/>
      <c r="O55"/>
      <c r="P55"/>
      <c r="Q55"/>
      <c r="R55"/>
      <c r="S55"/>
      <c r="T55"/>
      <c r="X55" s="67">
        <f t="shared" si="30"/>
        <v>0</v>
      </c>
      <c r="Y55" s="216">
        <f>IF(AND($X55=1,'Plant Inputs'!$Y55=1),1,0)</f>
        <v>0</v>
      </c>
      <c r="Z55" s="216"/>
      <c r="AA55" s="216">
        <f>IF($Y55=0,0,IF('Plant Inputs'!J55="",0,'Plant Inputs'!J55))</f>
        <v>0</v>
      </c>
      <c r="AB55" s="216">
        <f>IF($Y55=0,0,IF('Plant Inputs'!K55="",0,'Plant Inputs'!K55))</f>
        <v>0</v>
      </c>
      <c r="AC55" s="216">
        <f>IF($Y55=0,0,IF('Plant Inputs'!L55="",0,'Plant Inputs'!L55))</f>
        <v>0</v>
      </c>
      <c r="AD55" s="216">
        <f>IF($Y55=0,0,IF('Plant Inputs'!M55="",0,'Plant Inputs'!M55))</f>
        <v>0</v>
      </c>
      <c r="AE55" s="217" t="str">
        <f>'Plant Inputs'!$O55</f>
        <v>mile</v>
      </c>
      <c r="AF55" s="217">
        <f t="shared" si="9"/>
        <v>1.6093473468862911</v>
      </c>
      <c r="AG55" s="216" t="str">
        <f t="shared" si="23"/>
        <v>km/mile</v>
      </c>
      <c r="AH55" s="216">
        <f t="shared" si="42"/>
        <v>0</v>
      </c>
      <c r="AI55" s="216">
        <f t="shared" si="42"/>
        <v>0</v>
      </c>
      <c r="AJ55" s="216">
        <f t="shared" si="42"/>
        <v>0</v>
      </c>
      <c r="AK55" s="216">
        <f t="shared" si="42"/>
        <v>0</v>
      </c>
      <c r="AL55" s="216"/>
      <c r="AM55" s="1" t="str">
        <f t="shared" si="32"/>
        <v>Steel Fibers</v>
      </c>
      <c r="AN55" s="12" t="s">
        <v>127</v>
      </c>
      <c r="AO55">
        <f t="shared" si="33"/>
        <v>0</v>
      </c>
      <c r="AP55" s="1">
        <f t="shared" si="24"/>
        <v>0</v>
      </c>
      <c r="AQ55" s="1" t="str">
        <f t="shared" si="34"/>
        <v>short ton</v>
      </c>
      <c r="AR55" s="1">
        <f t="shared" si="14"/>
        <v>0.90718499588591606</v>
      </c>
      <c r="AS55" s="87" t="str">
        <f t="shared" si="35"/>
        <v>tonne/short ton</v>
      </c>
      <c r="AT55" s="87">
        <f t="shared" si="36"/>
        <v>0</v>
      </c>
      <c r="AU55" s="87">
        <f t="shared" si="37"/>
        <v>0</v>
      </c>
      <c r="AV55" s="87">
        <f t="shared" si="18"/>
        <v>0</v>
      </c>
      <c r="AW55" t="str">
        <f t="shared" si="38"/>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IFERROR(INDEX(LCIA_Data,MATCH($AO$15&amp;CM$27,LCIA_Rows_B&amp;LCIA_Rows_C,0),MATCH(CM$26,LCIA_Columns,0)),0)*$AT55*$AJ55*$BN$23</f>
        <v>0</v>
      </c>
      <c r="CN55" s="1">
        <f t="array" ref="CN55">IFERROR(INDEX(LCIA_Data,MATCH($AO$15&amp;CN$27,LCIA_Rows_B&amp;LCIA_Rows_C,0),MATCH(CN$26,LCIA_Columns,0)),0)*$AT55*$AJ55*$BN$23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IFERROR(INDEX(LCIA_Data,MATCH($AO$15&amp;DA$27,LCIA_Rows_B&amp;LCIA_Rows_C,0),MATCH(DA$26,LCIA_Columns,0)),0)*$AT55*$AK55*$BN$23</f>
        <v>0</v>
      </c>
      <c r="DB55" s="1">
        <f t="array" ref="DB55">IFERROR(INDEX(LCIA_Data,MATCH($AO$15&amp;DB$27,LCIA_Rows_B&amp;LCIA_Rows_C,0),MATCH(DB$26,LCIA_Columns,0)),0)*$AT55*$AK55*$BN$23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f t="shared" si="41"/>
        <v>0</v>
      </c>
      <c r="DP55">
        <f t="shared" si="41"/>
        <v>0</v>
      </c>
      <c r="DQ55">
        <f t="shared" si="41"/>
        <v>0</v>
      </c>
      <c r="DR55">
        <f t="shared" si="41"/>
        <v>0</v>
      </c>
      <c r="DS55">
        <f t="shared" si="41"/>
        <v>0</v>
      </c>
      <c r="DT55">
        <f t="shared" si="41"/>
        <v>0</v>
      </c>
      <c r="DU55">
        <f t="shared" si="41"/>
        <v>0</v>
      </c>
      <c r="DV55">
        <f t="shared" si="41"/>
        <v>0</v>
      </c>
      <c r="DW55">
        <f t="shared" si="40"/>
        <v>0</v>
      </c>
      <c r="DX55">
        <f t="shared" si="40"/>
        <v>0</v>
      </c>
      <c r="DY55">
        <f t="shared" si="40"/>
        <v>0</v>
      </c>
      <c r="DZ55">
        <f t="shared" si="40"/>
        <v>0</v>
      </c>
      <c r="EA55">
        <f t="shared" si="40"/>
        <v>0</v>
      </c>
      <c r="EB55">
        <f t="shared" si="21"/>
        <v>0</v>
      </c>
      <c r="EC55"/>
      <c r="ED55"/>
      <c r="EE55"/>
      <c r="EF55"/>
      <c r="EG55"/>
    </row>
    <row r="56" spans="2:137" ht="15" customHeight="1">
      <c r="B56" s="53">
        <f t="shared" si="29"/>
        <v>0</v>
      </c>
      <c r="C56" s="26">
        <f t="shared" si="22"/>
        <v>27</v>
      </c>
      <c r="D56" s="46" t="str">
        <f>'Plant Inputs'!$D56</f>
        <v>Glass Fibre Reinforced Polymer (GFRP) reinforcing bars</v>
      </c>
      <c r="E56" s="99"/>
      <c r="F56" s="119" t="str">
        <f t="shared" si="39"/>
        <v>short ton</v>
      </c>
      <c r="G56" s="158">
        <f t="shared" si="26"/>
        <v>0</v>
      </c>
      <c r="H56" s="204" t="str">
        <f t="shared" si="7"/>
        <v>short ton</v>
      </c>
      <c r="I56" s="156">
        <f t="shared" si="8"/>
        <v>0</v>
      </c>
      <c r="J56"/>
      <c r="K56"/>
      <c r="L56"/>
      <c r="M56"/>
      <c r="N56"/>
      <c r="O56"/>
      <c r="P56"/>
      <c r="Q56"/>
      <c r="R56"/>
      <c r="S56"/>
      <c r="T56"/>
      <c r="X56" s="67">
        <f t="shared" si="30"/>
        <v>0</v>
      </c>
      <c r="Y56" s="216">
        <f>IF(AND($X56=1,'Plant Inputs'!$Y56=1),1,0)</f>
        <v>0</v>
      </c>
      <c r="Z56" s="216"/>
      <c r="AA56" s="216">
        <f>IF($Y56=0,0,IF('Plant Inputs'!J56="",0,'Plant Inputs'!J56))</f>
        <v>0</v>
      </c>
      <c r="AB56" s="216">
        <f>IF($Y56=0,0,IF('Plant Inputs'!K56="",0,'Plant Inputs'!K56))</f>
        <v>0</v>
      </c>
      <c r="AC56" s="216">
        <f>IF($Y56=0,0,IF('Plant Inputs'!L56="",0,'Plant Inputs'!L56))</f>
        <v>0</v>
      </c>
      <c r="AD56" s="216">
        <f>IF($Y56=0,0,IF('Plant Inputs'!M56="",0,'Plant Inputs'!M56))</f>
        <v>0</v>
      </c>
      <c r="AE56" s="217" t="str">
        <f>'Plant Inputs'!$O56</f>
        <v>mile</v>
      </c>
      <c r="AF56" s="217">
        <f t="shared" si="9"/>
        <v>1.6093473468862911</v>
      </c>
      <c r="AG56" s="216" t="str">
        <f t="shared" si="23"/>
        <v>km/mile</v>
      </c>
      <c r="AH56" s="216">
        <f t="shared" si="42"/>
        <v>0</v>
      </c>
      <c r="AI56" s="216">
        <f t="shared" si="42"/>
        <v>0</v>
      </c>
      <c r="AJ56" s="216">
        <f t="shared" si="42"/>
        <v>0</v>
      </c>
      <c r="AK56" s="216">
        <f t="shared" si="42"/>
        <v>0</v>
      </c>
      <c r="AL56" s="216"/>
      <c r="AM56" s="1" t="str">
        <f t="shared" si="32"/>
        <v>Glass Fibre Reinforced Polymer (GFRP) reinforcing bars</v>
      </c>
      <c r="AN56" s="12" t="s">
        <v>127</v>
      </c>
      <c r="AO56">
        <f t="shared" si="33"/>
        <v>0</v>
      </c>
      <c r="AP56" s="1">
        <f t="shared" si="24"/>
        <v>0</v>
      </c>
      <c r="AQ56" s="1" t="str">
        <f t="shared" si="34"/>
        <v>short ton</v>
      </c>
      <c r="AR56" s="1">
        <f t="shared" si="14"/>
        <v>0.90718499588591606</v>
      </c>
      <c r="AS56" s="87" t="str">
        <f t="shared" si="35"/>
        <v>tonne/short ton</v>
      </c>
      <c r="AT56" s="87">
        <f t="shared" si="36"/>
        <v>0</v>
      </c>
      <c r="AU56" s="87">
        <f t="shared" si="37"/>
        <v>0</v>
      </c>
      <c r="AV56" s="87">
        <f t="shared" si="18"/>
        <v>0</v>
      </c>
      <c r="AW56" t="str">
        <f t="shared" si="38"/>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IFERROR(INDEX(LCIA_Data,MATCH($AO$15&amp;CM$27,LCIA_Rows_B&amp;LCIA_Rows_C,0),MATCH(CM$26,LCIA_Columns,0)),0)*$AT56*$AJ56*$BN$23</f>
        <v>0</v>
      </c>
      <c r="CN56" s="1">
        <f t="array" ref="CN56">IFERROR(INDEX(LCIA_Data,MATCH($AO$15&amp;CN$27,LCIA_Rows_B&amp;LCIA_Rows_C,0),MATCH(CN$26,LCIA_Columns,0)),0)*$AT56*$AJ56*$BN$23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IFERROR(INDEX(LCIA_Data,MATCH($AO$15&amp;DA$27,LCIA_Rows_B&amp;LCIA_Rows_C,0),MATCH(DA$26,LCIA_Columns,0)),0)*$AT56*$AK56*$BN$23</f>
        <v>0</v>
      </c>
      <c r="DB56" s="1">
        <f t="array" ref="DB56">IFERROR(INDEX(LCIA_Data,MATCH($AO$15&amp;DB$27,LCIA_Rows_B&amp;LCIA_Rows_C,0),MATCH(DB$26,LCIA_Columns,0)),0)*$AT56*$AK56*$BN$23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f t="shared" si="41"/>
        <v>0</v>
      </c>
      <c r="DP56">
        <f t="shared" si="41"/>
        <v>0</v>
      </c>
      <c r="DQ56">
        <f t="shared" si="41"/>
        <v>0</v>
      </c>
      <c r="DR56">
        <f t="shared" si="41"/>
        <v>0</v>
      </c>
      <c r="DS56">
        <f t="shared" si="41"/>
        <v>0</v>
      </c>
      <c r="DT56">
        <f t="shared" si="41"/>
        <v>0</v>
      </c>
      <c r="DU56">
        <f t="shared" si="41"/>
        <v>0</v>
      </c>
      <c r="DV56">
        <f t="shared" si="41"/>
        <v>0</v>
      </c>
      <c r="DW56">
        <f t="shared" si="40"/>
        <v>0</v>
      </c>
      <c r="DX56">
        <f t="shared" si="40"/>
        <v>0</v>
      </c>
      <c r="DY56">
        <f t="shared" si="40"/>
        <v>0</v>
      </c>
      <c r="DZ56">
        <f t="shared" si="40"/>
        <v>0</v>
      </c>
      <c r="EA56">
        <f t="shared" si="40"/>
        <v>0</v>
      </c>
      <c r="EB56">
        <f t="shared" si="21"/>
        <v>0</v>
      </c>
      <c r="EC56"/>
      <c r="ED56"/>
      <c r="EE56"/>
      <c r="EF56"/>
      <c r="EG56"/>
    </row>
    <row r="57" spans="2:137" ht="15" customHeight="1">
      <c r="B57" s="53">
        <f t="shared" si="29"/>
        <v>0</v>
      </c>
      <c r="C57" s="26">
        <f t="shared" si="22"/>
        <v>28</v>
      </c>
      <c r="D57" s="46" t="str">
        <f>'Plant Inputs'!$D57</f>
        <v>Carbon Fibre Reinforced Polymer (CFRP) reinforcing bars</v>
      </c>
      <c r="E57" s="99"/>
      <c r="F57" s="119" t="str">
        <f t="shared" si="39"/>
        <v>short ton</v>
      </c>
      <c r="G57" s="158">
        <f t="shared" si="26"/>
        <v>0</v>
      </c>
      <c r="H57" s="204" t="str">
        <f t="shared" si="7"/>
        <v>short ton</v>
      </c>
      <c r="I57" s="156">
        <f t="shared" si="8"/>
        <v>0</v>
      </c>
      <c r="J57"/>
      <c r="K57"/>
      <c r="L57"/>
      <c r="M57"/>
      <c r="N57"/>
      <c r="O57"/>
      <c r="P57"/>
      <c r="Q57"/>
      <c r="R57"/>
      <c r="S57"/>
      <c r="T57"/>
      <c r="X57" s="67">
        <f t="shared" si="30"/>
        <v>0</v>
      </c>
      <c r="Y57" s="216">
        <f>IF(AND($X57=1,'Plant Inputs'!$Y57=1),1,0)</f>
        <v>0</v>
      </c>
      <c r="Z57" s="216"/>
      <c r="AA57" s="216">
        <f>IF($Y57=0,0,IF('Plant Inputs'!J57="",0,'Plant Inputs'!J57))</f>
        <v>0</v>
      </c>
      <c r="AB57" s="216">
        <f>IF($Y57=0,0,IF('Plant Inputs'!K57="",0,'Plant Inputs'!K57))</f>
        <v>0</v>
      </c>
      <c r="AC57" s="216">
        <f>IF($Y57=0,0,IF('Plant Inputs'!L57="",0,'Plant Inputs'!L57))</f>
        <v>0</v>
      </c>
      <c r="AD57" s="216">
        <f>IF($Y57=0,0,IF('Plant Inputs'!M57="",0,'Plant Inputs'!M57))</f>
        <v>0</v>
      </c>
      <c r="AE57" s="217" t="str">
        <f>'Plant Inputs'!$O57</f>
        <v>mile</v>
      </c>
      <c r="AF57" s="217">
        <f t="shared" si="9"/>
        <v>1.6093473468862911</v>
      </c>
      <c r="AG57" s="216" t="str">
        <f t="shared" si="23"/>
        <v>km/mile</v>
      </c>
      <c r="AH57" s="216">
        <f t="shared" si="42"/>
        <v>0</v>
      </c>
      <c r="AI57" s="216">
        <f t="shared" si="42"/>
        <v>0</v>
      </c>
      <c r="AJ57" s="216">
        <f t="shared" si="42"/>
        <v>0</v>
      </c>
      <c r="AK57" s="216">
        <f t="shared" si="42"/>
        <v>0</v>
      </c>
      <c r="AL57" s="216"/>
      <c r="AM57" s="1" t="str">
        <f t="shared" si="32"/>
        <v>Carbon Fibre Reinforced Polymer (CFRP) reinforcing bars</v>
      </c>
      <c r="AN57" s="12" t="s">
        <v>127</v>
      </c>
      <c r="AO57">
        <f t="shared" si="33"/>
        <v>0</v>
      </c>
      <c r="AP57" s="1">
        <f t="shared" si="24"/>
        <v>0</v>
      </c>
      <c r="AQ57" s="1" t="str">
        <f t="shared" si="34"/>
        <v>short ton</v>
      </c>
      <c r="AR57" s="1">
        <f t="shared" si="14"/>
        <v>0.90718499588591606</v>
      </c>
      <c r="AS57" s="87" t="str">
        <f t="shared" si="35"/>
        <v>tonne/short ton</v>
      </c>
      <c r="AT57" s="87">
        <f t="shared" si="36"/>
        <v>0</v>
      </c>
      <c r="AU57" s="87">
        <f t="shared" si="37"/>
        <v>0</v>
      </c>
      <c r="AV57" s="87">
        <f t="shared" si="18"/>
        <v>0</v>
      </c>
      <c r="AW57" t="str">
        <f t="shared" si="38"/>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IFERROR(INDEX(LCIA_Data,MATCH($AO$15&amp;CM$27,LCIA_Rows_B&amp;LCIA_Rows_C,0),MATCH(CM$26,LCIA_Columns,0)),0)*$AT57*$AJ57*$BN$23</f>
        <v>0</v>
      </c>
      <c r="CN57" s="1">
        <f t="array" ref="CN57">IFERROR(INDEX(LCIA_Data,MATCH($AO$15&amp;CN$27,LCIA_Rows_B&amp;LCIA_Rows_C,0),MATCH(CN$26,LCIA_Columns,0)),0)*$AT57*$AJ57*$BN$23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IFERROR(INDEX(LCIA_Data,MATCH($AO$15&amp;DA$27,LCIA_Rows_B&amp;LCIA_Rows_C,0),MATCH(DA$26,LCIA_Columns,0)),0)*$AT57*$AK57*$BN$23</f>
        <v>0</v>
      </c>
      <c r="DB57" s="1">
        <f t="array" ref="DB57">IFERROR(INDEX(LCIA_Data,MATCH($AO$15&amp;DB$27,LCIA_Rows_B&amp;LCIA_Rows_C,0),MATCH(DB$26,LCIA_Columns,0)),0)*$AT57*$AK57*$BN$23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f t="shared" si="41"/>
        <v>0</v>
      </c>
      <c r="DP57">
        <f t="shared" si="41"/>
        <v>0</v>
      </c>
      <c r="DQ57">
        <f t="shared" si="41"/>
        <v>0</v>
      </c>
      <c r="DR57">
        <f t="shared" si="41"/>
        <v>0</v>
      </c>
      <c r="DS57">
        <f t="shared" si="41"/>
        <v>0</v>
      </c>
      <c r="DT57">
        <f t="shared" si="41"/>
        <v>0</v>
      </c>
      <c r="DU57">
        <f t="shared" si="41"/>
        <v>0</v>
      </c>
      <c r="DV57">
        <f t="shared" si="41"/>
        <v>0</v>
      </c>
      <c r="DW57">
        <f t="shared" si="40"/>
        <v>0</v>
      </c>
      <c r="DX57">
        <f t="shared" si="40"/>
        <v>0</v>
      </c>
      <c r="DY57">
        <f t="shared" si="40"/>
        <v>0</v>
      </c>
      <c r="DZ57">
        <f t="shared" si="40"/>
        <v>0</v>
      </c>
      <c r="EA57">
        <f t="shared" si="40"/>
        <v>0</v>
      </c>
      <c r="EB57">
        <f t="shared" si="21"/>
        <v>0</v>
      </c>
      <c r="EC57"/>
      <c r="ED57"/>
      <c r="EE57"/>
      <c r="EF57"/>
      <c r="EG57"/>
    </row>
    <row r="58" spans="2:137" ht="15" customHeight="1">
      <c r="B58" s="53">
        <f t="shared" si="29"/>
        <v>0</v>
      </c>
      <c r="C58" s="233">
        <f t="shared" si="22"/>
        <v>29</v>
      </c>
      <c r="D58" s="244" t="str">
        <f>'Plant Inputs'!$D58</f>
        <v>Fibre Reinforced Polymer (FRP) wrap</v>
      </c>
      <c r="E58" s="101"/>
      <c r="F58" s="235" t="str">
        <f t="shared" si="39"/>
        <v>short ton</v>
      </c>
      <c r="G58" s="236">
        <f t="shared" si="26"/>
        <v>0</v>
      </c>
      <c r="H58" s="237" t="str">
        <f t="shared" si="7"/>
        <v>short ton</v>
      </c>
      <c r="I58" s="400">
        <f t="shared" si="8"/>
        <v>0</v>
      </c>
      <c r="J58"/>
      <c r="K58"/>
      <c r="L58"/>
      <c r="M58"/>
      <c r="N58"/>
      <c r="O58"/>
      <c r="P58"/>
      <c r="Q58"/>
      <c r="R58"/>
      <c r="S58"/>
      <c r="T58"/>
      <c r="X58" s="67">
        <f t="shared" si="30"/>
        <v>0</v>
      </c>
      <c r="Y58" s="216">
        <f>IF(AND($X58=1,'Plant Inputs'!$Y58=1),1,0)</f>
        <v>0</v>
      </c>
      <c r="Z58" s="216"/>
      <c r="AA58" s="216">
        <f>IF($Y58=0,0,IF('Plant Inputs'!J58="",0,'Plant Inputs'!J58))</f>
        <v>0</v>
      </c>
      <c r="AB58" s="216">
        <f>IF($Y58=0,0,IF('Plant Inputs'!K58="",0,'Plant Inputs'!K58))</f>
        <v>0</v>
      </c>
      <c r="AC58" s="216">
        <f>IF($Y58=0,0,IF('Plant Inputs'!L58="",0,'Plant Inputs'!L58))</f>
        <v>0</v>
      </c>
      <c r="AD58" s="216">
        <f>IF($Y58=0,0,IF('Plant Inputs'!M58="",0,'Plant Inputs'!M58))</f>
        <v>0</v>
      </c>
      <c r="AE58" s="217" t="str">
        <f>'Plant Inputs'!$O58</f>
        <v>mile</v>
      </c>
      <c r="AF58" s="217">
        <f t="shared" si="9"/>
        <v>1.6093473468862911</v>
      </c>
      <c r="AG58" s="216" t="str">
        <f t="shared" si="23"/>
        <v>km/mile</v>
      </c>
      <c r="AH58" s="216">
        <f t="shared" si="42"/>
        <v>0</v>
      </c>
      <c r="AI58" s="216">
        <f t="shared" si="42"/>
        <v>0</v>
      </c>
      <c r="AJ58" s="216">
        <f t="shared" si="42"/>
        <v>0</v>
      </c>
      <c r="AK58" s="216">
        <f t="shared" si="42"/>
        <v>0</v>
      </c>
      <c r="AL58" s="216"/>
      <c r="AM58" s="1" t="str">
        <f t="shared" si="32"/>
        <v>Fibre Reinforced Polymer (FRP) wrap</v>
      </c>
      <c r="AN58" s="12" t="s">
        <v>127</v>
      </c>
      <c r="AO58">
        <f t="shared" si="33"/>
        <v>0</v>
      </c>
      <c r="AP58" s="1">
        <f t="shared" si="24"/>
        <v>0</v>
      </c>
      <c r="AQ58" s="1" t="str">
        <f t="shared" si="34"/>
        <v>short ton</v>
      </c>
      <c r="AR58" s="1">
        <f t="shared" si="14"/>
        <v>0.90718499588591606</v>
      </c>
      <c r="AS58" s="87" t="str">
        <f t="shared" si="35"/>
        <v>tonne/short ton</v>
      </c>
      <c r="AT58" s="87">
        <f t="shared" si="36"/>
        <v>0</v>
      </c>
      <c r="AU58" s="87">
        <f t="shared" si="37"/>
        <v>0</v>
      </c>
      <c r="AV58" s="87">
        <f t="shared" si="18"/>
        <v>0</v>
      </c>
      <c r="AW58" t="str">
        <f t="shared" si="38"/>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IFERROR(INDEX(LCIA_Data,MATCH($AO$15&amp;CM$27,LCIA_Rows_B&amp;LCIA_Rows_C,0),MATCH(CM$26,LCIA_Columns,0)),0)*$AT58*$AJ58*$BN$23</f>
        <v>0</v>
      </c>
      <c r="CN58" s="1">
        <f t="array" ref="CN58">IFERROR(INDEX(LCIA_Data,MATCH($AO$15&amp;CN$27,LCIA_Rows_B&amp;LCIA_Rows_C,0),MATCH(CN$26,LCIA_Columns,0)),0)*$AT58*$AJ58*$BN$23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IFERROR(INDEX(LCIA_Data,MATCH($AO$15&amp;DA$27,LCIA_Rows_B&amp;LCIA_Rows_C,0),MATCH(DA$26,LCIA_Columns,0)),0)*$AT58*$AK58*$BN$23</f>
        <v>0</v>
      </c>
      <c r="DB58" s="1">
        <f t="array" ref="DB58">IFERROR(INDEX(LCIA_Data,MATCH($AO$15&amp;DB$27,LCIA_Rows_B&amp;LCIA_Rows_C,0),MATCH(DB$26,LCIA_Columns,0)),0)*$AT58*$AK58*$BN$23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f t="shared" si="41"/>
        <v>0</v>
      </c>
      <c r="DP58">
        <f t="shared" si="41"/>
        <v>0</v>
      </c>
      <c r="DQ58">
        <f t="shared" si="41"/>
        <v>0</v>
      </c>
      <c r="DR58">
        <f t="shared" si="41"/>
        <v>0</v>
      </c>
      <c r="DS58">
        <f t="shared" si="41"/>
        <v>0</v>
      </c>
      <c r="DT58">
        <f t="shared" si="41"/>
        <v>0</v>
      </c>
      <c r="DU58">
        <f t="shared" si="41"/>
        <v>0</v>
      </c>
      <c r="DV58">
        <f t="shared" si="41"/>
        <v>0</v>
      </c>
      <c r="DW58">
        <f t="shared" si="40"/>
        <v>0</v>
      </c>
      <c r="DX58">
        <f t="shared" si="40"/>
        <v>0</v>
      </c>
      <c r="DY58">
        <f t="shared" si="40"/>
        <v>0</v>
      </c>
      <c r="DZ58">
        <f t="shared" si="40"/>
        <v>0</v>
      </c>
      <c r="EA58">
        <f t="shared" si="40"/>
        <v>0</v>
      </c>
      <c r="EB58">
        <f t="shared" si="21"/>
        <v>0</v>
      </c>
      <c r="EC58"/>
      <c r="ED58"/>
      <c r="EE58"/>
      <c r="EF58"/>
      <c r="EG58"/>
    </row>
    <row r="59" spans="2:137" ht="15" customHeight="1">
      <c r="B59" s="53">
        <f t="shared" si="29"/>
        <v>0</v>
      </c>
      <c r="C59" s="26">
        <f t="shared" si="22"/>
        <v>30</v>
      </c>
      <c r="D59" s="46" t="str">
        <f>'Plant Inputs'!$D59</f>
        <v>Expanded Polystyrene</v>
      </c>
      <c r="E59" s="99"/>
      <c r="F59" s="106" t="s">
        <v>247</v>
      </c>
      <c r="G59" s="158">
        <f t="shared" si="26"/>
        <v>0</v>
      </c>
      <c r="H59" s="204" t="str">
        <f t="shared" si="7"/>
        <v>short ton</v>
      </c>
      <c r="I59" s="399">
        <f t="shared" si="8"/>
        <v>0</v>
      </c>
      <c r="J59"/>
      <c r="K59"/>
      <c r="L59"/>
      <c r="M59"/>
      <c r="N59"/>
      <c r="O59"/>
      <c r="P59"/>
      <c r="Q59"/>
      <c r="R59"/>
      <c r="S59"/>
      <c r="T59"/>
      <c r="X59" s="67">
        <f t="shared" si="30"/>
        <v>0</v>
      </c>
      <c r="Y59" s="216">
        <f>IF(AND($X59=1,'Plant Inputs'!$Y59=1),1,0)</f>
        <v>0</v>
      </c>
      <c r="Z59" s="216"/>
      <c r="AA59" s="216">
        <f>IF($Y59=0,0,IF('Plant Inputs'!J59="",0,'Plant Inputs'!J59))</f>
        <v>0</v>
      </c>
      <c r="AB59" s="216">
        <f>IF($Y59=0,0,IF('Plant Inputs'!K59="",0,'Plant Inputs'!K59))</f>
        <v>0</v>
      </c>
      <c r="AC59" s="216">
        <f>IF($Y59=0,0,IF('Plant Inputs'!L59="",0,'Plant Inputs'!L59))</f>
        <v>0</v>
      </c>
      <c r="AD59" s="216">
        <f>IF($Y59=0,0,IF('Plant Inputs'!M59="",0,'Plant Inputs'!M59))</f>
        <v>0</v>
      </c>
      <c r="AE59" s="217" t="str">
        <f>'Plant Inputs'!$O59</f>
        <v>mile</v>
      </c>
      <c r="AF59" s="217">
        <f t="shared" si="9"/>
        <v>1.6093473468862911</v>
      </c>
      <c r="AG59" s="216" t="str">
        <f t="shared" si="23"/>
        <v>km/mile</v>
      </c>
      <c r="AH59" s="216">
        <f t="shared" si="42"/>
        <v>0</v>
      </c>
      <c r="AI59" s="216">
        <f t="shared" si="42"/>
        <v>0</v>
      </c>
      <c r="AJ59" s="216">
        <f t="shared" si="42"/>
        <v>0</v>
      </c>
      <c r="AK59" s="216">
        <f t="shared" si="42"/>
        <v>0</v>
      </c>
      <c r="AL59" s="216"/>
      <c r="AM59" s="1" t="str">
        <f t="shared" si="32"/>
        <v>Expanded Polystyrene</v>
      </c>
      <c r="AN59" t="s">
        <v>128</v>
      </c>
      <c r="AO59">
        <f t="shared" si="33"/>
        <v>1.6E-2</v>
      </c>
      <c r="AP59" s="1">
        <f t="shared" si="24"/>
        <v>0</v>
      </c>
      <c r="AQ59" s="1" t="str">
        <f t="shared" si="34"/>
        <v>board feet</v>
      </c>
      <c r="AR59" s="1">
        <f t="shared" si="14"/>
        <v>3.7755795455999999E-5</v>
      </c>
      <c r="AS59" s="87" t="str">
        <f t="shared" si="35"/>
        <v>tonne/board feet</v>
      </c>
      <c r="AT59" s="87">
        <f t="shared" si="36"/>
        <v>0</v>
      </c>
      <c r="AU59" s="87">
        <f t="shared" si="37"/>
        <v>0</v>
      </c>
      <c r="AV59" s="87">
        <f t="shared" si="18"/>
        <v>0</v>
      </c>
      <c r="AW59" t="str">
        <f t="shared" si="38"/>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IFERROR(INDEX(LCIA_Data,MATCH($AO$15&amp;CM$27,LCIA_Rows_B&amp;LCIA_Rows_C,0),MATCH(CM$26,LCIA_Columns,0)),0)*$AT59*$AJ59*$BN$23</f>
        <v>0</v>
      </c>
      <c r="CN59" s="1">
        <f t="array" ref="CN59">IFERROR(INDEX(LCIA_Data,MATCH($AO$15&amp;CN$27,LCIA_Rows_B&amp;LCIA_Rows_C,0),MATCH(CN$26,LCIA_Columns,0)),0)*$AT59*$AJ59*$BN$23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IFERROR(INDEX(LCIA_Data,MATCH($AO$15&amp;DA$27,LCIA_Rows_B&amp;LCIA_Rows_C,0),MATCH(DA$26,LCIA_Columns,0)),0)*$AT59*$AK59*$BN$23</f>
        <v>0</v>
      </c>
      <c r="DB59" s="1">
        <f t="array" ref="DB59">IFERROR(INDEX(LCIA_Data,MATCH($AO$15&amp;DB$27,LCIA_Rows_B&amp;LCIA_Rows_C,0),MATCH(DB$26,LCIA_Columns,0)),0)*$AT59*$AK59*$BN$23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f t="shared" si="41"/>
        <v>0</v>
      </c>
      <c r="DP59">
        <f t="shared" si="41"/>
        <v>0</v>
      </c>
      <c r="DQ59">
        <f t="shared" si="41"/>
        <v>0</v>
      </c>
      <c r="DR59">
        <f t="shared" si="41"/>
        <v>0</v>
      </c>
      <c r="DS59">
        <f t="shared" si="41"/>
        <v>0</v>
      </c>
      <c r="DT59">
        <f t="shared" si="41"/>
        <v>0</v>
      </c>
      <c r="DU59">
        <f t="shared" si="41"/>
        <v>0</v>
      </c>
      <c r="DV59">
        <f t="shared" si="41"/>
        <v>0</v>
      </c>
      <c r="DW59">
        <f t="shared" si="40"/>
        <v>0</v>
      </c>
      <c r="DX59">
        <f t="shared" si="40"/>
        <v>0</v>
      </c>
      <c r="DY59">
        <f t="shared" si="40"/>
        <v>0</v>
      </c>
      <c r="DZ59">
        <f t="shared" si="40"/>
        <v>0</v>
      </c>
      <c r="EA59">
        <f t="shared" si="40"/>
        <v>0</v>
      </c>
      <c r="EB59">
        <f t="shared" si="21"/>
        <v>0</v>
      </c>
      <c r="EC59"/>
      <c r="ED59"/>
      <c r="EE59"/>
      <c r="EF59"/>
      <c r="EG59"/>
    </row>
    <row r="60" spans="2:137" ht="15" customHeight="1">
      <c r="B60" s="53">
        <f t="shared" si="29"/>
        <v>0</v>
      </c>
      <c r="C60" s="233">
        <f t="shared" si="22"/>
        <v>31</v>
      </c>
      <c r="D60" s="244" t="str">
        <f>'Plant Inputs'!$D60</f>
        <v>Extruded Polystyrene</v>
      </c>
      <c r="E60" s="101"/>
      <c r="F60" s="248" t="s">
        <v>247</v>
      </c>
      <c r="G60" s="236">
        <f t="shared" si="26"/>
        <v>0</v>
      </c>
      <c r="H60" s="237" t="str">
        <f t="shared" si="7"/>
        <v>short ton</v>
      </c>
      <c r="I60" s="400">
        <f t="shared" si="8"/>
        <v>0</v>
      </c>
      <c r="J60"/>
      <c r="K60"/>
      <c r="L60"/>
      <c r="M60"/>
      <c r="N60"/>
      <c r="O60"/>
      <c r="P60"/>
      <c r="Q60"/>
      <c r="R60"/>
      <c r="S60"/>
      <c r="T60"/>
      <c r="X60" s="67">
        <f t="shared" si="30"/>
        <v>0</v>
      </c>
      <c r="Y60" s="216">
        <f>IF(AND($X60=1,'Plant Inputs'!$Y60=1),1,0)</f>
        <v>0</v>
      </c>
      <c r="Z60" s="216"/>
      <c r="AA60" s="216">
        <f>IF($Y60=0,0,IF('Plant Inputs'!J60="",0,'Plant Inputs'!J60))</f>
        <v>0</v>
      </c>
      <c r="AB60" s="216">
        <f>IF($Y60=0,0,IF('Plant Inputs'!K60="",0,'Plant Inputs'!K60))</f>
        <v>0</v>
      </c>
      <c r="AC60" s="216">
        <f>IF($Y60=0,0,IF('Plant Inputs'!L60="",0,'Plant Inputs'!L60))</f>
        <v>0</v>
      </c>
      <c r="AD60" s="216">
        <f>IF($Y60=0,0,IF('Plant Inputs'!M60="",0,'Plant Inputs'!M60))</f>
        <v>0</v>
      </c>
      <c r="AE60" s="217" t="str">
        <f>'Plant Inputs'!$O60</f>
        <v>mile</v>
      </c>
      <c r="AF60" s="217">
        <f t="shared" si="9"/>
        <v>1.6093473468862911</v>
      </c>
      <c r="AG60" s="216" t="str">
        <f t="shared" si="23"/>
        <v>km/mile</v>
      </c>
      <c r="AH60" s="216">
        <f t="shared" si="42"/>
        <v>0</v>
      </c>
      <c r="AI60" s="216">
        <f t="shared" si="42"/>
        <v>0</v>
      </c>
      <c r="AJ60" s="216">
        <f t="shared" si="42"/>
        <v>0</v>
      </c>
      <c r="AK60" s="216">
        <f t="shared" si="42"/>
        <v>0</v>
      </c>
      <c r="AL60" s="216"/>
      <c r="AM60" s="1" t="str">
        <f t="shared" si="32"/>
        <v>Extruded Polystyrene</v>
      </c>
      <c r="AN60" t="s">
        <v>128</v>
      </c>
      <c r="AO60">
        <f t="shared" si="33"/>
        <v>3.2000000000000001E-2</v>
      </c>
      <c r="AP60" s="1">
        <f t="shared" si="24"/>
        <v>0</v>
      </c>
      <c r="AQ60" s="1" t="str">
        <f t="shared" si="34"/>
        <v>board feet</v>
      </c>
      <c r="AR60" s="1">
        <f t="shared" si="14"/>
        <v>7.5511590911999998E-5</v>
      </c>
      <c r="AS60" s="87" t="str">
        <f t="shared" si="35"/>
        <v>tonne/board feet</v>
      </c>
      <c r="AT60" s="87">
        <f t="shared" si="36"/>
        <v>0</v>
      </c>
      <c r="AU60" s="87">
        <f t="shared" si="37"/>
        <v>0</v>
      </c>
      <c r="AV60" s="87">
        <f t="shared" si="18"/>
        <v>0</v>
      </c>
      <c r="AW60" t="str">
        <f t="shared" si="38"/>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IFERROR(INDEX(LCIA_Data,MATCH($AO$15&amp;CM$27,LCIA_Rows_B&amp;LCIA_Rows_C,0),MATCH(CM$26,LCIA_Columns,0)),0)*$AT60*$AJ60*$BN$23</f>
        <v>0</v>
      </c>
      <c r="CN60" s="1">
        <f t="array" ref="CN60">IFERROR(INDEX(LCIA_Data,MATCH($AO$15&amp;CN$27,LCIA_Rows_B&amp;LCIA_Rows_C,0),MATCH(CN$26,LCIA_Columns,0)),0)*$AT60*$AJ60*$BN$23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IFERROR(INDEX(LCIA_Data,MATCH($AO$15&amp;DA$27,LCIA_Rows_B&amp;LCIA_Rows_C,0),MATCH(DA$26,LCIA_Columns,0)),0)*$AT60*$AK60*$BN$23</f>
        <v>0</v>
      </c>
      <c r="DB60" s="1">
        <f t="array" ref="DB60">IFERROR(INDEX(LCIA_Data,MATCH($AO$15&amp;DB$27,LCIA_Rows_B&amp;LCIA_Rows_C,0),MATCH(DB$26,LCIA_Columns,0)),0)*$AT60*$AK60*$BN$23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f t="shared" si="41"/>
        <v>0</v>
      </c>
      <c r="DP60">
        <f t="shared" si="41"/>
        <v>0</v>
      </c>
      <c r="DQ60">
        <f t="shared" si="41"/>
        <v>0</v>
      </c>
      <c r="DR60">
        <f t="shared" si="41"/>
        <v>0</v>
      </c>
      <c r="DS60">
        <f t="shared" si="41"/>
        <v>0</v>
      </c>
      <c r="DT60">
        <f t="shared" si="41"/>
        <v>0</v>
      </c>
      <c r="DU60">
        <f t="shared" si="41"/>
        <v>0</v>
      </c>
      <c r="DV60">
        <f t="shared" si="41"/>
        <v>0</v>
      </c>
      <c r="DW60">
        <f t="shared" si="40"/>
        <v>0</v>
      </c>
      <c r="DX60">
        <f t="shared" si="40"/>
        <v>0</v>
      </c>
      <c r="DY60">
        <f t="shared" si="40"/>
        <v>0</v>
      </c>
      <c r="DZ60">
        <f t="shared" si="40"/>
        <v>0</v>
      </c>
      <c r="EA60">
        <f t="shared" si="40"/>
        <v>0</v>
      </c>
      <c r="EB60">
        <f t="shared" si="21"/>
        <v>0</v>
      </c>
      <c r="EC60"/>
      <c r="ED60"/>
      <c r="EE60"/>
      <c r="EF60"/>
      <c r="EG60"/>
    </row>
    <row r="61" spans="2:137" ht="15" customHeight="1">
      <c r="B61" s="53">
        <f t="shared" si="29"/>
        <v>0</v>
      </c>
      <c r="C61" s="26">
        <f t="shared" si="22"/>
        <v>32</v>
      </c>
      <c r="D61" s="46" t="str">
        <f>'Plant Inputs'!$D61</f>
        <v>Brick</v>
      </c>
      <c r="E61" s="99"/>
      <c r="F61" s="119" t="str">
        <f>MassDisplayUnit</f>
        <v>short ton</v>
      </c>
      <c r="G61" s="158">
        <f t="shared" si="26"/>
        <v>0</v>
      </c>
      <c r="H61" s="204" t="str">
        <f t="shared" si="7"/>
        <v>short ton</v>
      </c>
      <c r="I61" s="399">
        <f t="shared" si="8"/>
        <v>0</v>
      </c>
      <c r="J61"/>
      <c r="K61"/>
      <c r="L61"/>
      <c r="M61"/>
      <c r="N61"/>
      <c r="O61"/>
      <c r="P61"/>
      <c r="Q61"/>
      <c r="R61"/>
      <c r="S61"/>
      <c r="T61"/>
      <c r="X61" s="67">
        <f t="shared" si="30"/>
        <v>0</v>
      </c>
      <c r="Y61" s="216">
        <f>IF(AND($X61=1,'Plant Inputs'!$Y61=1),1,0)</f>
        <v>0</v>
      </c>
      <c r="Z61" s="216"/>
      <c r="AA61" s="216">
        <f>IF($Y61=0,0,IF('Plant Inputs'!J61="",0,'Plant Inputs'!J61))</f>
        <v>0</v>
      </c>
      <c r="AB61" s="216">
        <f>IF($Y61=0,0,IF('Plant Inputs'!K61="",0,'Plant Inputs'!K61))</f>
        <v>0</v>
      </c>
      <c r="AC61" s="216">
        <f>IF($Y61=0,0,IF('Plant Inputs'!L61="",0,'Plant Inputs'!L61))</f>
        <v>0</v>
      </c>
      <c r="AD61" s="216">
        <f>IF($Y61=0,0,IF('Plant Inputs'!M61="",0,'Plant Inputs'!M61))</f>
        <v>0</v>
      </c>
      <c r="AE61" s="217" t="str">
        <f>'Plant Inputs'!$O61</f>
        <v>mile</v>
      </c>
      <c r="AF61" s="217">
        <f t="shared" si="9"/>
        <v>1.6093473468862911</v>
      </c>
      <c r="AG61" s="216" t="str">
        <f t="shared" si="23"/>
        <v>km/mile</v>
      </c>
      <c r="AH61" s="216">
        <f t="shared" si="42"/>
        <v>0</v>
      </c>
      <c r="AI61" s="216">
        <f t="shared" si="42"/>
        <v>0</v>
      </c>
      <c r="AJ61" s="216">
        <f t="shared" si="42"/>
        <v>0</v>
      </c>
      <c r="AK61" s="216">
        <f t="shared" si="42"/>
        <v>0</v>
      </c>
      <c r="AL61" s="216"/>
      <c r="AM61" s="1" t="str">
        <f t="shared" si="32"/>
        <v>Brick</v>
      </c>
      <c r="AN61" t="s">
        <v>127</v>
      </c>
      <c r="AO61">
        <f t="shared" si="33"/>
        <v>0</v>
      </c>
      <c r="AP61" s="1">
        <f t="shared" si="24"/>
        <v>0</v>
      </c>
      <c r="AQ61" s="1" t="str">
        <f t="shared" si="34"/>
        <v>short ton</v>
      </c>
      <c r="AR61" s="1">
        <f t="shared" si="14"/>
        <v>0.90718499588591606</v>
      </c>
      <c r="AS61" s="87" t="str">
        <f t="shared" si="35"/>
        <v>tonne/short ton</v>
      </c>
      <c r="AT61" s="87">
        <f t="shared" si="36"/>
        <v>0</v>
      </c>
      <c r="AU61" s="87">
        <f t="shared" si="37"/>
        <v>0</v>
      </c>
      <c r="AV61" s="87">
        <f t="shared" si="18"/>
        <v>0</v>
      </c>
      <c r="AW61" t="str">
        <f t="shared" si="38"/>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IFERROR(INDEX(LCIA_Data,MATCH($AO$15&amp;CM$27,LCIA_Rows_B&amp;LCIA_Rows_C,0),MATCH(CM$26,LCIA_Columns,0)),0)*$AT61*$AJ61*$BN$23</f>
        <v>0</v>
      </c>
      <c r="CN61" s="1">
        <f t="array" ref="CN61">IFERROR(INDEX(LCIA_Data,MATCH($AO$15&amp;CN$27,LCIA_Rows_B&amp;LCIA_Rows_C,0),MATCH(CN$26,LCIA_Columns,0)),0)*$AT61*$AJ61*$BN$23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IFERROR(INDEX(LCIA_Data,MATCH($AO$15&amp;DA$27,LCIA_Rows_B&amp;LCIA_Rows_C,0),MATCH(DA$26,LCIA_Columns,0)),0)*$AT61*$AK61*$BN$23</f>
        <v>0</v>
      </c>
      <c r="DB61" s="1">
        <f t="array" ref="DB61">IFERROR(INDEX(LCIA_Data,MATCH($AO$15&amp;DB$27,LCIA_Rows_B&amp;LCIA_Rows_C,0),MATCH(DB$26,LCIA_Columns,0)),0)*$AT61*$AK61*$BN$23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f t="shared" si="41"/>
        <v>0</v>
      </c>
      <c r="DP61">
        <f t="shared" si="41"/>
        <v>0</v>
      </c>
      <c r="DQ61">
        <f t="shared" si="41"/>
        <v>0</v>
      </c>
      <c r="DR61">
        <f t="shared" si="41"/>
        <v>0</v>
      </c>
      <c r="DS61">
        <f t="shared" si="41"/>
        <v>0</v>
      </c>
      <c r="DT61">
        <f t="shared" si="41"/>
        <v>0</v>
      </c>
      <c r="DU61">
        <f t="shared" si="41"/>
        <v>0</v>
      </c>
      <c r="DV61">
        <f t="shared" si="41"/>
        <v>0</v>
      </c>
      <c r="DW61">
        <f t="shared" si="40"/>
        <v>0</v>
      </c>
      <c r="DX61">
        <f t="shared" si="40"/>
        <v>0</v>
      </c>
      <c r="DY61">
        <f t="shared" si="40"/>
        <v>0</v>
      </c>
      <c r="DZ61">
        <f t="shared" si="40"/>
        <v>0</v>
      </c>
      <c r="EA61">
        <f t="shared" si="40"/>
        <v>0</v>
      </c>
      <c r="EB61">
        <f t="shared" si="21"/>
        <v>0</v>
      </c>
      <c r="EC61"/>
      <c r="ED61"/>
      <c r="EE61"/>
      <c r="EF61"/>
      <c r="EG61"/>
    </row>
    <row r="62" spans="2:137" ht="15" customHeight="1">
      <c r="B62" s="53">
        <f t="shared" si="29"/>
        <v>0</v>
      </c>
      <c r="C62" s="26">
        <f t="shared" si="22"/>
        <v>33</v>
      </c>
      <c r="D62" s="46" t="str">
        <f>'Plant Inputs'!$D62</f>
        <v>Natural Stone</v>
      </c>
      <c r="E62" s="99"/>
      <c r="F62" s="119" t="str">
        <f>MassDisplayUnit</f>
        <v>short ton</v>
      </c>
      <c r="G62" s="158">
        <f t="shared" si="26"/>
        <v>0</v>
      </c>
      <c r="H62" s="204" t="str">
        <f t="shared" si="7"/>
        <v>short ton</v>
      </c>
      <c r="I62" s="156">
        <f t="shared" si="8"/>
        <v>0</v>
      </c>
      <c r="J62"/>
      <c r="K62"/>
      <c r="L62"/>
      <c r="M62"/>
      <c r="N62"/>
      <c r="O62"/>
      <c r="P62"/>
      <c r="Q62"/>
      <c r="R62"/>
      <c r="S62"/>
      <c r="T62"/>
      <c r="X62" s="67">
        <f t="shared" si="30"/>
        <v>0</v>
      </c>
      <c r="Y62" s="216">
        <f>IF(AND($X62=1,'Plant Inputs'!$Y62=1),1,0)</f>
        <v>0</v>
      </c>
      <c r="Z62" s="216"/>
      <c r="AA62" s="216">
        <f>IF($Y62=0,0,IF('Plant Inputs'!J62="",0,'Plant Inputs'!J62))</f>
        <v>0</v>
      </c>
      <c r="AB62" s="216">
        <f>IF($Y62=0,0,IF('Plant Inputs'!K62="",0,'Plant Inputs'!K62))</f>
        <v>0</v>
      </c>
      <c r="AC62" s="216">
        <f>IF($Y62=0,0,IF('Plant Inputs'!L62="",0,'Plant Inputs'!L62))</f>
        <v>0</v>
      </c>
      <c r="AD62" s="216">
        <f>IF($Y62=0,0,IF('Plant Inputs'!M62="",0,'Plant Inputs'!M62))</f>
        <v>0</v>
      </c>
      <c r="AE62" s="217" t="str">
        <f>'Plant Inputs'!$O62</f>
        <v>mile</v>
      </c>
      <c r="AF62" s="217">
        <f t="shared" si="9"/>
        <v>1.6093473468862911</v>
      </c>
      <c r="AG62" s="216" t="str">
        <f t="shared" si="23"/>
        <v>km/mile</v>
      </c>
      <c r="AH62" s="216">
        <f t="shared" si="42"/>
        <v>0</v>
      </c>
      <c r="AI62" s="216">
        <f t="shared" si="42"/>
        <v>0</v>
      </c>
      <c r="AJ62" s="216">
        <f t="shared" si="42"/>
        <v>0</v>
      </c>
      <c r="AK62" s="216">
        <f t="shared" si="42"/>
        <v>0</v>
      </c>
      <c r="AL62" s="216"/>
      <c r="AM62" s="1" t="str">
        <f t="shared" si="32"/>
        <v>Natural Stone</v>
      </c>
      <c r="AN62" t="s">
        <v>127</v>
      </c>
      <c r="AO62">
        <f t="shared" si="33"/>
        <v>0</v>
      </c>
      <c r="AP62" s="1">
        <f t="shared" si="24"/>
        <v>0</v>
      </c>
      <c r="AQ62" s="1" t="str">
        <f t="shared" si="34"/>
        <v>short ton</v>
      </c>
      <c r="AR62" s="1">
        <f t="shared" si="14"/>
        <v>0.90718499588591606</v>
      </c>
      <c r="AS62" s="87" t="str">
        <f t="shared" si="35"/>
        <v>tonne/short ton</v>
      </c>
      <c r="AT62" s="87">
        <f t="shared" si="36"/>
        <v>0</v>
      </c>
      <c r="AU62" s="87">
        <f t="shared" si="37"/>
        <v>0</v>
      </c>
      <c r="AV62" s="87">
        <f t="shared" si="18"/>
        <v>0</v>
      </c>
      <c r="AW62" t="str">
        <f t="shared" si="38"/>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IFERROR(INDEX(LCIA_Data,MATCH($AO$15&amp;CM$27,LCIA_Rows_B&amp;LCIA_Rows_C,0),MATCH(CM$26,LCIA_Columns,0)),0)*$AT62*$AJ62*$BN$23</f>
        <v>0</v>
      </c>
      <c r="CN62" s="1">
        <f t="array" ref="CN62">IFERROR(INDEX(LCIA_Data,MATCH($AO$15&amp;CN$27,LCIA_Rows_B&amp;LCIA_Rows_C,0),MATCH(CN$26,LCIA_Columns,0)),0)*$AT62*$AJ62*$BN$23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IFERROR(INDEX(LCIA_Data,MATCH($AO$15&amp;DA$27,LCIA_Rows_B&amp;LCIA_Rows_C,0),MATCH(DA$26,LCIA_Columns,0)),0)*$AT62*$AK62*$BN$23</f>
        <v>0</v>
      </c>
      <c r="DB62" s="1">
        <f t="array" ref="DB62">IFERROR(INDEX(LCIA_Data,MATCH($AO$15&amp;DB$27,LCIA_Rows_B&amp;LCIA_Rows_C,0),MATCH(DB$26,LCIA_Columns,0)),0)*$AT62*$AK62*$BN$23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f t="shared" si="41"/>
        <v>0</v>
      </c>
      <c r="DP62">
        <f t="shared" si="41"/>
        <v>0</v>
      </c>
      <c r="DQ62">
        <f t="shared" si="41"/>
        <v>0</v>
      </c>
      <c r="DR62">
        <f t="shared" si="41"/>
        <v>0</v>
      </c>
      <c r="DS62">
        <f t="shared" si="41"/>
        <v>0</v>
      </c>
      <c r="DT62">
        <f t="shared" si="41"/>
        <v>0</v>
      </c>
      <c r="DU62">
        <f t="shared" si="41"/>
        <v>0</v>
      </c>
      <c r="DV62">
        <f t="shared" si="41"/>
        <v>0</v>
      </c>
      <c r="DW62">
        <f t="shared" si="40"/>
        <v>0</v>
      </c>
      <c r="DX62">
        <f t="shared" si="40"/>
        <v>0</v>
      </c>
      <c r="DY62">
        <f t="shared" si="40"/>
        <v>0</v>
      </c>
      <c r="DZ62">
        <f t="shared" si="40"/>
        <v>0</v>
      </c>
      <c r="EA62">
        <f t="shared" si="40"/>
        <v>0</v>
      </c>
      <c r="EB62">
        <f t="shared" si="21"/>
        <v>0</v>
      </c>
      <c r="EC62"/>
      <c r="ED62"/>
      <c r="EE62"/>
      <c r="EF62"/>
      <c r="EG62"/>
    </row>
    <row r="63" spans="2:137" ht="15" customHeight="1" thickBot="1">
      <c r="B63" s="53">
        <f t="shared" si="29"/>
        <v>0</v>
      </c>
      <c r="C63" s="32">
        <f t="shared" si="22"/>
        <v>34</v>
      </c>
      <c r="D63" s="47" t="str">
        <f>'Plant Inputs'!$D63</f>
        <v>Pigments</v>
      </c>
      <c r="E63" s="102"/>
      <c r="F63" s="231" t="str">
        <f>MassDisplayUnit</f>
        <v>short ton</v>
      </c>
      <c r="G63" s="228">
        <f t="shared" si="26"/>
        <v>0</v>
      </c>
      <c r="H63" s="227" t="str">
        <f t="shared" si="7"/>
        <v>short ton</v>
      </c>
      <c r="I63" s="157">
        <f t="shared" si="8"/>
        <v>0</v>
      </c>
      <c r="J63"/>
      <c r="K63"/>
      <c r="L63"/>
      <c r="M63"/>
      <c r="N63"/>
      <c r="O63"/>
      <c r="P63"/>
      <c r="Q63"/>
      <c r="R63"/>
      <c r="S63"/>
      <c r="T63"/>
      <c r="X63" s="67">
        <f t="shared" si="30"/>
        <v>0</v>
      </c>
      <c r="Y63" s="216">
        <f>IF(AND($X63=1,'Plant Inputs'!$Y63=1),1,0)</f>
        <v>0</v>
      </c>
      <c r="Z63" s="216"/>
      <c r="AA63" s="216">
        <f>IF($Y63=0,0,IF('Plant Inputs'!J63="",0,'Plant Inputs'!J63))</f>
        <v>0</v>
      </c>
      <c r="AB63" s="216">
        <f>IF($Y63=0,0,IF('Plant Inputs'!K63="",0,'Plant Inputs'!K63))</f>
        <v>0</v>
      </c>
      <c r="AC63" s="216">
        <f>IF($Y63=0,0,IF('Plant Inputs'!L63="",0,'Plant Inputs'!L63))</f>
        <v>0</v>
      </c>
      <c r="AD63" s="216">
        <f>IF($Y63=0,0,IF('Plant Inputs'!M63="",0,'Plant Inputs'!M63))</f>
        <v>0</v>
      </c>
      <c r="AE63" s="217" t="str">
        <f>'Plant Inputs'!$O63</f>
        <v>mile</v>
      </c>
      <c r="AF63" s="217">
        <f t="shared" si="9"/>
        <v>1.6093473468862911</v>
      </c>
      <c r="AG63" s="216" t="str">
        <f t="shared" si="23"/>
        <v>km/mile</v>
      </c>
      <c r="AH63" s="216">
        <f t="shared" si="42"/>
        <v>0</v>
      </c>
      <c r="AI63" s="216">
        <f t="shared" si="42"/>
        <v>0</v>
      </c>
      <c r="AJ63" s="216">
        <f t="shared" si="42"/>
        <v>0</v>
      </c>
      <c r="AK63" s="216">
        <f t="shared" si="42"/>
        <v>0</v>
      </c>
      <c r="AL63" s="216"/>
      <c r="AM63" s="1" t="str">
        <f t="shared" si="32"/>
        <v>Pigments</v>
      </c>
      <c r="AN63" t="s">
        <v>127</v>
      </c>
      <c r="AO63">
        <f t="shared" si="33"/>
        <v>0</v>
      </c>
      <c r="AP63" s="1">
        <f t="shared" si="24"/>
        <v>0</v>
      </c>
      <c r="AQ63" s="1" t="str">
        <f t="shared" si="34"/>
        <v>short ton</v>
      </c>
      <c r="AR63" s="1">
        <f t="shared" si="14"/>
        <v>0.90718499588591606</v>
      </c>
      <c r="AS63" s="87" t="str">
        <f t="shared" si="35"/>
        <v>tonne/short ton</v>
      </c>
      <c r="AT63" s="87">
        <f t="shared" si="36"/>
        <v>0</v>
      </c>
      <c r="AU63" s="87">
        <f t="shared" si="37"/>
        <v>0</v>
      </c>
      <c r="AV63" s="87">
        <f t="shared" si="18"/>
        <v>0</v>
      </c>
      <c r="AW63" t="str">
        <f t="shared" si="38"/>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IFERROR(INDEX(LCIA_Data,MATCH($AO$15&amp;CM$27,LCIA_Rows_B&amp;LCIA_Rows_C,0),MATCH(CM$26,LCIA_Columns,0)),0)*$AT63*$AJ63*$BN$23</f>
        <v>0</v>
      </c>
      <c r="CN63" s="1">
        <f t="array" ref="CN63">IFERROR(INDEX(LCIA_Data,MATCH($AO$15&amp;CN$27,LCIA_Rows_B&amp;LCIA_Rows_C,0),MATCH(CN$26,LCIA_Columns,0)),0)*$AT63*$AJ63*$BN$23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IFERROR(INDEX(LCIA_Data,MATCH($AO$15&amp;DA$27,LCIA_Rows_B&amp;LCIA_Rows_C,0),MATCH(DA$26,LCIA_Columns,0)),0)*$AT63*$AK63*$BN$23</f>
        <v>0</v>
      </c>
      <c r="DB63" s="1">
        <f t="array" ref="DB63">IFERROR(INDEX(LCIA_Data,MATCH($AO$15&amp;DB$27,LCIA_Rows_B&amp;LCIA_Rows_C,0),MATCH(DB$26,LCIA_Columns,0)),0)*$AT63*$AK63*$BN$23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f t="shared" si="41"/>
        <v>0</v>
      </c>
      <c r="DP63">
        <f t="shared" si="41"/>
        <v>0</v>
      </c>
      <c r="DQ63">
        <f t="shared" si="41"/>
        <v>0</v>
      </c>
      <c r="DR63">
        <f t="shared" si="41"/>
        <v>0</v>
      </c>
      <c r="DS63">
        <f t="shared" si="41"/>
        <v>0</v>
      </c>
      <c r="DT63">
        <f t="shared" si="41"/>
        <v>0</v>
      </c>
      <c r="DU63">
        <f t="shared" si="41"/>
        <v>0</v>
      </c>
      <c r="DV63">
        <f t="shared" si="41"/>
        <v>0</v>
      </c>
      <c r="DW63">
        <f t="shared" si="40"/>
        <v>0</v>
      </c>
      <c r="DX63">
        <f t="shared" si="40"/>
        <v>0</v>
      </c>
      <c r="DY63">
        <f t="shared" si="40"/>
        <v>0</v>
      </c>
      <c r="DZ63">
        <f t="shared" si="40"/>
        <v>0</v>
      </c>
      <c r="EA63">
        <f t="shared" si="40"/>
        <v>0</v>
      </c>
      <c r="EB63">
        <f t="shared" si="21"/>
        <v>0</v>
      </c>
      <c r="EC63"/>
      <c r="ED63"/>
      <c r="EE63"/>
      <c r="EF63"/>
      <c r="EG63"/>
    </row>
    <row r="64" spans="2:137" ht="15" customHeight="1" thickBot="1">
      <c r="B64" s="53">
        <f t="shared" si="29"/>
        <v>0</v>
      </c>
      <c r="C64" s="345">
        <f t="shared" si="22"/>
        <v>35</v>
      </c>
      <c r="D64" s="346" t="str">
        <f>'Plant Inputs'!$D64</f>
        <v>Net Consumables</v>
      </c>
      <c r="E64" s="347"/>
      <c r="F64" s="348" t="str">
        <f>VolumeDisplayUnit</f>
        <v>gallon</v>
      </c>
      <c r="G64" s="349">
        <f t="shared" si="26"/>
        <v>0</v>
      </c>
      <c r="H64" s="350" t="str">
        <f t="shared" si="7"/>
        <v>short ton</v>
      </c>
      <c r="I64" s="401">
        <f t="shared" si="8"/>
        <v>0</v>
      </c>
      <c r="J64"/>
      <c r="K64"/>
      <c r="L64"/>
      <c r="M64"/>
      <c r="N64"/>
      <c r="O64"/>
      <c r="P64"/>
      <c r="Q64"/>
      <c r="R64"/>
      <c r="S64"/>
      <c r="T64"/>
      <c r="X64" s="67">
        <f t="shared" si="30"/>
        <v>0</v>
      </c>
      <c r="Y64" s="216">
        <f>IF(AND($X64=1,'Plant Inputs'!$Y64=1),1,0)</f>
        <v>0</v>
      </c>
      <c r="Z64" s="216"/>
      <c r="AA64" s="216">
        <f>IF($Y64=0,0,IF('Plant Inputs'!J64="",0,'Plant Inputs'!J64))</f>
        <v>0</v>
      </c>
      <c r="AB64" s="216">
        <f>IF($Y64=0,0,IF('Plant Inputs'!K64="",0,'Plant Inputs'!K64))</f>
        <v>0</v>
      </c>
      <c r="AC64" s="216">
        <f>IF($Y64=0,0,IF('Plant Inputs'!L64="",0,'Plant Inputs'!L64))</f>
        <v>0</v>
      </c>
      <c r="AD64" s="216">
        <f>IF($Y64=0,0,IF('Plant Inputs'!M64="",0,'Plant Inputs'!M64))</f>
        <v>0</v>
      </c>
      <c r="AE64" s="217" t="str">
        <f>'Plant Inputs'!$O64</f>
        <v>mile</v>
      </c>
      <c r="AF64" s="217">
        <f t="shared" si="9"/>
        <v>1.6093473468862911</v>
      </c>
      <c r="AG64" s="216" t="str">
        <f t="shared" si="23"/>
        <v>km/mile</v>
      </c>
      <c r="AH64" s="216">
        <f t="shared" si="42"/>
        <v>0</v>
      </c>
      <c r="AI64" s="216">
        <f t="shared" si="42"/>
        <v>0</v>
      </c>
      <c r="AJ64" s="216">
        <f t="shared" si="42"/>
        <v>0</v>
      </c>
      <c r="AK64" s="216">
        <f t="shared" si="42"/>
        <v>0</v>
      </c>
      <c r="AL64" s="216"/>
      <c r="AM64" s="1" t="str">
        <f t="shared" si="32"/>
        <v>Net Consumables</v>
      </c>
      <c r="AN64" t="s">
        <v>128</v>
      </c>
      <c r="AO64">
        <f t="shared" si="33"/>
        <v>0.9</v>
      </c>
      <c r="AP64" s="1">
        <f t="shared" si="24"/>
        <v>0</v>
      </c>
      <c r="AQ64" s="1" t="str">
        <f t="shared" si="34"/>
        <v>gallon</v>
      </c>
      <c r="AR64" s="1">
        <f t="shared" si="14"/>
        <v>3.4068708000000005E-3</v>
      </c>
      <c r="AS64" s="87" t="str">
        <f t="shared" si="35"/>
        <v>tonne/gallon</v>
      </c>
      <c r="AT64" s="87">
        <f t="shared" si="36"/>
        <v>0</v>
      </c>
      <c r="AU64" s="87">
        <f t="shared" si="37"/>
        <v>0</v>
      </c>
      <c r="AV64" s="87">
        <f t="shared" si="18"/>
        <v>0</v>
      </c>
      <c r="AW64" t="str">
        <f t="shared" si="38"/>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IFERROR(INDEX(LCIA_Data,MATCH($AO$15&amp;CM$27,LCIA_Rows_B&amp;LCIA_Rows_C,0),MATCH(CM$26,LCIA_Columns,0)),0)*$AT64*$AJ64*$BN$23</f>
        <v>0</v>
      </c>
      <c r="CN64" s="1">
        <f t="array" ref="CN64">IFERROR(INDEX(LCIA_Data,MATCH($AO$15&amp;CN$27,LCIA_Rows_B&amp;LCIA_Rows_C,0),MATCH(CN$26,LCIA_Columns,0)),0)*$AT64*$AJ64*$BN$23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IFERROR(INDEX(LCIA_Data,MATCH($AO$15&amp;DA$27,LCIA_Rows_B&amp;LCIA_Rows_C,0),MATCH(DA$26,LCIA_Columns,0)),0)*$AT64*$AK64*$BN$23</f>
        <v>0</v>
      </c>
      <c r="DB64" s="1">
        <f t="array" ref="DB64">IFERROR(INDEX(LCIA_Data,MATCH($AO$15&amp;DB$27,LCIA_Rows_B&amp;LCIA_Rows_C,0),MATCH(DB$26,LCIA_Columns,0)),0)*$AT64*$AK64*$BN$23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f t="shared" si="41"/>
        <v>0</v>
      </c>
      <c r="DP64">
        <f t="shared" si="41"/>
        <v>0</v>
      </c>
      <c r="DQ64">
        <f t="shared" si="41"/>
        <v>0</v>
      </c>
      <c r="DR64">
        <f t="shared" si="41"/>
        <v>0</v>
      </c>
      <c r="DS64">
        <f t="shared" si="41"/>
        <v>0</v>
      </c>
      <c r="DT64">
        <f t="shared" si="41"/>
        <v>0</v>
      </c>
      <c r="DU64">
        <f t="shared" si="41"/>
        <v>0</v>
      </c>
      <c r="DV64">
        <f t="shared" si="41"/>
        <v>0</v>
      </c>
      <c r="DW64">
        <f t="shared" si="40"/>
        <v>0</v>
      </c>
      <c r="DX64">
        <f t="shared" si="40"/>
        <v>0</v>
      </c>
      <c r="DY64">
        <f t="shared" si="40"/>
        <v>0</v>
      </c>
      <c r="DZ64">
        <f t="shared" si="40"/>
        <v>0</v>
      </c>
      <c r="EA64">
        <f t="shared" si="40"/>
        <v>0</v>
      </c>
      <c r="EB64">
        <f t="shared" si="21"/>
        <v>0</v>
      </c>
      <c r="EC64"/>
      <c r="ED64"/>
      <c r="EE64"/>
      <c r="EF64"/>
      <c r="EG64"/>
    </row>
    <row r="65" spans="2:137" ht="15" customHeight="1" thickBot="1">
      <c r="B65" s="53">
        <f>X65</f>
        <v>0</v>
      </c>
      <c r="C65" s="221">
        <f t="shared" si="22"/>
        <v>36</v>
      </c>
      <c r="D65" s="222" t="str">
        <f>'Plant Inputs'!$D65</f>
        <v>Total Batch Water Use</v>
      </c>
      <c r="E65" s="343"/>
      <c r="F65" s="240" t="str">
        <f>WaterTotalDisplayUnit</f>
        <v>kgal</v>
      </c>
      <c r="G65" s="224">
        <f t="shared" si="26"/>
        <v>0</v>
      </c>
      <c r="H65" s="225" t="str">
        <f t="shared" si="7"/>
        <v>short ton</v>
      </c>
      <c r="I65" s="344">
        <f t="shared" si="8"/>
        <v>0</v>
      </c>
      <c r="J65"/>
      <c r="K65"/>
      <c r="L65"/>
      <c r="M65" s="50"/>
      <c r="N65" s="50"/>
      <c r="O65" s="50"/>
      <c r="P65" s="50"/>
      <c r="Q65" s="50"/>
      <c r="R65" s="50"/>
      <c r="S65" s="50"/>
      <c r="T65"/>
      <c r="X65" s="67">
        <f t="shared" si="30"/>
        <v>0</v>
      </c>
      <c r="Y65" s="216">
        <f>IF(AND($X65=1,'Plant Inputs'!$Y65=1),1,0)</f>
        <v>0</v>
      </c>
      <c r="Z65" s="216"/>
      <c r="AA65" s="216"/>
      <c r="AB65" s="216"/>
      <c r="AC65" s="216"/>
      <c r="AD65" s="216"/>
      <c r="AE65" s="217"/>
      <c r="AF65" s="217"/>
      <c r="AG65" s="216"/>
      <c r="AH65" s="216"/>
      <c r="AI65" s="216"/>
      <c r="AJ65" s="216"/>
      <c r="AK65" s="216"/>
      <c r="AL65" s="216"/>
      <c r="AM65" s="1" t="str">
        <f>D65</f>
        <v>Total Batch Water Use</v>
      </c>
      <c r="AN65" t="s">
        <v>128</v>
      </c>
      <c r="AO65">
        <f t="shared" si="33"/>
        <v>1</v>
      </c>
      <c r="AP65" s="1">
        <f t="shared" si="24"/>
        <v>0</v>
      </c>
      <c r="AQ65" s="1" t="str">
        <f t="shared" si="34"/>
        <v>kgal</v>
      </c>
      <c r="AR65" s="1">
        <f t="shared" si="14"/>
        <v>3.7854120000000004</v>
      </c>
      <c r="AS65" s="87" t="str">
        <f t="shared" si="35"/>
        <v>tonne/kgal</v>
      </c>
      <c r="AT65" s="87">
        <f t="shared" si="36"/>
        <v>0</v>
      </c>
      <c r="AU65" s="87">
        <f t="shared" si="37"/>
        <v>0</v>
      </c>
      <c r="AV65" s="87">
        <f t="shared" si="18"/>
        <v>0</v>
      </c>
      <c r="AW65" t="str">
        <f t="shared" si="38"/>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R65" s="1"/>
      <c r="BS65" s="1"/>
      <c r="BT65" s="1"/>
      <c r="BU65" s="1"/>
      <c r="BV65" s="1"/>
      <c r="BW65" s="1"/>
      <c r="BX65" s="1"/>
      <c r="BY65" s="1"/>
      <c r="BZ65" s="1"/>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row>
    <row r="66" spans="2:137" ht="15" customHeight="1">
      <c r="B66" s="53">
        <f>X66</f>
        <v>0</v>
      </c>
      <c r="C66" s="26">
        <f t="shared" si="22"/>
        <v>37</v>
      </c>
      <c r="D66" s="46" t="str">
        <f>'Plant Inputs'!$D66</f>
        <v>Total Plant Water Use</v>
      </c>
      <c r="E66" s="422">
        <f>'Plant Inputs'!$AY$12*$AR$18*INDEX(Conversion_Table,MATCH(WaterCalcUnit,Conversion_Rows,0),MATCH($F$66,Conversion_Columns,0))</f>
        <v>0</v>
      </c>
      <c r="F66" s="204" t="str">
        <f>'Plant Inputs'!F66</f>
        <v>kgal</v>
      </c>
      <c r="G66" s="158">
        <f t="shared" si="26"/>
        <v>0</v>
      </c>
      <c r="H66" s="213" t="str">
        <f t="shared" si="7"/>
        <v>short ton</v>
      </c>
      <c r="I66" s="219"/>
      <c r="J66"/>
      <c r="K66"/>
      <c r="L66"/>
      <c r="M66" s="50"/>
      <c r="N66" s="50"/>
      <c r="O66" s="50"/>
      <c r="P66" s="50"/>
      <c r="Q66" s="50"/>
      <c r="R66" s="50"/>
      <c r="S66" s="50"/>
      <c r="T66" s="51"/>
      <c r="X66" s="67">
        <f>'Plant Inputs'!X66</f>
        <v>0</v>
      </c>
      <c r="Y66" s="216">
        <f>IF(AND($X66=1,'Plant Inputs'!$Y66=1),1,0)</f>
        <v>0</v>
      </c>
      <c r="Z66" s="216"/>
      <c r="AA66" s="216"/>
      <c r="AB66" s="216"/>
      <c r="AC66" s="216"/>
      <c r="AD66" s="216"/>
      <c r="AE66" s="217"/>
      <c r="AF66" s="217"/>
      <c r="AG66" s="216"/>
      <c r="AH66" s="216"/>
      <c r="AI66" s="216"/>
      <c r="AJ66" s="216"/>
      <c r="AK66" s="216"/>
      <c r="AL66" s="216"/>
      <c r="AM66" s="1" t="str">
        <f>D66</f>
        <v>Total Plant Water Use</v>
      </c>
      <c r="AN66" t="s">
        <v>128</v>
      </c>
      <c r="AO66">
        <f>VLOOKUP(AM66,Material_Densities,2,FALSE)</f>
        <v>1</v>
      </c>
      <c r="AP66" s="1">
        <f t="shared" si="24"/>
        <v>0</v>
      </c>
      <c r="AQ66" s="1" t="str">
        <f>F66</f>
        <v>kgal</v>
      </c>
      <c r="AR66" s="1">
        <f t="shared" si="14"/>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 t="array" ref="AX66">IFERROR(INDEX(LCIA_Data,MATCH($AO$15&amp;AX$27,LCIA_Rows_B&amp;LCIA_Rows_C,0),MATCH($D66,LCIA_Columns,0)),0)*$AU66</f>
        <v>0</v>
      </c>
      <c r="AY66" s="148">
        <f t="array" ref="AY66">IFERROR(INDEX(LCIA_Data,MATCH($AO$15&amp;AY$27,LCIA_Rows_B&amp;LCIA_Rows_C,0),MATCH($D66,LCIA_Columns,0)),0)*$AU66</f>
        <v>0</v>
      </c>
      <c r="AZ66" s="148">
        <f t="array" ref="AZ66">IFERROR(INDEX(LCIA_Data,MATCH($AO$15&amp;AZ$27,LCIA_Rows_B&amp;LCIA_Rows_C,0),MATCH($D66,LCIA_Columns,0)),0)*$AU66</f>
        <v>0</v>
      </c>
      <c r="BA66" s="148">
        <f t="array" ref="BA66">IFERROR(INDEX(LCIA_Data,MATCH($AO$15&amp;BA$27,LCIA_Rows_B&amp;LCIA_Rows_C,0),MATCH($D66,LCIA_Columns,0)),0)*$AU66</f>
        <v>0</v>
      </c>
      <c r="BB66" s="148">
        <f t="array" ref="BB66">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R66" s="1"/>
      <c r="BS66" s="1"/>
      <c r="BT66" s="1"/>
      <c r="BU66" s="1"/>
      <c r="BV66" s="1"/>
      <c r="BW66" s="1"/>
      <c r="BX66" s="1"/>
      <c r="BY66" s="1"/>
      <c r="BZ66" s="1"/>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row>
    <row r="67" spans="2:137" ht="15" customHeight="1" thickBot="1">
      <c r="B67" s="53">
        <f>X67</f>
        <v>0</v>
      </c>
      <c r="C67" s="32">
        <f t="shared" si="22"/>
        <v>38</v>
      </c>
      <c r="D67" s="47" t="str">
        <f>'Plant Inputs'!$D67</f>
        <v>Percentage of Batch Water that is Recycled Water</v>
      </c>
      <c r="E67" s="423">
        <f>'Plant Inputs'!E67</f>
        <v>0</v>
      </c>
      <c r="F67" s="204" t="s">
        <v>153</v>
      </c>
      <c r="G67" s="158"/>
      <c r="H67" s="213"/>
      <c r="I67" s="218"/>
      <c r="J67"/>
      <c r="K67"/>
      <c r="L67"/>
      <c r="M67" s="50"/>
      <c r="N67" s="50"/>
      <c r="O67" s="50"/>
      <c r="P67" s="50"/>
      <c r="Q67" s="50"/>
      <c r="R67" s="50"/>
      <c r="S67" s="50"/>
      <c r="T67" s="51"/>
      <c r="X67" s="67">
        <f>'Plant Inputs'!X67</f>
        <v>0</v>
      </c>
      <c r="Y67" s="216">
        <f>IF(AND($X67=1,'Plant Inputs'!$Y67=1),1,0)</f>
        <v>0</v>
      </c>
      <c r="Z67" s="216"/>
      <c r="AA67" s="216"/>
      <c r="AB67" s="216"/>
      <c r="AC67" s="216"/>
      <c r="AD67" s="216"/>
      <c r="AE67" s="217"/>
      <c r="AF67" s="217"/>
      <c r="AG67" s="216"/>
      <c r="AH67" s="216"/>
      <c r="AI67" s="216"/>
      <c r="AJ67" s="216"/>
      <c r="AK67" s="216"/>
      <c r="AL67" s="216"/>
      <c r="AM67" s="89" t="str">
        <f>D67</f>
        <v>Percentage of Batch Water that is Recycled Water</v>
      </c>
      <c r="AN67" s="90" t="s">
        <v>128</v>
      </c>
      <c r="AO67" s="90">
        <f>VLOOKUP(AM67,Material_Densities,2,FALSE)</f>
        <v>0</v>
      </c>
      <c r="AP67" s="89">
        <f t="shared" si="24"/>
        <v>0</v>
      </c>
      <c r="AQ67" s="89" t="str">
        <f>F67</f>
        <v>%</v>
      </c>
      <c r="AR67" s="89">
        <f>IFERROR(IF($AN67="M",INDEX(Conversion_Table,MATCH($AQ67,Conversion_Rows,0),MATCH($AT$29,Conversion_Columns,0)),IF($AN67="V",INDEX(Conversion_Table,MATCH($AQ67,Conversion_Rows,0),MATCH("m3",Conversion_Columns,0))*$AO67)),0)</f>
        <v>0</v>
      </c>
      <c r="AS67" s="91" t="str">
        <f>$AT$29&amp;"/"&amp;AQ67</f>
        <v>tonne/%</v>
      </c>
      <c r="AT67" s="91">
        <f>AP67*AR67</f>
        <v>0</v>
      </c>
      <c r="AU67" s="91">
        <f>INDEX(Conversion_Table,MATCH($AT$29,Conversion_Rows,0),MATCH($AU$29,Conversion_Columns,0))*AT67</f>
        <v>0</v>
      </c>
      <c r="AV67" s="91"/>
      <c r="AW67" s="90" t="str">
        <f>AM67</f>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R67" s="1"/>
      <c r="BS67" s="1"/>
      <c r="BT67" s="1"/>
      <c r="BU67" s="1"/>
      <c r="BV67" s="1"/>
      <c r="BW67" s="1"/>
      <c r="BX67" s="1"/>
      <c r="BY67" s="1"/>
      <c r="BZ67" s="1"/>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row>
    <row r="68" spans="2:137" ht="15" customHeight="1" thickBot="1">
      <c r="F68" s="92" t="s">
        <v>209</v>
      </c>
      <c r="G68" s="159">
        <f>SUM(G30:G65)-G64-G48</f>
        <v>0</v>
      </c>
      <c r="H68" s="214" t="str">
        <f>MassDisplayUnit</f>
        <v>short ton</v>
      </c>
      <c r="J68"/>
      <c r="K68"/>
      <c r="L68"/>
      <c r="M68" s="38"/>
      <c r="N68" s="38"/>
      <c r="O68" s="38"/>
      <c r="P68" s="38"/>
      <c r="Q68" s="38"/>
      <c r="R68" s="38"/>
      <c r="S68" s="38"/>
      <c r="T68" s="71"/>
      <c r="AN68" s="1"/>
      <c r="AO68" s="1"/>
      <c r="AP68" s="1"/>
      <c r="AS68" t="s">
        <v>486</v>
      </c>
      <c r="AT68" s="87">
        <f>SUM(AT30:AT65)</f>
        <v>0</v>
      </c>
      <c r="AU68" s="87">
        <f>SUM(AU30:AU65)</f>
        <v>0</v>
      </c>
      <c r="AV68" s="87"/>
      <c r="AX68" s="146">
        <f>SUM(AX30:AX64)+AX66</f>
        <v>0</v>
      </c>
      <c r="AY68" s="146">
        <f t="shared" ref="AY68:BC68" si="43">SUM(AY30:AY64)+AY66</f>
        <v>0</v>
      </c>
      <c r="AZ68" s="146">
        <f t="shared" si="43"/>
        <v>0</v>
      </c>
      <c r="BA68" s="146">
        <f t="shared" si="43"/>
        <v>0</v>
      </c>
      <c r="BB68" s="146">
        <f t="shared" si="43"/>
        <v>0</v>
      </c>
      <c r="BC68" s="146">
        <f t="shared" si="43"/>
        <v>0</v>
      </c>
      <c r="BD68" s="146">
        <f>SUM(BD30:BD64)+BD66</f>
        <v>0</v>
      </c>
      <c r="BE68" s="146">
        <f t="shared" ref="BE68:BH68" si="44">SUM(BE30:BE64)+BE66</f>
        <v>0</v>
      </c>
      <c r="BF68" s="146">
        <f t="shared" si="44"/>
        <v>0</v>
      </c>
      <c r="BG68" s="146">
        <f t="shared" si="44"/>
        <v>0</v>
      </c>
      <c r="BH68" s="146">
        <f t="shared" si="44"/>
        <v>0</v>
      </c>
      <c r="BI68" s="146">
        <f t="shared" ref="BI68:BK68" si="45">SUM(BI30:BI64)+BI66</f>
        <v>0</v>
      </c>
      <c r="BJ68" s="146">
        <f t="shared" si="45"/>
        <v>0</v>
      </c>
      <c r="BK68" s="146">
        <f t="shared" si="45"/>
        <v>0</v>
      </c>
      <c r="BM68">
        <f>SUM(BM30:BM64)</f>
        <v>0</v>
      </c>
      <c r="BN68">
        <f t="shared" ref="BN68:BZ68" si="46">SUM(BN30:BN64)</f>
        <v>0</v>
      </c>
      <c r="BO68">
        <f t="shared" si="46"/>
        <v>0</v>
      </c>
      <c r="BP68">
        <f t="shared" si="46"/>
        <v>0</v>
      </c>
      <c r="BQ68">
        <f t="shared" si="46"/>
        <v>0</v>
      </c>
      <c r="BR68">
        <f t="shared" si="46"/>
        <v>0</v>
      </c>
      <c r="BS68">
        <f t="shared" si="46"/>
        <v>0</v>
      </c>
      <c r="BT68">
        <f t="shared" si="46"/>
        <v>0</v>
      </c>
      <c r="BU68">
        <f t="shared" si="46"/>
        <v>0</v>
      </c>
      <c r="BV68">
        <f t="shared" si="46"/>
        <v>0</v>
      </c>
      <c r="BW68">
        <f t="shared" si="46"/>
        <v>0</v>
      </c>
      <c r="BX68">
        <f t="shared" si="46"/>
        <v>0</v>
      </c>
      <c r="BY68">
        <f t="shared" si="46"/>
        <v>0</v>
      </c>
      <c r="BZ68">
        <f t="shared" si="46"/>
        <v>0</v>
      </c>
      <c r="CA68">
        <f>SUM(CA30:CA64)</f>
        <v>0</v>
      </c>
      <c r="CB68">
        <f t="shared" ref="CB68:CL68" si="47">SUM(CB30:CB64)</f>
        <v>0</v>
      </c>
      <c r="CC68">
        <f t="shared" si="47"/>
        <v>0</v>
      </c>
      <c r="CD68">
        <f t="shared" si="47"/>
        <v>0</v>
      </c>
      <c r="CE68">
        <f t="shared" si="47"/>
        <v>0</v>
      </c>
      <c r="CF68">
        <f t="shared" si="47"/>
        <v>0</v>
      </c>
      <c r="CG68">
        <f t="shared" si="47"/>
        <v>0</v>
      </c>
      <c r="CH68">
        <f t="shared" si="47"/>
        <v>0</v>
      </c>
      <c r="CI68">
        <f t="shared" si="47"/>
        <v>0</v>
      </c>
      <c r="CJ68">
        <f t="shared" si="47"/>
        <v>0</v>
      </c>
      <c r="CK68">
        <f t="shared" si="47"/>
        <v>0</v>
      </c>
      <c r="CL68">
        <f t="shared" si="47"/>
        <v>0</v>
      </c>
      <c r="CM68">
        <f>SUM(CM30:CM64)</f>
        <v>0</v>
      </c>
      <c r="CN68">
        <f t="shared" ref="CN68:CZ68" si="48">SUM(CN30:CN64)</f>
        <v>0</v>
      </c>
      <c r="CO68">
        <f t="shared" si="48"/>
        <v>0</v>
      </c>
      <c r="CP68">
        <f t="shared" si="48"/>
        <v>0</v>
      </c>
      <c r="CQ68">
        <f t="shared" si="48"/>
        <v>0</v>
      </c>
      <c r="CR68">
        <f t="shared" si="48"/>
        <v>0</v>
      </c>
      <c r="CS68">
        <f t="shared" si="48"/>
        <v>0</v>
      </c>
      <c r="CT68">
        <f t="shared" si="48"/>
        <v>0</v>
      </c>
      <c r="CU68">
        <f t="shared" si="48"/>
        <v>0</v>
      </c>
      <c r="CV68">
        <f t="shared" si="48"/>
        <v>0</v>
      </c>
      <c r="CW68">
        <f t="shared" si="48"/>
        <v>0</v>
      </c>
      <c r="CX68">
        <f t="shared" si="48"/>
        <v>0</v>
      </c>
      <c r="CY68">
        <f t="shared" si="48"/>
        <v>0</v>
      </c>
      <c r="CZ68">
        <f t="shared" si="48"/>
        <v>0</v>
      </c>
      <c r="DA68">
        <f>SUM(DA30:DA64)</f>
        <v>0</v>
      </c>
      <c r="DB68">
        <f t="shared" ref="DB68:DN68" si="49">SUM(DB30:DB64)</f>
        <v>0</v>
      </c>
      <c r="DC68">
        <f t="shared" si="49"/>
        <v>0</v>
      </c>
      <c r="DD68">
        <f t="shared" si="49"/>
        <v>0</v>
      </c>
      <c r="DE68">
        <f t="shared" si="49"/>
        <v>0</v>
      </c>
      <c r="DF68">
        <f t="shared" si="49"/>
        <v>0</v>
      </c>
      <c r="DG68">
        <f t="shared" si="49"/>
        <v>0</v>
      </c>
      <c r="DH68">
        <f t="shared" si="49"/>
        <v>0</v>
      </c>
      <c r="DI68">
        <f t="shared" si="49"/>
        <v>0</v>
      </c>
      <c r="DJ68">
        <f t="shared" si="49"/>
        <v>0</v>
      </c>
      <c r="DK68">
        <f t="shared" si="49"/>
        <v>0</v>
      </c>
      <c r="DL68">
        <f t="shared" si="49"/>
        <v>0</v>
      </c>
      <c r="DM68">
        <f t="shared" si="49"/>
        <v>0</v>
      </c>
      <c r="DN68">
        <f t="shared" si="49"/>
        <v>0</v>
      </c>
      <c r="DO68">
        <f>SUM(DO30:DO64)</f>
        <v>0</v>
      </c>
      <c r="DP68">
        <f t="shared" ref="DP68:DS68" si="50">SUM(DP30:DP64)</f>
        <v>0</v>
      </c>
      <c r="DQ68">
        <f t="shared" si="50"/>
        <v>0</v>
      </c>
      <c r="DR68">
        <f t="shared" si="50"/>
        <v>0</v>
      </c>
      <c r="DS68">
        <f t="shared" si="50"/>
        <v>0</v>
      </c>
      <c r="DT68">
        <f>SUM(DT30:DT64)</f>
        <v>0</v>
      </c>
      <c r="DU68">
        <f t="shared" ref="DU68:EA68" si="51">SUM(DU30:DU64)</f>
        <v>0</v>
      </c>
      <c r="DV68">
        <f t="shared" si="51"/>
        <v>0</v>
      </c>
      <c r="DW68">
        <f t="shared" si="51"/>
        <v>0</v>
      </c>
      <c r="DX68">
        <f t="shared" si="51"/>
        <v>0</v>
      </c>
      <c r="DY68">
        <f t="shared" si="51"/>
        <v>0</v>
      </c>
      <c r="DZ68">
        <f t="shared" si="51"/>
        <v>0</v>
      </c>
      <c r="EA68">
        <f t="shared" si="51"/>
        <v>0</v>
      </c>
      <c r="EB68">
        <f>SUM(EB30:EB64)</f>
        <v>0</v>
      </c>
      <c r="EC68"/>
      <c r="ED68"/>
      <c r="EE68"/>
      <c r="EF68"/>
      <c r="EG68"/>
    </row>
    <row r="69" spans="2:137" ht="15" customHeight="1">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c r="CB69"/>
      <c r="CC69"/>
      <c r="CD69"/>
      <c r="CE69"/>
      <c r="CF69"/>
      <c r="CG69"/>
      <c r="CH69"/>
      <c r="CI69"/>
      <c r="CJ69"/>
      <c r="CK69"/>
      <c r="CL69"/>
      <c r="CM69"/>
      <c r="CN69"/>
      <c r="CO69"/>
      <c r="CP69"/>
      <c r="CQ69"/>
      <c r="CR69"/>
      <c r="CS69" s="318">
        <f>DO68-$BM71</f>
        <v>0</v>
      </c>
      <c r="CT69" s="318">
        <f>DP68-$BM71</f>
        <v>0</v>
      </c>
      <c r="CU69" s="318">
        <f>DQ68-$BM71</f>
        <v>0</v>
      </c>
      <c r="CV69" s="318">
        <f>DR68-$BM71</f>
        <v>0</v>
      </c>
      <c r="CW69" s="318">
        <f>DS68-$BM71</f>
        <v>0</v>
      </c>
      <c r="CX69" s="318">
        <f t="shared" ref="CX69:CY69" si="52">DT68-$BM71</f>
        <v>0</v>
      </c>
      <c r="CY69" s="318">
        <f t="shared" si="52"/>
        <v>0</v>
      </c>
      <c r="CZ69" s="318">
        <f>DT68-$BM71</f>
        <v>0</v>
      </c>
      <c r="DA69" s="318"/>
      <c r="DB69" s="318"/>
      <c r="DC69" s="318"/>
      <c r="DD69" s="318"/>
      <c r="DE69" s="318"/>
      <c r="DF69" s="318">
        <f>EB68-$BZ71</f>
        <v>0</v>
      </c>
      <c r="DG69"/>
      <c r="DH69"/>
      <c r="DI69"/>
      <c r="DJ69"/>
      <c r="DK69"/>
    </row>
    <row r="70" spans="2:137" ht="15" hidden="1" customHeight="1"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7" ht="21" hidden="1" thickBot="1">
      <c r="C71" s="16" t="s">
        <v>244</v>
      </c>
      <c r="D71" s="17"/>
      <c r="E71" s="17"/>
      <c r="F71" s="17"/>
      <c r="G71" s="17"/>
      <c r="H71" s="17"/>
      <c r="I71" s="17"/>
      <c r="J71" s="18"/>
      <c r="K71"/>
      <c r="L71"/>
      <c r="AN71" s="1"/>
      <c r="AO71" s="1"/>
      <c r="AP71" s="1"/>
      <c r="BL71" s="143" t="s">
        <v>726</v>
      </c>
      <c r="BM71" s="144">
        <f t="shared" ref="BM71:BY71" si="53">BM$68+CA$68+CM$68+DA$68</f>
        <v>0</v>
      </c>
      <c r="BN71" s="144">
        <f t="shared" si="53"/>
        <v>0</v>
      </c>
      <c r="BO71" s="144">
        <f t="shared" si="53"/>
        <v>0</v>
      </c>
      <c r="BP71" s="144">
        <f t="shared" si="53"/>
        <v>0</v>
      </c>
      <c r="BQ71" s="144">
        <f t="shared" si="53"/>
        <v>0</v>
      </c>
      <c r="BR71" s="144">
        <f t="shared" si="53"/>
        <v>0</v>
      </c>
      <c r="BS71" s="144">
        <f t="shared" si="53"/>
        <v>0</v>
      </c>
      <c r="BT71" s="144">
        <f t="shared" si="53"/>
        <v>0</v>
      </c>
      <c r="BU71" s="144">
        <f t="shared" si="53"/>
        <v>0</v>
      </c>
      <c r="BV71" s="144">
        <f t="shared" si="53"/>
        <v>0</v>
      </c>
      <c r="BW71" s="144">
        <f t="shared" si="53"/>
        <v>0</v>
      </c>
      <c r="BX71" s="144">
        <f t="shared" si="53"/>
        <v>0</v>
      </c>
      <c r="BY71" s="144">
        <f t="shared" si="53"/>
        <v>0</v>
      </c>
      <c r="BZ71" s="144">
        <f>BZ$68+CL$68+CZ$68+DN$68</f>
        <v>0</v>
      </c>
      <c r="CA71"/>
      <c r="CB71"/>
      <c r="CC71"/>
      <c r="CD71"/>
      <c r="CE71"/>
      <c r="CF71"/>
      <c r="CG71"/>
      <c r="CH71"/>
    </row>
    <row r="72" spans="2:137" ht="15" hidden="1" customHeight="1" thickBot="1">
      <c r="C72" s="73" t="s">
        <v>245</v>
      </c>
      <c r="D72" s="74"/>
      <c r="E72" s="74"/>
      <c r="F72" s="74"/>
      <c r="G72" s="74"/>
      <c r="H72" s="74"/>
      <c r="I72" s="131"/>
      <c r="J72" s="165"/>
      <c r="K72"/>
      <c r="L72"/>
      <c r="AN72" s="1"/>
      <c r="AO72" s="1"/>
      <c r="AP72" s="1"/>
    </row>
    <row r="73" spans="2:137" ht="30" hidden="1" customHeight="1">
      <c r="C73" s="31"/>
      <c r="I73" s="663" t="s">
        <v>208</v>
      </c>
      <c r="J73" s="689" t="s">
        <v>262</v>
      </c>
      <c r="K73"/>
      <c r="L73"/>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7" ht="30" hidden="1" customHeight="1">
      <c r="C74" s="21"/>
      <c r="D74" s="30"/>
      <c r="E74" s="30"/>
      <c r="F74" s="30"/>
      <c r="G74" s="30"/>
      <c r="H74" s="30"/>
      <c r="I74" s="664"/>
      <c r="J74" s="690"/>
      <c r="K74"/>
      <c r="L74"/>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7" ht="33.75" hidden="1" customHeight="1">
      <c r="C75" s="355" t="s">
        <v>2</v>
      </c>
      <c r="D75" s="356" t="s">
        <v>10</v>
      </c>
      <c r="E75" s="402" t="s">
        <v>116</v>
      </c>
      <c r="F75" s="167" t="s">
        <v>6</v>
      </c>
      <c r="G75" s="168" t="str">
        <f>IF($Y$2="Custom","Custom Project Operating Energy","Operating Energy
 of Category "&amp;$Y$2)</f>
        <v>Operating Energy
 of Category B</v>
      </c>
      <c r="H75" s="167" t="s">
        <v>6</v>
      </c>
      <c r="I75" s="135" t="str">
        <f>TRACITotalDisplayUnit</f>
        <v>short ton</v>
      </c>
      <c r="J75" s="166" t="str">
        <f>EnergyTotalDisplayUnit</f>
        <v>MMBtu</v>
      </c>
      <c r="K75"/>
      <c r="L75"/>
      <c r="Y75"/>
      <c r="Z75"/>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7" ht="15" hidden="1" customHeight="1">
      <c r="B76" s="53">
        <f t="shared" ref="B76:B86" si="54">X76</f>
        <v>0</v>
      </c>
      <c r="C76" s="26">
        <v>1</v>
      </c>
      <c r="D76" s="46" t="s">
        <v>78</v>
      </c>
      <c r="E76" s="420">
        <f>'Plant Inputs'!$G76</f>
        <v>0</v>
      </c>
      <c r="F76" s="204" t="str">
        <f>'Plant Inputs'!$H76</f>
        <v>kWh/short ton</v>
      </c>
      <c r="G76" s="160">
        <f t="shared" ref="G76:G86" si="55">$E76*$E$18</f>
        <v>0</v>
      </c>
      <c r="H76" s="204" t="str">
        <f t="shared" ref="H76:H86" si="56">LEFT(F76,FIND("/",F76)-1)</f>
        <v>kWh</v>
      </c>
      <c r="I76" s="160">
        <f>$BI76</f>
        <v>0</v>
      </c>
      <c r="J76" s="177">
        <f>$BN76</f>
        <v>0</v>
      </c>
      <c r="K76"/>
      <c r="L76"/>
      <c r="X76" s="65">
        <f>'Plant Inputs'!$X76</f>
        <v>0</v>
      </c>
      <c r="Y76" s="216">
        <f>IF(AND($X76=1,'Plant Inputs'!$Y76=1),1,0)</f>
        <v>0</v>
      </c>
      <c r="Z76" s="216"/>
      <c r="AA76" s="216"/>
      <c r="AB76" s="216"/>
      <c r="AC76" s="216"/>
      <c r="AD76" s="216"/>
      <c r="AE76" s="216"/>
      <c r="AF76" s="216"/>
      <c r="AG76" s="216"/>
      <c r="AH76" s="216"/>
      <c r="AI76" s="216"/>
      <c r="AJ76" s="216"/>
      <c r="AK76" s="216"/>
      <c r="AL76" s="216"/>
      <c r="AM76" s="1" t="str">
        <f t="shared" ref="AM76:AM86" si="57">D76</f>
        <v>Purchased Electricity (from Regional Electricity Grid)</v>
      </c>
      <c r="AN76" s="403">
        <f>G76</f>
        <v>0</v>
      </c>
      <c r="AO76" s="164" t="str">
        <f>H76</f>
        <v>kWh</v>
      </c>
      <c r="AP76" s="1">
        <f t="shared" ref="AP76:AP86" si="58">INDEX(Conversion_Table,MATCH($AS76,Conversion_Rows,0),MATCH($AO76,Conversion_Columns,0))</f>
        <v>1</v>
      </c>
      <c r="AQ76" s="87" t="str">
        <f t="shared" ref="AQ76:AQ86" si="59">AO76&amp;"/"&amp;$AS76</f>
        <v>kWh/kWh</v>
      </c>
      <c r="AR76">
        <f t="shared" ref="AR76:AR86" si="60">AN76/AP76</f>
        <v>0</v>
      </c>
      <c r="AS76" s="87" t="str">
        <f>'CPCI Data'!$W$12</f>
        <v>kWh</v>
      </c>
      <c r="AT76">
        <f>$AO$15</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V87" si="61">IF($AR$18=0,0,AU76*INDEX(Conversion_Table,MATCH(AU$75,Conversion_Rows,0),MATCH(BI$75,Conversion_Columns,0)))</f>
        <v>0</v>
      </c>
      <c r="BJ76" s="360">
        <f t="shared" si="61"/>
        <v>0</v>
      </c>
      <c r="BK76" s="360">
        <f t="shared" si="61"/>
        <v>0</v>
      </c>
      <c r="BL76" s="360">
        <f t="shared" si="61"/>
        <v>0</v>
      </c>
      <c r="BM76" s="360">
        <f t="shared" si="61"/>
        <v>0</v>
      </c>
      <c r="BN76" s="360">
        <f t="shared" si="61"/>
        <v>0</v>
      </c>
      <c r="BO76" s="360">
        <f t="shared" si="61"/>
        <v>0</v>
      </c>
      <c r="BP76" s="360">
        <f t="shared" si="61"/>
        <v>0</v>
      </c>
      <c r="BQ76" s="360">
        <f t="shared" si="61"/>
        <v>0</v>
      </c>
      <c r="BR76" s="360">
        <f t="shared" si="61"/>
        <v>0</v>
      </c>
      <c r="BS76" s="360">
        <f t="shared" si="61"/>
        <v>0</v>
      </c>
      <c r="BT76" s="360">
        <f t="shared" si="61"/>
        <v>0</v>
      </c>
      <c r="BU76" s="360">
        <f t="shared" si="61"/>
        <v>0</v>
      </c>
      <c r="BV76" s="360">
        <f t="shared" si="61"/>
        <v>0</v>
      </c>
      <c r="BW76" s="362">
        <f t="shared" ref="BW76:CJ87" si="62">IF($AT$18=0,0,AU76*INDEX(Conversion_Table,MATCH(AU$75,Conversion_Rows,0),MATCH(BW$75,Conversion_Columns,0))/$AT$18)</f>
        <v>0</v>
      </c>
      <c r="BX76" s="362">
        <f t="shared" si="62"/>
        <v>0</v>
      </c>
      <c r="BY76" s="362">
        <f t="shared" si="62"/>
        <v>0</v>
      </c>
      <c r="BZ76" s="362">
        <f t="shared" si="62"/>
        <v>0</v>
      </c>
      <c r="CA76" s="362">
        <f t="shared" si="62"/>
        <v>0</v>
      </c>
      <c r="CB76" s="362">
        <f t="shared" si="62"/>
        <v>0</v>
      </c>
      <c r="CC76" s="362">
        <f t="shared" si="62"/>
        <v>0</v>
      </c>
      <c r="CD76" s="362">
        <f t="shared" si="62"/>
        <v>0</v>
      </c>
      <c r="CE76" s="362">
        <f t="shared" si="62"/>
        <v>0</v>
      </c>
      <c r="CF76" s="362">
        <f t="shared" si="62"/>
        <v>0</v>
      </c>
      <c r="CG76" s="362">
        <f t="shared" si="62"/>
        <v>0</v>
      </c>
      <c r="CH76" s="362">
        <f t="shared" si="62"/>
        <v>0</v>
      </c>
      <c r="CI76" s="362">
        <f t="shared" si="62"/>
        <v>0</v>
      </c>
      <c r="CJ76" s="362">
        <f t="shared" si="62"/>
        <v>0</v>
      </c>
      <c r="CK76"/>
      <c r="CL76"/>
      <c r="CM76"/>
      <c r="CN76"/>
      <c r="CO76"/>
      <c r="CP76"/>
      <c r="CQ76"/>
      <c r="CR76"/>
      <c r="CS76"/>
      <c r="CT76"/>
      <c r="CU76"/>
      <c r="CV76"/>
      <c r="CW76"/>
      <c r="CX76"/>
      <c r="CY76"/>
      <c r="CZ76"/>
      <c r="DA76"/>
      <c r="DB76"/>
    </row>
    <row r="77" spans="2:137" ht="15" hidden="1" customHeight="1">
      <c r="B77" s="53">
        <f t="shared" si="54"/>
        <v>0</v>
      </c>
      <c r="C77" s="26">
        <v>2</v>
      </c>
      <c r="D77" s="46" t="s">
        <v>470</v>
      </c>
      <c r="E77" s="420">
        <f>'Plant Inputs'!$G77</f>
        <v>0</v>
      </c>
      <c r="F77" s="204" t="str">
        <f>'Plant Inputs'!$H77</f>
        <v>kWh/short ton</v>
      </c>
      <c r="G77" s="160">
        <f t="shared" si="55"/>
        <v>0</v>
      </c>
      <c r="H77" s="204" t="str">
        <f t="shared" si="56"/>
        <v>kWh</v>
      </c>
      <c r="I77" s="160">
        <f t="shared" ref="I77:I87" si="63">$BI77</f>
        <v>0</v>
      </c>
      <c r="J77" s="177">
        <f t="shared" ref="J77:J87" si="64">$BN77</f>
        <v>0</v>
      </c>
      <c r="K77"/>
      <c r="L77"/>
      <c r="X77" s="65">
        <f>'Plant Inputs'!$X77</f>
        <v>0</v>
      </c>
      <c r="Y77" s="216">
        <f>IF(AND($X77=1,'Plant Inputs'!$Y77=1),1,0)</f>
        <v>0</v>
      </c>
      <c r="Z77" s="216"/>
      <c r="AA77" s="216"/>
      <c r="AB77" s="216"/>
      <c r="AC77" s="216"/>
      <c r="AD77" s="216"/>
      <c r="AE77" s="216"/>
      <c r="AF77" s="216"/>
      <c r="AG77" s="216"/>
      <c r="AH77" s="216"/>
      <c r="AI77" s="216"/>
      <c r="AJ77" s="216"/>
      <c r="AK77" s="216"/>
      <c r="AL77" s="216"/>
      <c r="AM77" s="1" t="str">
        <f t="shared" si="57"/>
        <v>On-Site Generated Electricity - Solar</v>
      </c>
      <c r="AN77" s="403">
        <f t="shared" ref="AN77:AO86" si="65">G77</f>
        <v>0</v>
      </c>
      <c r="AO77" s="164" t="str">
        <f t="shared" si="65"/>
        <v>kWh</v>
      </c>
      <c r="AP77" s="1">
        <f t="shared" si="58"/>
        <v>1</v>
      </c>
      <c r="AQ77" s="87" t="str">
        <f t="shared" si="59"/>
        <v>kWh/kWh</v>
      </c>
      <c r="AR77">
        <f t="shared" si="60"/>
        <v>0</v>
      </c>
      <c r="AS77" s="87" t="str">
        <f>'CPCI Data'!$W$12</f>
        <v>kWh</v>
      </c>
      <c r="AT77">
        <f t="shared" ref="AT77:AT86" si="66">$AO$15</f>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61"/>
        <v>0</v>
      </c>
      <c r="BJ77" s="360">
        <f t="shared" si="61"/>
        <v>0</v>
      </c>
      <c r="BK77" s="360">
        <f t="shared" si="61"/>
        <v>0</v>
      </c>
      <c r="BL77" s="360">
        <f t="shared" si="61"/>
        <v>0</v>
      </c>
      <c r="BM77" s="360">
        <f t="shared" si="61"/>
        <v>0</v>
      </c>
      <c r="BN77" s="360">
        <f t="shared" si="61"/>
        <v>0</v>
      </c>
      <c r="BO77" s="360">
        <f t="shared" si="61"/>
        <v>0</v>
      </c>
      <c r="BP77" s="360">
        <f t="shared" si="61"/>
        <v>0</v>
      </c>
      <c r="BQ77" s="360">
        <f t="shared" si="61"/>
        <v>0</v>
      </c>
      <c r="BR77" s="360">
        <f t="shared" si="61"/>
        <v>0</v>
      </c>
      <c r="BS77" s="360">
        <f t="shared" si="61"/>
        <v>0</v>
      </c>
      <c r="BT77" s="360">
        <f t="shared" si="61"/>
        <v>0</v>
      </c>
      <c r="BU77" s="360">
        <f t="shared" si="61"/>
        <v>0</v>
      </c>
      <c r="BV77" s="360">
        <f t="shared" si="61"/>
        <v>0</v>
      </c>
      <c r="BW77" s="362">
        <f t="shared" si="62"/>
        <v>0</v>
      </c>
      <c r="BX77" s="362">
        <f t="shared" si="62"/>
        <v>0</v>
      </c>
      <c r="BY77" s="362">
        <f t="shared" si="62"/>
        <v>0</v>
      </c>
      <c r="BZ77" s="362">
        <f t="shared" si="62"/>
        <v>0</v>
      </c>
      <c r="CA77" s="362">
        <f t="shared" si="62"/>
        <v>0</v>
      </c>
      <c r="CB77" s="362">
        <f t="shared" si="62"/>
        <v>0</v>
      </c>
      <c r="CC77" s="362">
        <f t="shared" si="62"/>
        <v>0</v>
      </c>
      <c r="CD77" s="362">
        <f t="shared" si="62"/>
        <v>0</v>
      </c>
      <c r="CE77" s="362">
        <f t="shared" si="62"/>
        <v>0</v>
      </c>
      <c r="CF77" s="362">
        <f t="shared" si="62"/>
        <v>0</v>
      </c>
      <c r="CG77" s="362">
        <f t="shared" si="62"/>
        <v>0</v>
      </c>
      <c r="CH77" s="362">
        <f t="shared" si="62"/>
        <v>0</v>
      </c>
      <c r="CI77" s="362">
        <f t="shared" si="62"/>
        <v>0</v>
      </c>
      <c r="CJ77" s="362">
        <f t="shared" si="62"/>
        <v>0</v>
      </c>
      <c r="CK77"/>
      <c r="CO77"/>
      <c r="CP77"/>
      <c r="CQ77"/>
      <c r="CR77"/>
      <c r="CS77"/>
      <c r="CT77"/>
      <c r="CU77"/>
      <c r="CV77"/>
      <c r="CW77"/>
      <c r="CX77"/>
      <c r="CY77"/>
      <c r="CZ77"/>
      <c r="DA77"/>
      <c r="DB77"/>
    </row>
    <row r="78" spans="2:137" ht="15" hidden="1" customHeight="1">
      <c r="B78" s="53">
        <f t="shared" si="54"/>
        <v>0</v>
      </c>
      <c r="C78" s="26">
        <v>3</v>
      </c>
      <c r="D78" s="46" t="s">
        <v>471</v>
      </c>
      <c r="E78" s="420">
        <f>'Plant Inputs'!$G78</f>
        <v>0</v>
      </c>
      <c r="F78" s="204" t="str">
        <f>'Plant Inputs'!$H78</f>
        <v>kWh/short ton</v>
      </c>
      <c r="G78" s="160">
        <f t="shared" si="55"/>
        <v>0</v>
      </c>
      <c r="H78" s="204" t="str">
        <f t="shared" si="56"/>
        <v>kWh</v>
      </c>
      <c r="I78" s="160">
        <f t="shared" si="63"/>
        <v>0</v>
      </c>
      <c r="J78" s="177">
        <f t="shared" si="64"/>
        <v>0</v>
      </c>
      <c r="K78"/>
      <c r="L78"/>
      <c r="X78" s="65">
        <f>'Plant Inputs'!$X78</f>
        <v>0</v>
      </c>
      <c r="Y78" s="216">
        <f>IF(AND($X78=1,'Plant Inputs'!$Y78=1),1,0)</f>
        <v>0</v>
      </c>
      <c r="Z78" s="216"/>
      <c r="AA78" s="216"/>
      <c r="AB78" s="216"/>
      <c r="AC78" s="216"/>
      <c r="AD78" s="216"/>
      <c r="AE78" s="216"/>
      <c r="AF78" s="216"/>
      <c r="AG78" s="216"/>
      <c r="AH78" s="216"/>
      <c r="AI78" s="216"/>
      <c r="AJ78" s="216"/>
      <c r="AK78" s="216"/>
      <c r="AL78" s="216"/>
      <c r="AM78" s="1" t="str">
        <f t="shared" si="57"/>
        <v>On-Site Generated Electricity - Wind</v>
      </c>
      <c r="AN78" s="403">
        <f t="shared" si="65"/>
        <v>0</v>
      </c>
      <c r="AO78" s="164" t="str">
        <f t="shared" si="65"/>
        <v>kWh</v>
      </c>
      <c r="AP78" s="1">
        <f t="shared" si="58"/>
        <v>1</v>
      </c>
      <c r="AQ78" s="87" t="str">
        <f t="shared" si="59"/>
        <v>kWh/kWh</v>
      </c>
      <c r="AR78">
        <f t="shared" si="60"/>
        <v>0</v>
      </c>
      <c r="AS78" s="87" t="str">
        <f>'CPCI Data'!$W$12</f>
        <v>kWh</v>
      </c>
      <c r="AT78">
        <f t="shared" si="66"/>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61"/>
        <v>0</v>
      </c>
      <c r="BJ78" s="360">
        <f t="shared" si="61"/>
        <v>0</v>
      </c>
      <c r="BK78" s="360">
        <f t="shared" si="61"/>
        <v>0</v>
      </c>
      <c r="BL78" s="360">
        <f t="shared" si="61"/>
        <v>0</v>
      </c>
      <c r="BM78" s="360">
        <f t="shared" si="61"/>
        <v>0</v>
      </c>
      <c r="BN78" s="360">
        <f t="shared" si="61"/>
        <v>0</v>
      </c>
      <c r="BO78" s="360">
        <f t="shared" si="61"/>
        <v>0</v>
      </c>
      <c r="BP78" s="360">
        <f t="shared" si="61"/>
        <v>0</v>
      </c>
      <c r="BQ78" s="360">
        <f t="shared" si="61"/>
        <v>0</v>
      </c>
      <c r="BR78" s="360">
        <f t="shared" si="61"/>
        <v>0</v>
      </c>
      <c r="BS78" s="360">
        <f t="shared" si="61"/>
        <v>0</v>
      </c>
      <c r="BT78" s="360">
        <f t="shared" si="61"/>
        <v>0</v>
      </c>
      <c r="BU78" s="360">
        <f t="shared" si="61"/>
        <v>0</v>
      </c>
      <c r="BV78" s="360">
        <f t="shared" si="61"/>
        <v>0</v>
      </c>
      <c r="BW78" s="362">
        <f t="shared" si="62"/>
        <v>0</v>
      </c>
      <c r="BX78" s="362">
        <f t="shared" si="62"/>
        <v>0</v>
      </c>
      <c r="BY78" s="362">
        <f t="shared" si="62"/>
        <v>0</v>
      </c>
      <c r="BZ78" s="362">
        <f t="shared" si="62"/>
        <v>0</v>
      </c>
      <c r="CA78" s="362">
        <f t="shared" si="62"/>
        <v>0</v>
      </c>
      <c r="CB78" s="362">
        <f t="shared" si="62"/>
        <v>0</v>
      </c>
      <c r="CC78" s="362">
        <f t="shared" si="62"/>
        <v>0</v>
      </c>
      <c r="CD78" s="362">
        <f t="shared" si="62"/>
        <v>0</v>
      </c>
      <c r="CE78" s="362">
        <f t="shared" si="62"/>
        <v>0</v>
      </c>
      <c r="CF78" s="362">
        <f t="shared" si="62"/>
        <v>0</v>
      </c>
      <c r="CG78" s="362">
        <f t="shared" si="62"/>
        <v>0</v>
      </c>
      <c r="CH78" s="362">
        <f t="shared" si="62"/>
        <v>0</v>
      </c>
      <c r="CI78" s="362">
        <f t="shared" si="62"/>
        <v>0</v>
      </c>
      <c r="CJ78" s="362">
        <f t="shared" si="62"/>
        <v>0</v>
      </c>
      <c r="CK78"/>
      <c r="CO78"/>
      <c r="CP78"/>
      <c r="CQ78"/>
      <c r="CR78"/>
      <c r="CS78"/>
      <c r="CT78"/>
      <c r="CU78"/>
      <c r="CV78"/>
      <c r="CW78"/>
      <c r="CX78"/>
      <c r="CY78"/>
      <c r="CZ78"/>
      <c r="DA78"/>
      <c r="DB78"/>
    </row>
    <row r="79" spans="2:137" ht="15" hidden="1" customHeight="1">
      <c r="B79" s="53">
        <f t="shared" si="54"/>
        <v>0</v>
      </c>
      <c r="C79" s="26">
        <v>4</v>
      </c>
      <c r="D79" s="46" t="s">
        <v>472</v>
      </c>
      <c r="E79" s="420">
        <f>'Plant Inputs'!$G79</f>
        <v>0</v>
      </c>
      <c r="F79" s="204" t="str">
        <f>'Plant Inputs'!$H79</f>
        <v>kWh/short ton</v>
      </c>
      <c r="G79" s="160">
        <f t="shared" si="55"/>
        <v>0</v>
      </c>
      <c r="H79" s="204" t="str">
        <f t="shared" si="56"/>
        <v>kWh</v>
      </c>
      <c r="I79" s="160">
        <f t="shared" si="63"/>
        <v>0</v>
      </c>
      <c r="J79" s="177">
        <f t="shared" si="64"/>
        <v>0</v>
      </c>
      <c r="K79"/>
      <c r="L79"/>
      <c r="X79" s="65">
        <f>'Plant Inputs'!$X79</f>
        <v>0</v>
      </c>
      <c r="Y79" s="216">
        <f>IF(AND($X79=1,'Plant Inputs'!$Y79=1),1,0)</f>
        <v>0</v>
      </c>
      <c r="Z79" s="216"/>
      <c r="AA79" s="216"/>
      <c r="AB79" s="216"/>
      <c r="AC79" s="216"/>
      <c r="AD79" s="216"/>
      <c r="AE79" s="216"/>
      <c r="AF79" s="216"/>
      <c r="AG79" s="216"/>
      <c r="AH79" s="216"/>
      <c r="AI79" s="216"/>
      <c r="AJ79" s="216"/>
      <c r="AK79" s="216"/>
      <c r="AL79" s="216"/>
      <c r="AM79" s="1" t="str">
        <f t="shared" si="57"/>
        <v>On-Site Generated Electricity - Hydroelectric</v>
      </c>
      <c r="AN79" s="403">
        <f t="shared" si="65"/>
        <v>0</v>
      </c>
      <c r="AO79" s="164" t="str">
        <f t="shared" si="65"/>
        <v>kWh</v>
      </c>
      <c r="AP79" s="1">
        <f t="shared" si="58"/>
        <v>1</v>
      </c>
      <c r="AQ79" s="87" t="str">
        <f t="shared" si="59"/>
        <v>kWh/kWh</v>
      </c>
      <c r="AR79">
        <f t="shared" si="60"/>
        <v>0</v>
      </c>
      <c r="AS79" s="87" t="str">
        <f>'CPCI Data'!$W$12</f>
        <v>kWh</v>
      </c>
      <c r="AT79">
        <f t="shared" si="66"/>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61"/>
        <v>0</v>
      </c>
      <c r="BJ79" s="360">
        <f t="shared" si="61"/>
        <v>0</v>
      </c>
      <c r="BK79" s="360">
        <f t="shared" si="61"/>
        <v>0</v>
      </c>
      <c r="BL79" s="360">
        <f t="shared" si="61"/>
        <v>0</v>
      </c>
      <c r="BM79" s="360">
        <f t="shared" si="61"/>
        <v>0</v>
      </c>
      <c r="BN79" s="360">
        <f t="shared" si="61"/>
        <v>0</v>
      </c>
      <c r="BO79" s="360">
        <f t="shared" si="61"/>
        <v>0</v>
      </c>
      <c r="BP79" s="360">
        <f t="shared" si="61"/>
        <v>0</v>
      </c>
      <c r="BQ79" s="360">
        <f t="shared" si="61"/>
        <v>0</v>
      </c>
      <c r="BR79" s="360">
        <f t="shared" si="61"/>
        <v>0</v>
      </c>
      <c r="BS79" s="360">
        <f t="shared" si="61"/>
        <v>0</v>
      </c>
      <c r="BT79" s="360">
        <f t="shared" si="61"/>
        <v>0</v>
      </c>
      <c r="BU79" s="360">
        <f t="shared" si="61"/>
        <v>0</v>
      </c>
      <c r="BV79" s="360">
        <f t="shared" si="61"/>
        <v>0</v>
      </c>
      <c r="BW79" s="362">
        <f t="shared" si="62"/>
        <v>0</v>
      </c>
      <c r="BX79" s="362">
        <f t="shared" si="62"/>
        <v>0</v>
      </c>
      <c r="BY79" s="362">
        <f t="shared" si="62"/>
        <v>0</v>
      </c>
      <c r="BZ79" s="362">
        <f t="shared" si="62"/>
        <v>0</v>
      </c>
      <c r="CA79" s="362">
        <f t="shared" si="62"/>
        <v>0</v>
      </c>
      <c r="CB79" s="362">
        <f t="shared" si="62"/>
        <v>0</v>
      </c>
      <c r="CC79" s="362">
        <f t="shared" si="62"/>
        <v>0</v>
      </c>
      <c r="CD79" s="362">
        <f t="shared" si="62"/>
        <v>0</v>
      </c>
      <c r="CE79" s="362">
        <f t="shared" si="62"/>
        <v>0</v>
      </c>
      <c r="CF79" s="362">
        <f t="shared" si="62"/>
        <v>0</v>
      </c>
      <c r="CG79" s="362">
        <f t="shared" si="62"/>
        <v>0</v>
      </c>
      <c r="CH79" s="362">
        <f t="shared" si="62"/>
        <v>0</v>
      </c>
      <c r="CI79" s="362">
        <f t="shared" si="62"/>
        <v>0</v>
      </c>
      <c r="CJ79" s="362">
        <f t="shared" si="62"/>
        <v>0</v>
      </c>
      <c r="CK79"/>
      <c r="CO79"/>
      <c r="CP79"/>
      <c r="CQ79"/>
      <c r="CR79"/>
      <c r="CS79"/>
      <c r="CT79"/>
      <c r="CU79"/>
      <c r="CV79"/>
      <c r="CW79"/>
      <c r="CX79"/>
      <c r="CY79"/>
      <c r="CZ79"/>
      <c r="DA79"/>
      <c r="DB79"/>
    </row>
    <row r="80" spans="2:137" ht="15" hidden="1" customHeight="1">
      <c r="B80" s="53">
        <f t="shared" si="54"/>
        <v>0</v>
      </c>
      <c r="C80" s="26">
        <v>5</v>
      </c>
      <c r="D80" s="46" t="s">
        <v>473</v>
      </c>
      <c r="E80" s="420">
        <f>'Plant Inputs'!$G80</f>
        <v>0</v>
      </c>
      <c r="F80" s="204" t="str">
        <f>'Plant Inputs'!$H80</f>
        <v>kWh/short ton</v>
      </c>
      <c r="G80" s="160">
        <f t="shared" si="55"/>
        <v>0</v>
      </c>
      <c r="H80" s="204" t="str">
        <f t="shared" si="56"/>
        <v>kWh</v>
      </c>
      <c r="I80" s="160">
        <f t="shared" si="63"/>
        <v>0</v>
      </c>
      <c r="J80" s="177">
        <f t="shared" si="64"/>
        <v>0</v>
      </c>
      <c r="K80"/>
      <c r="L80"/>
      <c r="X80" s="65">
        <f>'Plant Inputs'!$X80</f>
        <v>0</v>
      </c>
      <c r="Y80" s="216">
        <f>IF(AND($X80=1,'Plant Inputs'!$Y80=1),1,0)</f>
        <v>0</v>
      </c>
      <c r="Z80" s="216"/>
      <c r="AA80" s="216"/>
      <c r="AB80" s="216"/>
      <c r="AC80" s="216"/>
      <c r="AD80" s="216"/>
      <c r="AE80" s="216"/>
      <c r="AF80" s="216"/>
      <c r="AG80" s="216"/>
      <c r="AH80" s="216"/>
      <c r="AI80" s="216"/>
      <c r="AJ80" s="216"/>
      <c r="AK80" s="216"/>
      <c r="AL80" s="216"/>
      <c r="AM80" s="1" t="str">
        <f t="shared" si="57"/>
        <v>On-Site Generated Electricity - Geothermal</v>
      </c>
      <c r="AN80" s="403">
        <f t="shared" si="65"/>
        <v>0</v>
      </c>
      <c r="AO80" s="164" t="str">
        <f t="shared" si="65"/>
        <v>kWh</v>
      </c>
      <c r="AP80" s="1">
        <f t="shared" si="58"/>
        <v>1</v>
      </c>
      <c r="AQ80" s="87" t="str">
        <f t="shared" si="59"/>
        <v>kWh/kWh</v>
      </c>
      <c r="AR80">
        <f t="shared" si="60"/>
        <v>0</v>
      </c>
      <c r="AS80" s="87" t="str">
        <f>'CPCI Data'!$W$12</f>
        <v>kWh</v>
      </c>
      <c r="AT80">
        <f t="shared" si="66"/>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61"/>
        <v>0</v>
      </c>
      <c r="BJ80" s="360">
        <f t="shared" si="61"/>
        <v>0</v>
      </c>
      <c r="BK80" s="360">
        <f t="shared" si="61"/>
        <v>0</v>
      </c>
      <c r="BL80" s="360">
        <f t="shared" si="61"/>
        <v>0</v>
      </c>
      <c r="BM80" s="360">
        <f t="shared" si="61"/>
        <v>0</v>
      </c>
      <c r="BN80" s="360">
        <f t="shared" si="61"/>
        <v>0</v>
      </c>
      <c r="BO80" s="360">
        <f t="shared" si="61"/>
        <v>0</v>
      </c>
      <c r="BP80" s="360">
        <f t="shared" si="61"/>
        <v>0</v>
      </c>
      <c r="BQ80" s="360">
        <f t="shared" si="61"/>
        <v>0</v>
      </c>
      <c r="BR80" s="360">
        <f t="shared" si="61"/>
        <v>0</v>
      </c>
      <c r="BS80" s="360">
        <f t="shared" si="61"/>
        <v>0</v>
      </c>
      <c r="BT80" s="360">
        <f t="shared" si="61"/>
        <v>0</v>
      </c>
      <c r="BU80" s="360">
        <f t="shared" si="61"/>
        <v>0</v>
      </c>
      <c r="BV80" s="360">
        <f t="shared" si="61"/>
        <v>0</v>
      </c>
      <c r="BW80" s="362">
        <f t="shared" si="62"/>
        <v>0</v>
      </c>
      <c r="BX80" s="362">
        <f t="shared" si="62"/>
        <v>0</v>
      </c>
      <c r="BY80" s="362">
        <f t="shared" si="62"/>
        <v>0</v>
      </c>
      <c r="BZ80" s="362">
        <f t="shared" si="62"/>
        <v>0</v>
      </c>
      <c r="CA80" s="362">
        <f t="shared" si="62"/>
        <v>0</v>
      </c>
      <c r="CB80" s="362">
        <f t="shared" si="62"/>
        <v>0</v>
      </c>
      <c r="CC80" s="362">
        <f t="shared" si="62"/>
        <v>0</v>
      </c>
      <c r="CD80" s="362">
        <f t="shared" si="62"/>
        <v>0</v>
      </c>
      <c r="CE80" s="362">
        <f t="shared" si="62"/>
        <v>0</v>
      </c>
      <c r="CF80" s="362">
        <f t="shared" si="62"/>
        <v>0</v>
      </c>
      <c r="CG80" s="362">
        <f t="shared" si="62"/>
        <v>0</v>
      </c>
      <c r="CH80" s="362">
        <f t="shared" si="62"/>
        <v>0</v>
      </c>
      <c r="CI80" s="362">
        <f t="shared" si="62"/>
        <v>0</v>
      </c>
      <c r="CJ80" s="362">
        <f t="shared" si="62"/>
        <v>0</v>
      </c>
      <c r="CK80"/>
      <c r="CO80"/>
      <c r="CP80"/>
      <c r="CQ80"/>
      <c r="CR80"/>
      <c r="CS80"/>
      <c r="CT80"/>
      <c r="CU80"/>
      <c r="CV80"/>
      <c r="CW80"/>
      <c r="CX80"/>
      <c r="CY80"/>
      <c r="CZ80"/>
      <c r="DA80"/>
      <c r="DB80"/>
    </row>
    <row r="81" spans="2:134" ht="15" hidden="1" customHeight="1">
      <c r="B81" s="53">
        <f t="shared" si="54"/>
        <v>0</v>
      </c>
      <c r="C81" s="26">
        <v>6</v>
      </c>
      <c r="D81" s="46" t="s">
        <v>474</v>
      </c>
      <c r="E81" s="420">
        <f>'Plant Inputs'!$G81</f>
        <v>0</v>
      </c>
      <c r="F81" s="204" t="str">
        <f>'Plant Inputs'!$H81</f>
        <v>kWh/short ton</v>
      </c>
      <c r="G81" s="160">
        <f t="shared" si="55"/>
        <v>0</v>
      </c>
      <c r="H81" s="204" t="str">
        <f t="shared" si="56"/>
        <v>kWh</v>
      </c>
      <c r="I81" s="160">
        <f t="shared" si="63"/>
        <v>0</v>
      </c>
      <c r="J81" s="177">
        <f t="shared" si="64"/>
        <v>0</v>
      </c>
      <c r="K81"/>
      <c r="L81"/>
      <c r="M81" s="12"/>
      <c r="N81" s="12"/>
      <c r="O81" s="12"/>
      <c r="P81" s="12"/>
      <c r="Q81" s="12"/>
      <c r="R81" s="12"/>
      <c r="S81" s="12"/>
      <c r="X81" s="65">
        <f>'Plant Inputs'!$X81</f>
        <v>0</v>
      </c>
      <c r="Y81" s="216">
        <f>IF(AND($X81=1,'Plant Inputs'!$Y81=1),1,0)</f>
        <v>0</v>
      </c>
      <c r="Z81" s="216"/>
      <c r="AA81" s="216"/>
      <c r="AB81" s="216"/>
      <c r="AC81" s="216"/>
      <c r="AD81" s="216"/>
      <c r="AE81" s="216"/>
      <c r="AF81" s="216"/>
      <c r="AG81" s="216"/>
      <c r="AH81" s="216"/>
      <c r="AI81" s="216"/>
      <c r="AJ81" s="216"/>
      <c r="AK81" s="216"/>
      <c r="AL81" s="216"/>
      <c r="AM81" s="1" t="str">
        <f t="shared" si="57"/>
        <v>On-Site Generated Electricity - Biomass</v>
      </c>
      <c r="AN81" s="403">
        <f t="shared" si="65"/>
        <v>0</v>
      </c>
      <c r="AO81" s="164" t="str">
        <f t="shared" si="65"/>
        <v>kWh</v>
      </c>
      <c r="AP81" s="1">
        <f t="shared" si="58"/>
        <v>1</v>
      </c>
      <c r="AQ81" s="87" t="str">
        <f t="shared" si="59"/>
        <v>kWh/kWh</v>
      </c>
      <c r="AR81">
        <f t="shared" si="60"/>
        <v>0</v>
      </c>
      <c r="AS81" s="87" t="str">
        <f>'CPCI Data'!$W$12</f>
        <v>kWh</v>
      </c>
      <c r="AT81">
        <f t="shared" si="66"/>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61"/>
        <v>0</v>
      </c>
      <c r="BJ81" s="360">
        <f t="shared" si="61"/>
        <v>0</v>
      </c>
      <c r="BK81" s="360">
        <f t="shared" si="61"/>
        <v>0</v>
      </c>
      <c r="BL81" s="360">
        <f t="shared" si="61"/>
        <v>0</v>
      </c>
      <c r="BM81" s="360">
        <f t="shared" si="61"/>
        <v>0</v>
      </c>
      <c r="BN81" s="360">
        <f t="shared" si="61"/>
        <v>0</v>
      </c>
      <c r="BO81" s="360">
        <f t="shared" si="61"/>
        <v>0</v>
      </c>
      <c r="BP81" s="360">
        <f t="shared" si="61"/>
        <v>0</v>
      </c>
      <c r="BQ81" s="360">
        <f t="shared" si="61"/>
        <v>0</v>
      </c>
      <c r="BR81" s="360">
        <f t="shared" si="61"/>
        <v>0</v>
      </c>
      <c r="BS81" s="360">
        <f t="shared" si="61"/>
        <v>0</v>
      </c>
      <c r="BT81" s="360">
        <f t="shared" si="61"/>
        <v>0</v>
      </c>
      <c r="BU81" s="360">
        <f t="shared" si="61"/>
        <v>0</v>
      </c>
      <c r="BV81" s="360">
        <f t="shared" si="61"/>
        <v>0</v>
      </c>
      <c r="BW81" s="362">
        <f t="shared" si="62"/>
        <v>0</v>
      </c>
      <c r="BX81" s="362">
        <f t="shared" si="62"/>
        <v>0</v>
      </c>
      <c r="BY81" s="362">
        <f t="shared" si="62"/>
        <v>0</v>
      </c>
      <c r="BZ81" s="362">
        <f t="shared" si="62"/>
        <v>0</v>
      </c>
      <c r="CA81" s="362">
        <f t="shared" si="62"/>
        <v>0</v>
      </c>
      <c r="CB81" s="362">
        <f t="shared" si="62"/>
        <v>0</v>
      </c>
      <c r="CC81" s="362">
        <f t="shared" si="62"/>
        <v>0</v>
      </c>
      <c r="CD81" s="362">
        <f t="shared" si="62"/>
        <v>0</v>
      </c>
      <c r="CE81" s="362">
        <f t="shared" si="62"/>
        <v>0</v>
      </c>
      <c r="CF81" s="362">
        <f t="shared" si="62"/>
        <v>0</v>
      </c>
      <c r="CG81" s="362">
        <f t="shared" si="62"/>
        <v>0</v>
      </c>
      <c r="CH81" s="362">
        <f t="shared" si="62"/>
        <v>0</v>
      </c>
      <c r="CI81" s="362">
        <f t="shared" si="62"/>
        <v>0</v>
      </c>
      <c r="CJ81" s="362">
        <f t="shared" si="62"/>
        <v>0</v>
      </c>
      <c r="CK81"/>
      <c r="CO81"/>
      <c r="CP81"/>
      <c r="CQ81"/>
      <c r="CR81"/>
      <c r="CS81"/>
      <c r="CT81"/>
      <c r="CU81"/>
      <c r="CV81"/>
      <c r="CW81"/>
      <c r="CX81"/>
      <c r="CY81"/>
      <c r="CZ81"/>
      <c r="DA81"/>
      <c r="DB81"/>
    </row>
    <row r="82" spans="2:134" ht="15" hidden="1" customHeight="1">
      <c r="B82" s="53">
        <f t="shared" si="54"/>
        <v>0</v>
      </c>
      <c r="C82" s="26">
        <v>7</v>
      </c>
      <c r="D82" s="46" t="s">
        <v>23</v>
      </c>
      <c r="E82" s="420">
        <f>'Plant Inputs'!$G82</f>
        <v>0</v>
      </c>
      <c r="F82" s="204" t="str">
        <f>'Plant Inputs'!$H82</f>
        <v>gallon/short ton</v>
      </c>
      <c r="G82" s="160">
        <f t="shared" si="55"/>
        <v>0</v>
      </c>
      <c r="H82" s="204" t="str">
        <f t="shared" si="56"/>
        <v>gallon</v>
      </c>
      <c r="I82" s="160">
        <f t="shared" si="63"/>
        <v>0</v>
      </c>
      <c r="J82" s="177">
        <f t="shared" si="64"/>
        <v>0</v>
      </c>
      <c r="K82"/>
      <c r="L82"/>
      <c r="X82" s="65">
        <f>'Plant Inputs'!$X82</f>
        <v>0</v>
      </c>
      <c r="Y82" s="216">
        <f>IF(AND($X82=1,'Plant Inputs'!$Y82=1),1,0)</f>
        <v>0</v>
      </c>
      <c r="Z82" s="216"/>
      <c r="AA82" s="216"/>
      <c r="AB82" s="216"/>
      <c r="AC82" s="216"/>
      <c r="AD82" s="216"/>
      <c r="AE82" s="216"/>
      <c r="AF82" s="216"/>
      <c r="AG82" s="216"/>
      <c r="AH82" s="216"/>
      <c r="AI82" s="216"/>
      <c r="AJ82" s="216"/>
      <c r="AK82" s="216"/>
      <c r="AL82" s="216"/>
      <c r="AM82" s="1" t="str">
        <f t="shared" si="57"/>
        <v>Gasoline</v>
      </c>
      <c r="AN82" s="403">
        <f t="shared" si="65"/>
        <v>0</v>
      </c>
      <c r="AO82" s="164" t="str">
        <f t="shared" si="65"/>
        <v>gallon</v>
      </c>
      <c r="AP82" s="1">
        <f t="shared" si="58"/>
        <v>0.26417203728418465</v>
      </c>
      <c r="AQ82" s="87" t="str">
        <f t="shared" si="59"/>
        <v>gallon/litre</v>
      </c>
      <c r="AR82">
        <f t="shared" si="60"/>
        <v>0</v>
      </c>
      <c r="AS82" s="87" t="str">
        <f>'CPCI Data'!$W$27</f>
        <v>litre</v>
      </c>
      <c r="AT82">
        <f t="shared" si="66"/>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61"/>
        <v>0</v>
      </c>
      <c r="BJ82" s="360">
        <f t="shared" si="61"/>
        <v>0</v>
      </c>
      <c r="BK82" s="360">
        <f t="shared" si="61"/>
        <v>0</v>
      </c>
      <c r="BL82" s="360">
        <f t="shared" si="61"/>
        <v>0</v>
      </c>
      <c r="BM82" s="360">
        <f t="shared" si="61"/>
        <v>0</v>
      </c>
      <c r="BN82" s="360">
        <f t="shared" si="61"/>
        <v>0</v>
      </c>
      <c r="BO82" s="360">
        <f t="shared" si="61"/>
        <v>0</v>
      </c>
      <c r="BP82" s="360">
        <f t="shared" si="61"/>
        <v>0</v>
      </c>
      <c r="BQ82" s="360">
        <f t="shared" si="61"/>
        <v>0</v>
      </c>
      <c r="BR82" s="360">
        <f t="shared" si="61"/>
        <v>0</v>
      </c>
      <c r="BS82" s="360">
        <f t="shared" si="61"/>
        <v>0</v>
      </c>
      <c r="BT82" s="360">
        <f t="shared" si="61"/>
        <v>0</v>
      </c>
      <c r="BU82" s="360">
        <f t="shared" si="61"/>
        <v>0</v>
      </c>
      <c r="BV82" s="360">
        <f t="shared" si="61"/>
        <v>0</v>
      </c>
      <c r="BW82" s="362">
        <f t="shared" si="62"/>
        <v>0</v>
      </c>
      <c r="BX82" s="362">
        <f t="shared" si="62"/>
        <v>0</v>
      </c>
      <c r="BY82" s="362">
        <f t="shared" si="62"/>
        <v>0</v>
      </c>
      <c r="BZ82" s="362">
        <f t="shared" si="62"/>
        <v>0</v>
      </c>
      <c r="CA82" s="362">
        <f t="shared" si="62"/>
        <v>0</v>
      </c>
      <c r="CB82" s="362">
        <f t="shared" si="62"/>
        <v>0</v>
      </c>
      <c r="CC82" s="362">
        <f t="shared" si="62"/>
        <v>0</v>
      </c>
      <c r="CD82" s="362">
        <f t="shared" si="62"/>
        <v>0</v>
      </c>
      <c r="CE82" s="362">
        <f t="shared" si="62"/>
        <v>0</v>
      </c>
      <c r="CF82" s="362">
        <f t="shared" si="62"/>
        <v>0</v>
      </c>
      <c r="CG82" s="362">
        <f t="shared" si="62"/>
        <v>0</v>
      </c>
      <c r="CH82" s="362">
        <f t="shared" si="62"/>
        <v>0</v>
      </c>
      <c r="CI82" s="362">
        <f t="shared" si="62"/>
        <v>0</v>
      </c>
      <c r="CJ82" s="362">
        <f t="shared" si="62"/>
        <v>0</v>
      </c>
      <c r="CK82"/>
      <c r="CL82"/>
      <c r="CM82"/>
      <c r="CN82"/>
      <c r="CO82"/>
      <c r="CP82"/>
      <c r="CQ82"/>
      <c r="CR82"/>
      <c r="CS82"/>
      <c r="CT82"/>
      <c r="CU82"/>
      <c r="CV82"/>
      <c r="CW82"/>
      <c r="CX82"/>
      <c r="CY82"/>
      <c r="CZ82"/>
      <c r="DA82"/>
      <c r="DB82"/>
    </row>
    <row r="83" spans="2:134" ht="15" hidden="1" customHeight="1">
      <c r="B83" s="53">
        <f t="shared" si="54"/>
        <v>0</v>
      </c>
      <c r="C83" s="26">
        <v>8</v>
      </c>
      <c r="D83" s="46" t="s">
        <v>8</v>
      </c>
      <c r="E83" s="420">
        <f>'Plant Inputs'!$G83</f>
        <v>0</v>
      </c>
      <c r="F83" s="204" t="str">
        <f>'Plant Inputs'!$H83</f>
        <v>ft3/short ton</v>
      </c>
      <c r="G83" s="160">
        <f t="shared" si="55"/>
        <v>0</v>
      </c>
      <c r="H83" s="204" t="str">
        <f t="shared" si="56"/>
        <v>ft3</v>
      </c>
      <c r="I83" s="160">
        <f t="shared" si="63"/>
        <v>0</v>
      </c>
      <c r="J83" s="177">
        <f t="shared" si="64"/>
        <v>0</v>
      </c>
      <c r="K83"/>
      <c r="L83"/>
      <c r="X83" s="65">
        <f>'Plant Inputs'!$X83</f>
        <v>0</v>
      </c>
      <c r="Y83" s="216">
        <f>IF(AND($X83=1,'Plant Inputs'!$Y83=1),1,0)</f>
        <v>0</v>
      </c>
      <c r="Z83" s="216"/>
      <c r="AA83" s="216"/>
      <c r="AB83" s="216"/>
      <c r="AC83" s="216"/>
      <c r="AD83" s="216"/>
      <c r="AE83" s="216"/>
      <c r="AF83" s="216"/>
      <c r="AG83" s="216"/>
      <c r="AH83" s="216"/>
      <c r="AI83" s="216"/>
      <c r="AJ83" s="216"/>
      <c r="AK83" s="216"/>
      <c r="AL83" s="216"/>
      <c r="AM83" s="1" t="str">
        <f t="shared" si="57"/>
        <v>Natural Gas</v>
      </c>
      <c r="AN83" s="403">
        <f t="shared" si="65"/>
        <v>0</v>
      </c>
      <c r="AO83" s="164" t="str">
        <f t="shared" si="65"/>
        <v>ft3</v>
      </c>
      <c r="AP83" s="1">
        <f t="shared" si="58"/>
        <v>35.31467</v>
      </c>
      <c r="AQ83" s="87" t="str">
        <f t="shared" si="59"/>
        <v>ft3/m3</v>
      </c>
      <c r="AR83">
        <f t="shared" si="60"/>
        <v>0</v>
      </c>
      <c r="AS83" s="87" t="str">
        <f>'CPCI Data'!$W$20</f>
        <v>m3</v>
      </c>
      <c r="AT83">
        <f t="shared" si="66"/>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61"/>
        <v>0</v>
      </c>
      <c r="BJ83" s="360">
        <f t="shared" si="61"/>
        <v>0</v>
      </c>
      <c r="BK83" s="360">
        <f t="shared" si="61"/>
        <v>0</v>
      </c>
      <c r="BL83" s="360">
        <f t="shared" si="61"/>
        <v>0</v>
      </c>
      <c r="BM83" s="360">
        <f t="shared" si="61"/>
        <v>0</v>
      </c>
      <c r="BN83" s="360">
        <f t="shared" si="61"/>
        <v>0</v>
      </c>
      <c r="BO83" s="360">
        <f t="shared" si="61"/>
        <v>0</v>
      </c>
      <c r="BP83" s="360">
        <f t="shared" si="61"/>
        <v>0</v>
      </c>
      <c r="BQ83" s="360">
        <f t="shared" si="61"/>
        <v>0</v>
      </c>
      <c r="BR83" s="360">
        <f t="shared" si="61"/>
        <v>0</v>
      </c>
      <c r="BS83" s="360">
        <f t="shared" si="61"/>
        <v>0</v>
      </c>
      <c r="BT83" s="360">
        <f t="shared" si="61"/>
        <v>0</v>
      </c>
      <c r="BU83" s="360">
        <f t="shared" si="61"/>
        <v>0</v>
      </c>
      <c r="BV83" s="360">
        <f t="shared" si="61"/>
        <v>0</v>
      </c>
      <c r="BW83" s="362">
        <f t="shared" si="62"/>
        <v>0</v>
      </c>
      <c r="BX83" s="362">
        <f t="shared" si="62"/>
        <v>0</v>
      </c>
      <c r="BY83" s="362">
        <f t="shared" si="62"/>
        <v>0</v>
      </c>
      <c r="BZ83" s="362">
        <f t="shared" si="62"/>
        <v>0</v>
      </c>
      <c r="CA83" s="362">
        <f t="shared" si="62"/>
        <v>0</v>
      </c>
      <c r="CB83" s="362">
        <f t="shared" si="62"/>
        <v>0</v>
      </c>
      <c r="CC83" s="362">
        <f t="shared" si="62"/>
        <v>0</v>
      </c>
      <c r="CD83" s="362">
        <f t="shared" si="62"/>
        <v>0</v>
      </c>
      <c r="CE83" s="362">
        <f t="shared" si="62"/>
        <v>0</v>
      </c>
      <c r="CF83" s="362">
        <f t="shared" si="62"/>
        <v>0</v>
      </c>
      <c r="CG83" s="362">
        <f t="shared" si="62"/>
        <v>0</v>
      </c>
      <c r="CH83" s="362">
        <f t="shared" si="62"/>
        <v>0</v>
      </c>
      <c r="CI83" s="362">
        <f t="shared" si="62"/>
        <v>0</v>
      </c>
      <c r="CJ83" s="362">
        <f t="shared" si="62"/>
        <v>0</v>
      </c>
      <c r="CK83"/>
      <c r="CL83"/>
      <c r="CM83"/>
      <c r="CN83"/>
      <c r="CO83"/>
      <c r="CP83"/>
      <c r="CQ83"/>
      <c r="CR83"/>
      <c r="CS83"/>
      <c r="CT83"/>
      <c r="CU83"/>
      <c r="CV83"/>
      <c r="CW83"/>
      <c r="CX83"/>
      <c r="CY83"/>
      <c r="CZ83"/>
      <c r="DA83"/>
      <c r="DB83"/>
    </row>
    <row r="84" spans="2:134" ht="15" hidden="1" customHeight="1">
      <c r="B84" s="53">
        <f t="shared" si="54"/>
        <v>0</v>
      </c>
      <c r="C84" s="26">
        <v>9</v>
      </c>
      <c r="D84" s="41" t="s">
        <v>9</v>
      </c>
      <c r="E84" s="420">
        <f>'Plant Inputs'!$G84</f>
        <v>0</v>
      </c>
      <c r="F84" s="204" t="str">
        <f>'Plant Inputs'!$H84</f>
        <v>gallon/short ton</v>
      </c>
      <c r="G84" s="160">
        <f t="shared" si="55"/>
        <v>0</v>
      </c>
      <c r="H84" s="204" t="str">
        <f t="shared" si="56"/>
        <v>gallon</v>
      </c>
      <c r="I84" s="160">
        <f t="shared" si="63"/>
        <v>0</v>
      </c>
      <c r="J84" s="177">
        <f t="shared" si="64"/>
        <v>0</v>
      </c>
      <c r="K84"/>
      <c r="L84"/>
      <c r="X84" s="65">
        <f>'Plant Inputs'!$X84</f>
        <v>0</v>
      </c>
      <c r="Y84" s="216">
        <f>IF(AND($X84=1,'Plant Inputs'!$Y84=1),1,0)</f>
        <v>0</v>
      </c>
      <c r="Z84" s="216"/>
      <c r="AA84" s="216"/>
      <c r="AB84" s="216"/>
      <c r="AC84" s="216"/>
      <c r="AD84" s="216"/>
      <c r="AE84" s="216"/>
      <c r="AF84" s="216"/>
      <c r="AG84" s="216"/>
      <c r="AH84" s="216"/>
      <c r="AI84" s="216"/>
      <c r="AJ84" s="216"/>
      <c r="AK84" s="216"/>
      <c r="AL84" s="216"/>
      <c r="AM84" s="1" t="str">
        <f t="shared" si="57"/>
        <v>Diesel</v>
      </c>
      <c r="AN84" s="403">
        <f t="shared" si="65"/>
        <v>0</v>
      </c>
      <c r="AO84" s="164" t="str">
        <f t="shared" si="65"/>
        <v>gallon</v>
      </c>
      <c r="AP84" s="1">
        <f t="shared" si="58"/>
        <v>0.26417203728418465</v>
      </c>
      <c r="AQ84" s="87" t="str">
        <f t="shared" si="59"/>
        <v>gallon/litre</v>
      </c>
      <c r="AR84">
        <f t="shared" si="60"/>
        <v>0</v>
      </c>
      <c r="AS84" s="87" t="str">
        <f>'CPCI Data'!$W$27</f>
        <v>litre</v>
      </c>
      <c r="AT84">
        <f t="shared" si="66"/>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61"/>
        <v>0</v>
      </c>
      <c r="BJ84" s="360">
        <f t="shared" si="61"/>
        <v>0</v>
      </c>
      <c r="BK84" s="360">
        <f t="shared" si="61"/>
        <v>0</v>
      </c>
      <c r="BL84" s="360">
        <f t="shared" si="61"/>
        <v>0</v>
      </c>
      <c r="BM84" s="360">
        <f t="shared" si="61"/>
        <v>0</v>
      </c>
      <c r="BN84" s="360">
        <f t="shared" si="61"/>
        <v>0</v>
      </c>
      <c r="BO84" s="360">
        <f t="shared" si="61"/>
        <v>0</v>
      </c>
      <c r="BP84" s="360">
        <f t="shared" si="61"/>
        <v>0</v>
      </c>
      <c r="BQ84" s="360">
        <f t="shared" si="61"/>
        <v>0</v>
      </c>
      <c r="BR84" s="360">
        <f t="shared" si="61"/>
        <v>0</v>
      </c>
      <c r="BS84" s="360">
        <f t="shared" si="61"/>
        <v>0</v>
      </c>
      <c r="BT84" s="360">
        <f t="shared" si="61"/>
        <v>0</v>
      </c>
      <c r="BU84" s="360">
        <f t="shared" si="61"/>
        <v>0</v>
      </c>
      <c r="BV84" s="360">
        <f t="shared" si="61"/>
        <v>0</v>
      </c>
      <c r="BW84" s="362">
        <f t="shared" si="62"/>
        <v>0</v>
      </c>
      <c r="BX84" s="362">
        <f t="shared" si="62"/>
        <v>0</v>
      </c>
      <c r="BY84" s="362">
        <f t="shared" si="62"/>
        <v>0</v>
      </c>
      <c r="BZ84" s="362">
        <f t="shared" si="62"/>
        <v>0</v>
      </c>
      <c r="CA84" s="362">
        <f t="shared" si="62"/>
        <v>0</v>
      </c>
      <c r="CB84" s="362">
        <f t="shared" si="62"/>
        <v>0</v>
      </c>
      <c r="CC84" s="362">
        <f t="shared" si="62"/>
        <v>0</v>
      </c>
      <c r="CD84" s="362">
        <f t="shared" si="62"/>
        <v>0</v>
      </c>
      <c r="CE84" s="362">
        <f t="shared" si="62"/>
        <v>0</v>
      </c>
      <c r="CF84" s="362">
        <f t="shared" si="62"/>
        <v>0</v>
      </c>
      <c r="CG84" s="362">
        <f t="shared" si="62"/>
        <v>0</v>
      </c>
      <c r="CH84" s="362">
        <f t="shared" si="62"/>
        <v>0</v>
      </c>
      <c r="CI84" s="362">
        <f t="shared" si="62"/>
        <v>0</v>
      </c>
      <c r="CJ84" s="362">
        <f t="shared" si="62"/>
        <v>0</v>
      </c>
      <c r="CK84"/>
      <c r="CL84"/>
      <c r="CM84"/>
      <c r="CN84"/>
      <c r="CO84"/>
      <c r="CP84"/>
      <c r="CQ84"/>
      <c r="CR84"/>
      <c r="CS84"/>
      <c r="CT84"/>
      <c r="CU84"/>
      <c r="CV84"/>
      <c r="CW84"/>
      <c r="CX84"/>
      <c r="CY84"/>
      <c r="CZ84"/>
      <c r="DA84"/>
      <c r="DB84"/>
    </row>
    <row r="85" spans="2:134" ht="15" hidden="1" customHeight="1">
      <c r="B85" s="53">
        <f t="shared" si="54"/>
        <v>0</v>
      </c>
      <c r="C85" s="26">
        <v>10</v>
      </c>
      <c r="D85" s="41" t="s">
        <v>118</v>
      </c>
      <c r="E85" s="420">
        <f>'Plant Inputs'!$G85</f>
        <v>0</v>
      </c>
      <c r="F85" s="204" t="str">
        <f>'Plant Inputs'!$H85</f>
        <v>gallon/short ton</v>
      </c>
      <c r="G85" s="160">
        <f t="shared" si="55"/>
        <v>0</v>
      </c>
      <c r="H85" s="204" t="str">
        <f t="shared" si="56"/>
        <v>gallon</v>
      </c>
      <c r="I85" s="160">
        <f t="shared" si="63"/>
        <v>0</v>
      </c>
      <c r="J85" s="177">
        <f t="shared" si="64"/>
        <v>0</v>
      </c>
      <c r="K85"/>
      <c r="L85"/>
      <c r="M85" s="12"/>
      <c r="N85" s="12"/>
      <c r="O85" s="12"/>
      <c r="P85" s="12"/>
      <c r="Q85" s="12"/>
      <c r="R85" s="12"/>
      <c r="S85" s="12"/>
      <c r="X85" s="65">
        <f>'Plant Inputs'!$X85</f>
        <v>0</v>
      </c>
      <c r="Y85" s="216">
        <f>IF(AND($X85=1,'Plant Inputs'!$Y85=1),1,0)</f>
        <v>0</v>
      </c>
      <c r="Z85" s="216"/>
      <c r="AA85" s="216"/>
      <c r="AB85" s="216"/>
      <c r="AC85" s="216"/>
      <c r="AD85" s="216"/>
      <c r="AE85" s="216"/>
      <c r="AF85" s="216"/>
      <c r="AG85" s="216"/>
      <c r="AH85" s="216"/>
      <c r="AI85" s="216"/>
      <c r="AJ85" s="216"/>
      <c r="AK85" s="216"/>
      <c r="AL85" s="216"/>
      <c r="AM85" s="1" t="str">
        <f t="shared" si="57"/>
        <v>Heavy Fuel Oil</v>
      </c>
      <c r="AN85" s="403">
        <f t="shared" si="65"/>
        <v>0</v>
      </c>
      <c r="AO85" s="164" t="str">
        <f t="shared" si="65"/>
        <v>gallon</v>
      </c>
      <c r="AP85" s="1">
        <f t="shared" si="58"/>
        <v>0.26417203728418465</v>
      </c>
      <c r="AQ85" s="87" t="str">
        <f t="shared" si="59"/>
        <v>gallon/litre</v>
      </c>
      <c r="AR85">
        <f t="shared" si="60"/>
        <v>0</v>
      </c>
      <c r="AS85" s="87" t="str">
        <f>'CPCI Data'!$W$27</f>
        <v>litre</v>
      </c>
      <c r="AT85">
        <f t="shared" si="66"/>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61"/>
        <v>0</v>
      </c>
      <c r="BJ85" s="360">
        <f t="shared" si="61"/>
        <v>0</v>
      </c>
      <c r="BK85" s="360">
        <f t="shared" si="61"/>
        <v>0</v>
      </c>
      <c r="BL85" s="360">
        <f t="shared" si="61"/>
        <v>0</v>
      </c>
      <c r="BM85" s="360">
        <f t="shared" si="61"/>
        <v>0</v>
      </c>
      <c r="BN85" s="360">
        <f t="shared" si="61"/>
        <v>0</v>
      </c>
      <c r="BO85" s="360">
        <f t="shared" si="61"/>
        <v>0</v>
      </c>
      <c r="BP85" s="360">
        <f t="shared" si="61"/>
        <v>0</v>
      </c>
      <c r="BQ85" s="360">
        <f t="shared" si="61"/>
        <v>0</v>
      </c>
      <c r="BR85" s="360">
        <f t="shared" si="61"/>
        <v>0</v>
      </c>
      <c r="BS85" s="360">
        <f t="shared" si="61"/>
        <v>0</v>
      </c>
      <c r="BT85" s="360">
        <f t="shared" si="61"/>
        <v>0</v>
      </c>
      <c r="BU85" s="360">
        <f t="shared" si="61"/>
        <v>0</v>
      </c>
      <c r="BV85" s="360">
        <f t="shared" si="61"/>
        <v>0</v>
      </c>
      <c r="BW85" s="362">
        <f t="shared" si="62"/>
        <v>0</v>
      </c>
      <c r="BX85" s="362">
        <f t="shared" si="62"/>
        <v>0</v>
      </c>
      <c r="BY85" s="362">
        <f t="shared" si="62"/>
        <v>0</v>
      </c>
      <c r="BZ85" s="362">
        <f t="shared" si="62"/>
        <v>0</v>
      </c>
      <c r="CA85" s="362">
        <f t="shared" si="62"/>
        <v>0</v>
      </c>
      <c r="CB85" s="362">
        <f t="shared" si="62"/>
        <v>0</v>
      </c>
      <c r="CC85" s="362">
        <f t="shared" si="62"/>
        <v>0</v>
      </c>
      <c r="CD85" s="362">
        <f t="shared" si="62"/>
        <v>0</v>
      </c>
      <c r="CE85" s="362">
        <f t="shared" si="62"/>
        <v>0</v>
      </c>
      <c r="CF85" s="362">
        <f t="shared" si="62"/>
        <v>0</v>
      </c>
      <c r="CG85" s="362">
        <f t="shared" si="62"/>
        <v>0</v>
      </c>
      <c r="CH85" s="362">
        <f t="shared" si="62"/>
        <v>0</v>
      </c>
      <c r="CI85" s="362">
        <f t="shared" si="62"/>
        <v>0</v>
      </c>
      <c r="CJ85" s="362">
        <f t="shared" si="62"/>
        <v>0</v>
      </c>
      <c r="CK85"/>
      <c r="CO85"/>
      <c r="CP85"/>
      <c r="CQ85"/>
      <c r="CR85"/>
      <c r="CS85"/>
      <c r="CT85"/>
      <c r="CU85"/>
      <c r="CV85"/>
      <c r="CW85"/>
      <c r="CX85"/>
      <c r="CY85"/>
      <c r="CZ85"/>
      <c r="DA85"/>
      <c r="DB85"/>
    </row>
    <row r="86" spans="2:134" ht="15" hidden="1" customHeight="1" thickBot="1">
      <c r="B86" s="53">
        <f t="shared" si="54"/>
        <v>0</v>
      </c>
      <c r="C86" s="32">
        <v>11</v>
      </c>
      <c r="D86" s="47" t="s">
        <v>263</v>
      </c>
      <c r="E86" s="421">
        <f>'Plant Inputs'!$G86</f>
        <v>0</v>
      </c>
      <c r="F86" s="227" t="str">
        <f>'Plant Inputs'!$H86</f>
        <v>gallon/short ton</v>
      </c>
      <c r="G86" s="163">
        <f t="shared" si="55"/>
        <v>0</v>
      </c>
      <c r="H86" s="204" t="str">
        <f t="shared" si="56"/>
        <v>gallon</v>
      </c>
      <c r="I86" s="160">
        <f t="shared" si="63"/>
        <v>0</v>
      </c>
      <c r="J86" s="177">
        <f t="shared" si="64"/>
        <v>0</v>
      </c>
      <c r="K86"/>
      <c r="L86"/>
      <c r="X86" s="65">
        <f>'Plant Inputs'!$X86</f>
        <v>0</v>
      </c>
      <c r="Y86" s="216">
        <f>IF(AND($X86=1,'Plant Inputs'!$Y86=1),1,0)</f>
        <v>0</v>
      </c>
      <c r="Z86" s="216"/>
      <c r="AA86" s="216"/>
      <c r="AB86" s="216"/>
      <c r="AC86" s="216"/>
      <c r="AD86" s="216"/>
      <c r="AE86" s="216"/>
      <c r="AF86" s="216"/>
      <c r="AG86" s="216"/>
      <c r="AH86" s="216"/>
      <c r="AI86" s="216"/>
      <c r="AJ86" s="216"/>
      <c r="AK86" s="216"/>
      <c r="AL86" s="216"/>
      <c r="AM86" s="1" t="str">
        <f t="shared" si="57"/>
        <v>LPG (Liquified Propane Gas)</v>
      </c>
      <c r="AN86" s="403">
        <f t="shared" si="65"/>
        <v>0</v>
      </c>
      <c r="AO86" s="164" t="str">
        <f t="shared" si="65"/>
        <v>gallon</v>
      </c>
      <c r="AP86" s="1">
        <f t="shared" si="58"/>
        <v>0.26417203728418465</v>
      </c>
      <c r="AQ86" s="87" t="str">
        <f t="shared" si="59"/>
        <v>gallon/litre</v>
      </c>
      <c r="AR86">
        <f t="shared" si="60"/>
        <v>0</v>
      </c>
      <c r="AS86" s="87" t="str">
        <f>'CPCI Data'!$W$27</f>
        <v>litre</v>
      </c>
      <c r="AT86">
        <f t="shared" si="66"/>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61"/>
        <v>0</v>
      </c>
      <c r="BJ86" s="360">
        <f t="shared" si="61"/>
        <v>0</v>
      </c>
      <c r="BK86" s="360">
        <f t="shared" si="61"/>
        <v>0</v>
      </c>
      <c r="BL86" s="360">
        <f t="shared" si="61"/>
        <v>0</v>
      </c>
      <c r="BM86" s="360">
        <f t="shared" si="61"/>
        <v>0</v>
      </c>
      <c r="BN86" s="360">
        <f t="shared" si="61"/>
        <v>0</v>
      </c>
      <c r="BO86" s="360">
        <f t="shared" si="61"/>
        <v>0</v>
      </c>
      <c r="BP86" s="360">
        <f t="shared" si="61"/>
        <v>0</v>
      </c>
      <c r="BQ86" s="360">
        <f t="shared" si="61"/>
        <v>0</v>
      </c>
      <c r="BR86" s="360">
        <f t="shared" si="61"/>
        <v>0</v>
      </c>
      <c r="BS86" s="360">
        <f t="shared" si="61"/>
        <v>0</v>
      </c>
      <c r="BT86" s="360">
        <f t="shared" si="61"/>
        <v>0</v>
      </c>
      <c r="BU86" s="360">
        <f t="shared" si="61"/>
        <v>0</v>
      </c>
      <c r="BV86" s="360">
        <f t="shared" si="61"/>
        <v>0</v>
      </c>
      <c r="BW86" s="362">
        <f t="shared" si="62"/>
        <v>0</v>
      </c>
      <c r="BX86" s="362">
        <f t="shared" si="62"/>
        <v>0</v>
      </c>
      <c r="BY86" s="362">
        <f t="shared" si="62"/>
        <v>0</v>
      </c>
      <c r="BZ86" s="362">
        <f t="shared" si="62"/>
        <v>0</v>
      </c>
      <c r="CA86" s="362">
        <f t="shared" si="62"/>
        <v>0</v>
      </c>
      <c r="CB86" s="362">
        <f t="shared" si="62"/>
        <v>0</v>
      </c>
      <c r="CC86" s="362">
        <f t="shared" si="62"/>
        <v>0</v>
      </c>
      <c r="CD86" s="362">
        <f t="shared" si="62"/>
        <v>0</v>
      </c>
      <c r="CE86" s="362">
        <f t="shared" si="62"/>
        <v>0</v>
      </c>
      <c r="CF86" s="362">
        <f t="shared" si="62"/>
        <v>0</v>
      </c>
      <c r="CG86" s="362">
        <f t="shared" si="62"/>
        <v>0</v>
      </c>
      <c r="CH86" s="362">
        <f t="shared" si="62"/>
        <v>0</v>
      </c>
      <c r="CI86" s="362">
        <f t="shared" si="62"/>
        <v>0</v>
      </c>
      <c r="CJ86" s="362">
        <f t="shared" si="62"/>
        <v>0</v>
      </c>
      <c r="CK86"/>
      <c r="CL86"/>
      <c r="CM86"/>
      <c r="CN86"/>
      <c r="CO86"/>
      <c r="CP86"/>
      <c r="CQ86"/>
      <c r="CR86"/>
      <c r="CS86"/>
      <c r="CT86"/>
      <c r="CU86"/>
      <c r="CV86"/>
      <c r="CW86"/>
      <c r="CX86"/>
      <c r="CY86"/>
      <c r="CZ86"/>
      <c r="DA86"/>
      <c r="DB86"/>
    </row>
    <row r="87" spans="2:134" ht="15" hidden="1" customHeight="1" thickBot="1">
      <c r="H87" s="45" t="s">
        <v>19</v>
      </c>
      <c r="I87" s="163">
        <f t="shared" si="63"/>
        <v>0</v>
      </c>
      <c r="J87" s="178">
        <f t="shared" si="64"/>
        <v>0</v>
      </c>
      <c r="K87"/>
      <c r="L87"/>
      <c r="AR87" t="s">
        <v>133</v>
      </c>
      <c r="AU87" s="358">
        <f>SUM(AU76:AU86)</f>
        <v>0</v>
      </c>
      <c r="AV87" s="358">
        <f t="shared" ref="AV87:AZ87" si="67">SUM(AV76:AV86)</f>
        <v>0</v>
      </c>
      <c r="AW87" s="358">
        <f t="shared" si="67"/>
        <v>0</v>
      </c>
      <c r="AX87" s="358">
        <f t="shared" si="67"/>
        <v>0</v>
      </c>
      <c r="AY87" s="358">
        <f t="shared" si="67"/>
        <v>0</v>
      </c>
      <c r="AZ87" s="358">
        <f t="shared" si="67"/>
        <v>0</v>
      </c>
      <c r="BA87" s="358">
        <f>SUM(BA76:BA86)</f>
        <v>0</v>
      </c>
      <c r="BB87" s="358">
        <f t="shared" ref="BB87:BH87" si="68">SUM(BB76:BB86)</f>
        <v>0</v>
      </c>
      <c r="BC87" s="358">
        <f t="shared" si="68"/>
        <v>0</v>
      </c>
      <c r="BD87" s="358">
        <f t="shared" si="68"/>
        <v>0</v>
      </c>
      <c r="BE87" s="358">
        <f t="shared" si="68"/>
        <v>0</v>
      </c>
      <c r="BF87" s="358">
        <f t="shared" si="68"/>
        <v>0</v>
      </c>
      <c r="BG87" s="358">
        <f t="shared" si="68"/>
        <v>0</v>
      </c>
      <c r="BH87" s="358">
        <f t="shared" si="68"/>
        <v>0</v>
      </c>
      <c r="BI87" s="360">
        <f t="shared" si="61"/>
        <v>0</v>
      </c>
      <c r="BJ87" s="360">
        <f t="shared" si="61"/>
        <v>0</v>
      </c>
      <c r="BK87" s="360">
        <f t="shared" si="61"/>
        <v>0</v>
      </c>
      <c r="BL87" s="360">
        <f t="shared" si="61"/>
        <v>0</v>
      </c>
      <c r="BM87" s="360">
        <f t="shared" si="61"/>
        <v>0</v>
      </c>
      <c r="BN87" s="360">
        <f t="shared" si="61"/>
        <v>0</v>
      </c>
      <c r="BO87" s="360">
        <f t="shared" si="61"/>
        <v>0</v>
      </c>
      <c r="BP87" s="360">
        <f t="shared" si="61"/>
        <v>0</v>
      </c>
      <c r="BQ87" s="360">
        <f t="shared" si="61"/>
        <v>0</v>
      </c>
      <c r="BR87" s="360">
        <f t="shared" si="61"/>
        <v>0</v>
      </c>
      <c r="BS87" s="360">
        <f t="shared" si="61"/>
        <v>0</v>
      </c>
      <c r="BT87" s="360">
        <f t="shared" si="61"/>
        <v>0</v>
      </c>
      <c r="BU87" s="360">
        <f t="shared" si="61"/>
        <v>0</v>
      </c>
      <c r="BV87" s="360">
        <f t="shared" si="61"/>
        <v>0</v>
      </c>
      <c r="BW87" s="362">
        <f t="shared" si="62"/>
        <v>0</v>
      </c>
      <c r="BX87" s="362">
        <f t="shared" si="62"/>
        <v>0</v>
      </c>
      <c r="BY87" s="362">
        <f t="shared" si="62"/>
        <v>0</v>
      </c>
      <c r="BZ87" s="362">
        <f t="shared" si="62"/>
        <v>0</v>
      </c>
      <c r="CA87" s="362">
        <f t="shared" si="62"/>
        <v>0</v>
      </c>
      <c r="CB87" s="362">
        <f t="shared" si="62"/>
        <v>0</v>
      </c>
      <c r="CC87" s="362">
        <f t="shared" si="62"/>
        <v>0</v>
      </c>
      <c r="CD87" s="362">
        <f t="shared" si="62"/>
        <v>0</v>
      </c>
      <c r="CE87" s="362">
        <f t="shared" si="62"/>
        <v>0</v>
      </c>
      <c r="CF87" s="362">
        <f t="shared" si="62"/>
        <v>0</v>
      </c>
      <c r="CG87" s="362">
        <f t="shared" si="62"/>
        <v>0</v>
      </c>
      <c r="CH87" s="362">
        <f t="shared" si="62"/>
        <v>0</v>
      </c>
      <c r="CI87" s="362">
        <f t="shared" si="62"/>
        <v>0</v>
      </c>
      <c r="CJ87" s="362">
        <f t="shared" si="62"/>
        <v>0</v>
      </c>
      <c r="CK87"/>
      <c r="CL87"/>
      <c r="CM87"/>
      <c r="CN87"/>
      <c r="CO87"/>
      <c r="CP87"/>
      <c r="CQ87"/>
      <c r="CR87"/>
      <c r="CS87"/>
      <c r="CT87"/>
      <c r="CU87"/>
      <c r="CV87"/>
      <c r="CW87"/>
      <c r="CX87"/>
      <c r="CY87"/>
      <c r="CZ87"/>
      <c r="DA87"/>
      <c r="DB87"/>
    </row>
    <row r="88" spans="2:134" ht="15" hidden="1" customHeight="1">
      <c r="J88" s="55"/>
      <c r="K88" s="55"/>
      <c r="L88" s="55"/>
      <c r="M88" s="72"/>
      <c r="N88" s="72"/>
      <c r="O88" s="72"/>
      <c r="P88" s="72"/>
      <c r="Q88" s="72"/>
      <c r="R88" s="72"/>
      <c r="S88" s="72"/>
      <c r="T88" s="76"/>
    </row>
    <row r="89" spans="2:134" ht="15" hidden="1" customHeight="1">
      <c r="T89" s="76"/>
    </row>
    <row r="90" spans="2:134" hidden="1">
      <c r="I90" s="3"/>
      <c r="J90" s="3"/>
      <c r="L90" s="13"/>
      <c r="O90" s="75"/>
      <c r="P90"/>
      <c r="Q90"/>
      <c r="R90"/>
      <c r="S90"/>
      <c r="T90"/>
      <c r="AN90" s="1"/>
      <c r="AO90" s="1"/>
      <c r="AP90" s="1"/>
      <c r="BM90" s="1" t="s">
        <v>336</v>
      </c>
      <c r="BN90" s="87">
        <v>1</v>
      </c>
      <c r="BV90"/>
      <c r="BW90"/>
      <c r="BX90"/>
      <c r="BY90"/>
      <c r="BZ90"/>
      <c r="CA90"/>
      <c r="CB90"/>
      <c r="CC90"/>
      <c r="CD90"/>
      <c r="CE90"/>
      <c r="CF90"/>
      <c r="CG90"/>
      <c r="CH90"/>
      <c r="CI90"/>
      <c r="CJ90"/>
      <c r="CK90"/>
    </row>
    <row r="91" spans="2:134" ht="16" hidden="1" thickBot="1">
      <c r="O91" s="76"/>
      <c r="P91"/>
      <c r="Q91"/>
      <c r="R91"/>
      <c r="S91"/>
      <c r="T91"/>
      <c r="AN91" s="1"/>
      <c r="AO91" s="1"/>
      <c r="AP91" s="1"/>
      <c r="BV91"/>
      <c r="BW91"/>
      <c r="BX91"/>
      <c r="BY91"/>
      <c r="BZ91"/>
      <c r="CA91"/>
      <c r="CB91"/>
      <c r="CC91"/>
      <c r="CD91"/>
      <c r="CE91"/>
      <c r="CF91"/>
    </row>
    <row r="92" spans="2:134" ht="21" hidden="1" thickBot="1">
      <c r="C92" s="16" t="s">
        <v>483</v>
      </c>
      <c r="D92" s="17"/>
      <c r="E92" s="17"/>
      <c r="F92" s="17"/>
      <c r="G92" s="70"/>
      <c r="H92" s="70"/>
      <c r="I92" s="70"/>
      <c r="J92"/>
      <c r="K92"/>
      <c r="L92"/>
      <c r="M92"/>
      <c r="N92"/>
      <c r="O92" s="12"/>
      <c r="P92"/>
      <c r="Q92"/>
      <c r="R92"/>
      <c r="S92"/>
      <c r="T9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5.75" hidden="1" customHeight="1" thickBot="1">
      <c r="C93" s="73" t="s">
        <v>747</v>
      </c>
      <c r="D93" s="74"/>
      <c r="E93" s="74"/>
      <c r="F93" s="74"/>
      <c r="G93" s="74"/>
      <c r="H93" s="307"/>
      <c r="I93" s="596"/>
      <c r="J93"/>
      <c r="K93"/>
      <c r="L93"/>
      <c r="M93"/>
      <c r="N93"/>
      <c r="O93" s="12"/>
      <c r="P93"/>
      <c r="Q93"/>
      <c r="R93"/>
      <c r="S93"/>
      <c r="T93"/>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hidden="1" customHeight="1">
      <c r="C94" s="599"/>
      <c r="D94" s="600"/>
      <c r="E94" s="600"/>
      <c r="F94" s="600"/>
      <c r="G94" s="600"/>
      <c r="H94" s="600"/>
      <c r="I94" s="597"/>
      <c r="J94"/>
      <c r="K94"/>
      <c r="L94"/>
      <c r="M94"/>
      <c r="N94"/>
      <c r="O94" s="12"/>
      <c r="P94"/>
      <c r="Q94"/>
      <c r="R94"/>
      <c r="S94"/>
      <c r="T94"/>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15.75" hidden="1" customHeight="1">
      <c r="C95" s="601"/>
      <c r="D95" s="602"/>
      <c r="E95" s="602"/>
      <c r="F95" s="602"/>
      <c r="G95" s="602"/>
      <c r="H95" s="602"/>
      <c r="I95" s="597"/>
      <c r="J95"/>
      <c r="K95"/>
      <c r="L95"/>
      <c r="M95"/>
      <c r="N95"/>
      <c r="O95" s="12"/>
      <c r="P95"/>
      <c r="Q95"/>
      <c r="R95"/>
      <c r="S95"/>
      <c r="T95"/>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ht="33.75" hidden="1" customHeight="1">
      <c r="C96" s="23" t="s">
        <v>2</v>
      </c>
      <c r="D96" s="24" t="s">
        <v>482</v>
      </c>
      <c r="E96" s="402" t="s">
        <v>116</v>
      </c>
      <c r="F96" s="304" t="s">
        <v>6</v>
      </c>
      <c r="G96" s="431" t="str">
        <f>"Waste for
Project #"&amp;$Y$2</f>
        <v>Waste for
Project #B</v>
      </c>
      <c r="H96" s="25" t="s">
        <v>6</v>
      </c>
      <c r="I96" s="598" t="s">
        <v>240</v>
      </c>
      <c r="J96"/>
      <c r="K96"/>
      <c r="L96"/>
      <c r="M96"/>
      <c r="N96"/>
      <c r="O96" s="12"/>
      <c r="P96"/>
      <c r="Q96"/>
      <c r="R96"/>
      <c r="S96"/>
      <c r="T96"/>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hidden="1">
      <c r="B97" s="53">
        <f t="shared" ref="B97:B102" si="69">X97</f>
        <v>0</v>
      </c>
      <c r="C97" s="26">
        <f t="shared" ref="C97:C102" si="70">ROW($C97)-ROW($C$97)+1</f>
        <v>1</v>
      </c>
      <c r="D97" s="41" t="s">
        <v>647</v>
      </c>
      <c r="E97" s="594">
        <f>IF('Plant Inputs'!$AT$22=0,0,'Plant Inputs'!$AV97/'Plant Inputs'!$AT$22)</f>
        <v>0</v>
      </c>
      <c r="F97" s="213" t="str">
        <f t="shared" ref="F97:F102" si="71">MassDisplayUnit&amp;"/"&amp;MassDisplayUnit</f>
        <v>short ton/short ton</v>
      </c>
      <c r="G97" s="158">
        <f>$E97*$AT$18</f>
        <v>0</v>
      </c>
      <c r="H97" s="204" t="str">
        <f t="shared" ref="H97:H102" si="72">MassDisplayUnit</f>
        <v>short ton</v>
      </c>
      <c r="I97" s="156">
        <f t="shared" ref="I97" si="73">IF($G$68=0,0,G97/$G$68)</f>
        <v>0</v>
      </c>
      <c r="J97"/>
      <c r="K97"/>
      <c r="L97"/>
      <c r="M97"/>
      <c r="N97"/>
      <c r="O97" s="12"/>
      <c r="P97"/>
      <c r="Q97"/>
      <c r="R97"/>
      <c r="S97"/>
      <c r="T97"/>
      <c r="X97" s="65">
        <f>'Plant Inputs'!$X97</f>
        <v>0</v>
      </c>
      <c r="Y97" s="216">
        <f>IF(AND($X97=2,'Plant Inputs'!$Y97=1),1,0)</f>
        <v>0</v>
      </c>
      <c r="Z97" s="216">
        <v>2</v>
      </c>
      <c r="AA97" s="216">
        <f>IF($Y97=0,0,IF('Plant Inputs'!J97="",0,'Plant Inputs'!J97))</f>
        <v>0</v>
      </c>
      <c r="AB97" s="216">
        <f>IF($Y97=0,0,IF('Plant Inputs'!K97="",0,'Plant Inputs'!K97))</f>
        <v>0</v>
      </c>
      <c r="AC97" s="216">
        <f>IF($Y97=0,0,IF('Plant Inputs'!L97="",0,'Plant Inputs'!L97))</f>
        <v>0</v>
      </c>
      <c r="AD97" s="216">
        <f>IF($Y97=0,0,IF('Plant Inputs'!M97="",0,'Plant Inputs'!M97))</f>
        <v>0</v>
      </c>
      <c r="AE97" s="217" t="str">
        <f>'Plant Inputs'!$N97</f>
        <v>mile</v>
      </c>
      <c r="AF97" s="217">
        <f t="shared" ref="AF97:AF102" si="74">INDEX(Conversion_Table,MATCH($AE97,Conversion_Rows,0),MATCH($AG$27,Conversion_Columns,0))</f>
        <v>1.6093473468862911</v>
      </c>
      <c r="AG97" s="216" t="str">
        <f t="shared" ref="AG97:AG102" si="75">$AG$27&amp;"/"&amp;$AE97</f>
        <v>km/mile</v>
      </c>
      <c r="AH97" s="216">
        <f t="shared" ref="AH97:AK100" si="76">AA97*$AF97</f>
        <v>0</v>
      </c>
      <c r="AI97" s="216">
        <f t="shared" si="76"/>
        <v>0</v>
      </c>
      <c r="AJ97" s="216">
        <f t="shared" si="76"/>
        <v>0</v>
      </c>
      <c r="AK97" s="216">
        <f t="shared" si="76"/>
        <v>0</v>
      </c>
      <c r="AL97" s="216"/>
      <c r="AM97" s="1" t="str">
        <f t="shared" ref="AM97:AM102" si="77">D97</f>
        <v>Hazardous Waste to Landfill</v>
      </c>
      <c r="AN97" t="s">
        <v>127</v>
      </c>
      <c r="AO97">
        <f t="shared" ref="AO97:AO102" si="78">VLOOKUP(AM97,Material_Densities,2,FALSE)</f>
        <v>0</v>
      </c>
      <c r="AP97" s="1">
        <f>IF($G97="",0,$G97)</f>
        <v>0</v>
      </c>
      <c r="AQ97" s="164" t="str">
        <f>H97</f>
        <v>short ton</v>
      </c>
      <c r="AR97" s="1">
        <f t="shared" ref="AR97:AR102" si="79">IFERROR(IF($AN97="M",INDEX(Conversion_Table,MATCH($AQ97,Conversion_Rows,0),MATCH($AT$29,Conversion_Columns,0)),IF($AN97="V",INDEX(Conversion_Table,MATCH($AQ97,Conversion_Rows,0),MATCH("m3",Conversion_Columns,0))*$AO97)),NA())</f>
        <v>0.90718499588591606</v>
      </c>
      <c r="AS97" s="87" t="str">
        <f>$AT$96&amp;"/"&amp;AQ97</f>
        <v>tonne/short ton</v>
      </c>
      <c r="AT97" s="87">
        <f t="shared" ref="AT97:AT102" si="80">AP97*AR97</f>
        <v>0</v>
      </c>
      <c r="AU97" s="87">
        <f t="shared" ref="AU97:AU102" si="81">INDEX(Conversion_Table,MATCH($AT$29,Conversion_Rows,0),MATCH($AU$29,Conversion_Columns,0))*AT97</f>
        <v>0</v>
      </c>
      <c r="AV97" s="87">
        <f t="shared" ref="AV97:AV102" si="82">$AT97*INDEX(Conversion_Table,MATCH($AT$96,Conversion_Rows,0),MATCH($AV$96,Conversion_Columns,0))</f>
        <v>0</v>
      </c>
      <c r="AW97" s="1" t="str">
        <f t="shared" ref="AW97:AW102" si="83">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84">BM97+CA97+CO97+DC97</f>
        <v>0</v>
      </c>
      <c r="DR97">
        <f t="shared" si="84"/>
        <v>0</v>
      </c>
      <c r="DS97">
        <f t="shared" si="84"/>
        <v>0</v>
      </c>
      <c r="DT97">
        <f t="shared" si="84"/>
        <v>0</v>
      </c>
      <c r="DU97">
        <f t="shared" si="84"/>
        <v>0</v>
      </c>
      <c r="DV97">
        <f t="shared" si="84"/>
        <v>0</v>
      </c>
      <c r="DW97">
        <f t="shared" si="84"/>
        <v>0</v>
      </c>
      <c r="DX97">
        <f t="shared" si="84"/>
        <v>0</v>
      </c>
      <c r="DY97">
        <f t="shared" si="84"/>
        <v>0</v>
      </c>
      <c r="DZ97">
        <f t="shared" si="84"/>
        <v>0</v>
      </c>
      <c r="EA97">
        <f t="shared" si="84"/>
        <v>0</v>
      </c>
      <c r="EB97"/>
      <c r="EC97"/>
      <c r="ED97">
        <f t="shared" ref="ED97:ED102" si="85">BZ97+CN97+DB97+DP97</f>
        <v>0</v>
      </c>
    </row>
    <row r="98" spans="2:134" hidden="1">
      <c r="B98" s="53">
        <f t="shared" si="69"/>
        <v>0</v>
      </c>
      <c r="C98" s="26">
        <f t="shared" si="70"/>
        <v>2</v>
      </c>
      <c r="D98" s="41" t="s">
        <v>648</v>
      </c>
      <c r="E98" s="594">
        <f>IF('Plant Inputs'!$AT$22=0,0,'Plant Inputs'!$AV98/'Plant Inputs'!$AT$22)</f>
        <v>0</v>
      </c>
      <c r="F98" s="213" t="str">
        <f t="shared" si="71"/>
        <v>short ton/short ton</v>
      </c>
      <c r="G98" s="158">
        <f t="shared" ref="G98:G102" si="86">$E98*$AT$18</f>
        <v>0</v>
      </c>
      <c r="H98" s="204" t="str">
        <f t="shared" si="72"/>
        <v>short ton</v>
      </c>
      <c r="I98" s="156">
        <f>IF($G$68=0,0,G98/$G$68)</f>
        <v>0</v>
      </c>
      <c r="J98"/>
      <c r="K98"/>
      <c r="L98"/>
      <c r="M98"/>
      <c r="N98"/>
      <c r="O98" s="12"/>
      <c r="P98"/>
      <c r="Q98"/>
      <c r="R98"/>
      <c r="S98"/>
      <c r="T98"/>
      <c r="X98" s="65">
        <f>'Plant Inputs'!$X98</f>
        <v>0</v>
      </c>
      <c r="Y98" s="216">
        <f>IF(AND($X98=2,'Plant Inputs'!$Y98=1),1,0)</f>
        <v>0</v>
      </c>
      <c r="Z98" s="216">
        <v>2</v>
      </c>
      <c r="AA98" s="216">
        <f>IF($Y98=0,0,IF('Plant Inputs'!J98="",0,'Plant Inputs'!J98))</f>
        <v>0</v>
      </c>
      <c r="AB98" s="216">
        <f>IF($Y98=0,0,IF('Plant Inputs'!K98="",0,'Plant Inputs'!K98))</f>
        <v>0</v>
      </c>
      <c r="AC98" s="216">
        <f>IF($Y98=0,0,IF('Plant Inputs'!L98="",0,'Plant Inputs'!L98))</f>
        <v>0</v>
      </c>
      <c r="AD98" s="216">
        <f>IF($Y98=0,0,IF('Plant Inputs'!M98="",0,'Plant Inputs'!M98))</f>
        <v>0</v>
      </c>
      <c r="AE98" s="217" t="str">
        <f>'Plant Inputs'!$N98</f>
        <v>mile</v>
      </c>
      <c r="AF98" s="217">
        <f t="shared" si="74"/>
        <v>1.6093473468862911</v>
      </c>
      <c r="AG98" s="216" t="str">
        <f t="shared" si="75"/>
        <v>km/mile</v>
      </c>
      <c r="AH98" s="216">
        <f t="shared" si="76"/>
        <v>0</v>
      </c>
      <c r="AI98" s="216">
        <f t="shared" si="76"/>
        <v>0</v>
      </c>
      <c r="AJ98" s="216">
        <f t="shared" si="76"/>
        <v>0</v>
      </c>
      <c r="AK98" s="216">
        <f t="shared" si="76"/>
        <v>0</v>
      </c>
      <c r="AL98" s="216"/>
      <c r="AM98" s="1" t="str">
        <f t="shared" si="77"/>
        <v>Hazardous Waste to Recycling Facility</v>
      </c>
      <c r="AN98" t="s">
        <v>127</v>
      </c>
      <c r="AO98">
        <f t="shared" si="78"/>
        <v>0</v>
      </c>
      <c r="AP98" s="1">
        <f t="shared" ref="AP98:AP102" si="87">IF($G98="",0,$G98)</f>
        <v>0</v>
      </c>
      <c r="AQ98" s="164" t="str">
        <f t="shared" ref="AQ98:AQ102" si="88">H98</f>
        <v>short ton</v>
      </c>
      <c r="AR98" s="1">
        <f t="shared" si="79"/>
        <v>0.90718499588591606</v>
      </c>
      <c r="AS98" s="87" t="str">
        <f t="shared" ref="AS98:AS102" si="89">$AT$96&amp;"/"&amp;AQ98</f>
        <v>tonne/short ton</v>
      </c>
      <c r="AT98" s="87">
        <f t="shared" si="80"/>
        <v>0</v>
      </c>
      <c r="AU98" s="87">
        <f t="shared" si="81"/>
        <v>0</v>
      </c>
      <c r="AV98" s="87">
        <f t="shared" si="82"/>
        <v>0</v>
      </c>
      <c r="AW98" s="1" t="str">
        <f t="shared" si="83"/>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84"/>
        <v>0</v>
      </c>
      <c r="DR98">
        <f t="shared" si="84"/>
        <v>0</v>
      </c>
      <c r="DS98">
        <f t="shared" si="84"/>
        <v>0</v>
      </c>
      <c r="DT98">
        <f t="shared" si="84"/>
        <v>0</v>
      </c>
      <c r="DU98">
        <f t="shared" si="84"/>
        <v>0</v>
      </c>
      <c r="DV98">
        <f t="shared" si="84"/>
        <v>0</v>
      </c>
      <c r="DW98">
        <f t="shared" si="84"/>
        <v>0</v>
      </c>
      <c r="DX98">
        <f t="shared" si="84"/>
        <v>0</v>
      </c>
      <c r="DY98">
        <f t="shared" si="84"/>
        <v>0</v>
      </c>
      <c r="DZ98">
        <f t="shared" si="84"/>
        <v>0</v>
      </c>
      <c r="EA98">
        <f t="shared" si="84"/>
        <v>0</v>
      </c>
      <c r="EB98"/>
      <c r="EC98"/>
      <c r="ED98">
        <f t="shared" si="85"/>
        <v>0</v>
      </c>
    </row>
    <row r="99" spans="2:134" hidden="1">
      <c r="B99" s="53">
        <f t="shared" si="69"/>
        <v>0</v>
      </c>
      <c r="C99" s="26">
        <f t="shared" si="70"/>
        <v>3</v>
      </c>
      <c r="D99" s="41" t="s">
        <v>652</v>
      </c>
      <c r="E99" s="594">
        <f>IF('Plant Inputs'!$AT$22=0,0,'Plant Inputs'!$AV99/'Plant Inputs'!$AT$22)</f>
        <v>0</v>
      </c>
      <c r="F99" s="213" t="str">
        <f t="shared" si="71"/>
        <v>short ton/short ton</v>
      </c>
      <c r="G99" s="158">
        <f t="shared" si="86"/>
        <v>0</v>
      </c>
      <c r="H99" s="204" t="str">
        <f t="shared" si="72"/>
        <v>short ton</v>
      </c>
      <c r="I99" s="156">
        <f>IF($G$68=0,0,G99/$G$68)</f>
        <v>0</v>
      </c>
      <c r="J99"/>
      <c r="K99"/>
      <c r="L99"/>
      <c r="M99"/>
      <c r="N99"/>
      <c r="O99" s="12"/>
      <c r="P99"/>
      <c r="Q99"/>
      <c r="R99"/>
      <c r="S99"/>
      <c r="T99"/>
      <c r="X99" s="65">
        <f>'Plant Inputs'!$X99</f>
        <v>0</v>
      </c>
      <c r="Y99" s="216">
        <f>IF(AND($X99=2,'Plant Inputs'!$Y99=1),1,0)</f>
        <v>0</v>
      </c>
      <c r="Z99" s="216">
        <v>2</v>
      </c>
      <c r="AA99" s="216">
        <f>IF($Y99=0,0,IF('Plant Inputs'!J99="",0,'Plant Inputs'!J99))</f>
        <v>0</v>
      </c>
      <c r="AB99" s="216">
        <f>IF($Y99=0,0,IF('Plant Inputs'!K99="",0,'Plant Inputs'!K99))</f>
        <v>0</v>
      </c>
      <c r="AC99" s="216">
        <f>IF($Y99=0,0,IF('Plant Inputs'!L99="",0,'Plant Inputs'!L99))</f>
        <v>0</v>
      </c>
      <c r="AD99" s="216">
        <f>IF($Y99=0,0,IF('Plant Inputs'!M99="",0,'Plant Inputs'!M99))</f>
        <v>0</v>
      </c>
      <c r="AE99" s="217" t="str">
        <f>'Plant Inputs'!$N99</f>
        <v>mile</v>
      </c>
      <c r="AF99" s="217">
        <f t="shared" si="74"/>
        <v>1.6093473468862911</v>
      </c>
      <c r="AG99" s="216" t="str">
        <f t="shared" si="75"/>
        <v>km/mile</v>
      </c>
      <c r="AH99" s="216">
        <f t="shared" si="76"/>
        <v>0</v>
      </c>
      <c r="AI99" s="216">
        <f t="shared" si="76"/>
        <v>0</v>
      </c>
      <c r="AJ99" s="216">
        <f t="shared" si="76"/>
        <v>0</v>
      </c>
      <c r="AK99" s="216">
        <f t="shared" si="76"/>
        <v>0</v>
      </c>
      <c r="AL99" s="216"/>
      <c r="AM99" s="1" t="str">
        <f t="shared" si="77"/>
        <v>Hazardous Waste to Incineration Facility</v>
      </c>
      <c r="AN99" t="s">
        <v>127</v>
      </c>
      <c r="AO99">
        <f t="shared" si="78"/>
        <v>0</v>
      </c>
      <c r="AP99" s="1">
        <f t="shared" si="87"/>
        <v>0</v>
      </c>
      <c r="AQ99" s="164" t="str">
        <f t="shared" si="88"/>
        <v>short ton</v>
      </c>
      <c r="AR99" s="1">
        <f t="shared" si="79"/>
        <v>0.90718499588591606</v>
      </c>
      <c r="AS99" s="87" t="str">
        <f t="shared" si="89"/>
        <v>tonne/short ton</v>
      </c>
      <c r="AT99" s="87">
        <f t="shared" si="80"/>
        <v>0</v>
      </c>
      <c r="AU99" s="87">
        <f t="shared" si="81"/>
        <v>0</v>
      </c>
      <c r="AV99" s="87">
        <f t="shared" si="82"/>
        <v>0</v>
      </c>
      <c r="AW99" s="1" t="str">
        <f t="shared" si="83"/>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84"/>
        <v>0</v>
      </c>
      <c r="DR99">
        <f t="shared" si="84"/>
        <v>0</v>
      </c>
      <c r="DS99">
        <f t="shared" si="84"/>
        <v>0</v>
      </c>
      <c r="DT99">
        <f t="shared" si="84"/>
        <v>0</v>
      </c>
      <c r="DU99">
        <f t="shared" si="84"/>
        <v>0</v>
      </c>
      <c r="DV99">
        <f t="shared" si="84"/>
        <v>0</v>
      </c>
      <c r="DW99">
        <f t="shared" si="84"/>
        <v>0</v>
      </c>
      <c r="DX99">
        <f t="shared" si="84"/>
        <v>0</v>
      </c>
      <c r="DY99">
        <f t="shared" si="84"/>
        <v>0</v>
      </c>
      <c r="DZ99">
        <f t="shared" si="84"/>
        <v>0</v>
      </c>
      <c r="EA99">
        <f t="shared" si="84"/>
        <v>0</v>
      </c>
      <c r="EB99"/>
      <c r="EC99"/>
      <c r="ED99">
        <f t="shared" si="85"/>
        <v>0</v>
      </c>
    </row>
    <row r="100" spans="2:134" hidden="1">
      <c r="B100" s="53">
        <f t="shared" si="69"/>
        <v>0</v>
      </c>
      <c r="C100" s="26">
        <f t="shared" si="70"/>
        <v>4</v>
      </c>
      <c r="D100" s="41" t="s">
        <v>649</v>
      </c>
      <c r="E100" s="594">
        <f>IF('Plant Inputs'!$AT$22=0,0,'Plant Inputs'!$AV100/'Plant Inputs'!$AT$22)</f>
        <v>0</v>
      </c>
      <c r="F100" s="213" t="str">
        <f t="shared" si="71"/>
        <v>short ton/short ton</v>
      </c>
      <c r="G100" s="158">
        <f t="shared" si="86"/>
        <v>0</v>
      </c>
      <c r="H100" s="204" t="str">
        <f t="shared" si="72"/>
        <v>short ton</v>
      </c>
      <c r="I100" s="156">
        <f t="shared" ref="I100" si="90">IF($G$68=0,0,G100/$G$68)</f>
        <v>0</v>
      </c>
      <c r="J100"/>
      <c r="K100"/>
      <c r="L100"/>
      <c r="M100"/>
      <c r="N100"/>
      <c r="O100" s="12"/>
      <c r="P100"/>
      <c r="Q100"/>
      <c r="R100"/>
      <c r="S100"/>
      <c r="T100"/>
      <c r="X100" s="65">
        <f>'Plant Inputs'!$X100</f>
        <v>0</v>
      </c>
      <c r="Y100" s="216">
        <f>IF(AND($X100=2,'Plant Inputs'!$Y100=1),1,0)</f>
        <v>0</v>
      </c>
      <c r="Z100" s="216">
        <v>2</v>
      </c>
      <c r="AA100" s="216">
        <f>IF($Y100=0,0,IF('Plant Inputs'!J100="",0,'Plant Inputs'!J100))</f>
        <v>0</v>
      </c>
      <c r="AB100" s="216">
        <f>IF($Y100=0,0,IF('Plant Inputs'!K100="",0,'Plant Inputs'!K100))</f>
        <v>0</v>
      </c>
      <c r="AC100" s="216">
        <f>IF($Y100=0,0,IF('Plant Inputs'!L100="",0,'Plant Inputs'!L100))</f>
        <v>0</v>
      </c>
      <c r="AD100" s="216">
        <f>IF($Y100=0,0,IF('Plant Inputs'!M100="",0,'Plant Inputs'!M100))</f>
        <v>0</v>
      </c>
      <c r="AE100" s="217" t="str">
        <f>'Plant Inputs'!$N100</f>
        <v>mile</v>
      </c>
      <c r="AF100" s="217">
        <f t="shared" si="74"/>
        <v>1.6093473468862911</v>
      </c>
      <c r="AG100" s="216" t="str">
        <f t="shared" si="75"/>
        <v>km/mile</v>
      </c>
      <c r="AH100" s="216">
        <f t="shared" si="76"/>
        <v>0</v>
      </c>
      <c r="AI100" s="216">
        <f t="shared" si="76"/>
        <v>0</v>
      </c>
      <c r="AJ100" s="216">
        <f t="shared" si="76"/>
        <v>0</v>
      </c>
      <c r="AK100" s="216">
        <f t="shared" si="76"/>
        <v>0</v>
      </c>
      <c r="AL100" s="216"/>
      <c r="AM100" s="1" t="str">
        <f t="shared" si="77"/>
        <v>Non-Hazardous Waste to Landfill</v>
      </c>
      <c r="AN100" t="s">
        <v>127</v>
      </c>
      <c r="AO100">
        <f t="shared" si="78"/>
        <v>0</v>
      </c>
      <c r="AP100" s="1">
        <f t="shared" si="87"/>
        <v>0</v>
      </c>
      <c r="AQ100" s="164" t="str">
        <f t="shared" si="88"/>
        <v>short ton</v>
      </c>
      <c r="AR100" s="1">
        <f t="shared" si="79"/>
        <v>0.90718499588591606</v>
      </c>
      <c r="AS100" s="87" t="str">
        <f t="shared" si="89"/>
        <v>tonne/short ton</v>
      </c>
      <c r="AT100" s="87">
        <f t="shared" si="80"/>
        <v>0</v>
      </c>
      <c r="AU100" s="87">
        <f t="shared" si="81"/>
        <v>0</v>
      </c>
      <c r="AV100" s="87">
        <f t="shared" si="82"/>
        <v>0</v>
      </c>
      <c r="AW100" s="1" t="str">
        <f t="shared" si="83"/>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84"/>
        <v>0</v>
      </c>
      <c r="DR100">
        <f t="shared" si="84"/>
        <v>0</v>
      </c>
      <c r="DS100">
        <f t="shared" si="84"/>
        <v>0</v>
      </c>
      <c r="DT100">
        <f t="shared" si="84"/>
        <v>0</v>
      </c>
      <c r="DU100">
        <f t="shared" si="84"/>
        <v>0</v>
      </c>
      <c r="DV100">
        <f t="shared" si="84"/>
        <v>0</v>
      </c>
      <c r="DW100">
        <f t="shared" si="84"/>
        <v>0</v>
      </c>
      <c r="DX100">
        <f t="shared" si="84"/>
        <v>0</v>
      </c>
      <c r="DY100">
        <f t="shared" si="84"/>
        <v>0</v>
      </c>
      <c r="DZ100">
        <f t="shared" si="84"/>
        <v>0</v>
      </c>
      <c r="EA100">
        <f t="shared" si="84"/>
        <v>0</v>
      </c>
      <c r="EB100"/>
      <c r="EC100"/>
      <c r="ED100">
        <f t="shared" si="85"/>
        <v>0</v>
      </c>
    </row>
    <row r="101" spans="2:134" hidden="1">
      <c r="B101" s="53">
        <f t="shared" si="69"/>
        <v>0</v>
      </c>
      <c r="C101" s="26">
        <f t="shared" si="70"/>
        <v>5</v>
      </c>
      <c r="D101" s="41" t="s">
        <v>650</v>
      </c>
      <c r="E101" s="594">
        <f>IF('Plant Inputs'!$AT$22=0,0,'Plant Inputs'!$AV101/'Plant Inputs'!$AT$22)</f>
        <v>0</v>
      </c>
      <c r="F101" s="213" t="str">
        <f t="shared" si="71"/>
        <v>short ton/short ton</v>
      </c>
      <c r="G101" s="158">
        <f t="shared" si="86"/>
        <v>0</v>
      </c>
      <c r="H101" s="204" t="str">
        <f t="shared" si="72"/>
        <v>short ton</v>
      </c>
      <c r="I101" s="156">
        <f>IF($G$68=0,0,G101/$G$68)</f>
        <v>0</v>
      </c>
      <c r="J101"/>
      <c r="K101"/>
      <c r="L101"/>
      <c r="M101"/>
      <c r="N101"/>
      <c r="O101" s="12"/>
      <c r="P101"/>
      <c r="Q101"/>
      <c r="R101"/>
      <c r="S101"/>
      <c r="T101"/>
      <c r="X101" s="65">
        <f>'Plant Inputs'!$X101</f>
        <v>0</v>
      </c>
      <c r="Y101" s="216">
        <f>IF(AND($X101=2,'Plant Inputs'!$Y101=1),1,0)</f>
        <v>0</v>
      </c>
      <c r="Z101" s="216">
        <v>2</v>
      </c>
      <c r="AA101" s="216">
        <f>IF($Y101=0,0,IF('Plant Inputs'!J101="",0,'Plant Inputs'!J101))</f>
        <v>0</v>
      </c>
      <c r="AB101" s="216">
        <f>IF($Y101=0,0,IF('Plant Inputs'!K101="",0,'Plant Inputs'!K101))</f>
        <v>0</v>
      </c>
      <c r="AC101" s="216">
        <f>IF($Y101=0,0,IF('Plant Inputs'!L101="",0,'Plant Inputs'!L101))</f>
        <v>0</v>
      </c>
      <c r="AD101" s="216">
        <f>IF($Y101=0,0,IF('Plant Inputs'!M101="",0,'Plant Inputs'!M101))</f>
        <v>0</v>
      </c>
      <c r="AE101" s="217" t="str">
        <f>'Plant Inputs'!$N101</f>
        <v>mile</v>
      </c>
      <c r="AF101" s="217">
        <f t="shared" si="74"/>
        <v>1.6093473468862911</v>
      </c>
      <c r="AG101" s="216" t="str">
        <f t="shared" si="75"/>
        <v>km/mile</v>
      </c>
      <c r="AH101" s="216">
        <f>AA101*$AF101</f>
        <v>0</v>
      </c>
      <c r="AI101" s="216">
        <f>AB101*$AF101</f>
        <v>0</v>
      </c>
      <c r="AJ101" s="216">
        <f>AC101*$AF101</f>
        <v>0</v>
      </c>
      <c r="AK101" s="216">
        <f>AD101*$AF101</f>
        <v>0</v>
      </c>
      <c r="AL101" s="216"/>
      <c r="AM101" s="1" t="str">
        <f t="shared" si="77"/>
        <v>Non-Hazardous Waste to Recycling Facility</v>
      </c>
      <c r="AN101" t="s">
        <v>127</v>
      </c>
      <c r="AO101">
        <f t="shared" si="78"/>
        <v>0</v>
      </c>
      <c r="AP101" s="1">
        <f t="shared" si="87"/>
        <v>0</v>
      </c>
      <c r="AQ101" s="164" t="str">
        <f t="shared" si="88"/>
        <v>short ton</v>
      </c>
      <c r="AR101" s="1">
        <f t="shared" si="79"/>
        <v>0.90718499588591606</v>
      </c>
      <c r="AS101" s="87" t="str">
        <f t="shared" si="89"/>
        <v>tonne/short ton</v>
      </c>
      <c r="AT101" s="87">
        <f t="shared" si="80"/>
        <v>0</v>
      </c>
      <c r="AU101" s="87">
        <f t="shared" si="81"/>
        <v>0</v>
      </c>
      <c r="AV101" s="87">
        <f t="shared" si="82"/>
        <v>0</v>
      </c>
      <c r="AW101" s="1" t="str">
        <f t="shared" si="83"/>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84"/>
        <v>0</v>
      </c>
      <c r="DR101">
        <f t="shared" si="84"/>
        <v>0</v>
      </c>
      <c r="DS101">
        <f t="shared" si="84"/>
        <v>0</v>
      </c>
      <c r="DT101">
        <f t="shared" si="84"/>
        <v>0</v>
      </c>
      <c r="DU101">
        <f t="shared" si="84"/>
        <v>0</v>
      </c>
      <c r="DV101">
        <f t="shared" si="84"/>
        <v>0</v>
      </c>
      <c r="DW101">
        <f t="shared" si="84"/>
        <v>0</v>
      </c>
      <c r="DX101">
        <f t="shared" si="84"/>
        <v>0</v>
      </c>
      <c r="DY101">
        <f t="shared" si="84"/>
        <v>0</v>
      </c>
      <c r="DZ101">
        <f t="shared" si="84"/>
        <v>0</v>
      </c>
      <c r="EA101">
        <f t="shared" si="84"/>
        <v>0</v>
      </c>
      <c r="EB101"/>
      <c r="EC101"/>
      <c r="ED101">
        <f t="shared" si="85"/>
        <v>0</v>
      </c>
    </row>
    <row r="102" spans="2:134" ht="16" hidden="1" thickBot="1">
      <c r="B102" s="53">
        <f t="shared" si="69"/>
        <v>0</v>
      </c>
      <c r="C102" s="32">
        <f t="shared" si="70"/>
        <v>6</v>
      </c>
      <c r="D102" s="363" t="s">
        <v>651</v>
      </c>
      <c r="E102" s="594">
        <f>IF('Plant Inputs'!$AT$22=0,0,'Plant Inputs'!$AV102/'Plant Inputs'!$AT$22)</f>
        <v>0</v>
      </c>
      <c r="F102" s="213" t="str">
        <f t="shared" si="71"/>
        <v>short ton/short ton</v>
      </c>
      <c r="G102" s="158">
        <f t="shared" si="86"/>
        <v>0</v>
      </c>
      <c r="H102" s="227" t="str">
        <f t="shared" si="72"/>
        <v>short ton</v>
      </c>
      <c r="I102" s="397">
        <f t="shared" ref="I102" si="91">IF($G$68=0,0,G102/$G$68)</f>
        <v>0</v>
      </c>
      <c r="J102"/>
      <c r="K102"/>
      <c r="L102"/>
      <c r="M102"/>
      <c r="N102"/>
      <c r="O102" s="12"/>
      <c r="P102"/>
      <c r="Q102"/>
      <c r="R102"/>
      <c r="S102"/>
      <c r="T102"/>
      <c r="X102" s="65">
        <f>'Plant Inputs'!$X102</f>
        <v>0</v>
      </c>
      <c r="Y102" s="216">
        <f>IF(AND($X102=2,'Plant Inputs'!$Y102=1),1,0)</f>
        <v>0</v>
      </c>
      <c r="Z102" s="216">
        <v>2</v>
      </c>
      <c r="AA102" s="216">
        <f>IF($Y102=0,0,IF('Plant Inputs'!J102="",0,'Plant Inputs'!J102))</f>
        <v>0</v>
      </c>
      <c r="AB102" s="216">
        <f>IF($Y102=0,0,IF('Plant Inputs'!K102="",0,'Plant Inputs'!K102))</f>
        <v>0</v>
      </c>
      <c r="AC102" s="216">
        <f>IF($Y102=0,0,IF('Plant Inputs'!L102="",0,'Plant Inputs'!L102))</f>
        <v>0</v>
      </c>
      <c r="AD102" s="216">
        <f>IF($Y102=0,0,IF('Plant Inputs'!M102="",0,'Plant Inputs'!M102))</f>
        <v>0</v>
      </c>
      <c r="AE102" s="217" t="str">
        <f>'Plant Inputs'!$N102</f>
        <v>mile</v>
      </c>
      <c r="AF102" s="217">
        <f t="shared" si="74"/>
        <v>1.6093473468862911</v>
      </c>
      <c r="AG102" s="216" t="str">
        <f t="shared" si="75"/>
        <v>km/mile</v>
      </c>
      <c r="AH102" s="216">
        <f t="shared" ref="AH102:AK102" si="92">AA102*$AF102</f>
        <v>0</v>
      </c>
      <c r="AI102" s="216">
        <f t="shared" si="92"/>
        <v>0</v>
      </c>
      <c r="AJ102" s="216">
        <f t="shared" si="92"/>
        <v>0</v>
      </c>
      <c r="AK102" s="216">
        <f t="shared" si="92"/>
        <v>0</v>
      </c>
      <c r="AL102" s="216"/>
      <c r="AM102" s="1" t="str">
        <f t="shared" si="77"/>
        <v>Non-Hazardous Waste to Incineration Facility</v>
      </c>
      <c r="AN102" t="s">
        <v>127</v>
      </c>
      <c r="AO102">
        <f t="shared" si="78"/>
        <v>0</v>
      </c>
      <c r="AP102" s="1">
        <f t="shared" si="87"/>
        <v>0</v>
      </c>
      <c r="AQ102" s="164" t="str">
        <f t="shared" si="88"/>
        <v>short ton</v>
      </c>
      <c r="AR102" s="1">
        <f t="shared" si="79"/>
        <v>0.90718499588591606</v>
      </c>
      <c r="AS102" s="87" t="str">
        <f t="shared" si="89"/>
        <v>tonne/short ton</v>
      </c>
      <c r="AT102" s="87">
        <f t="shared" si="80"/>
        <v>0</v>
      </c>
      <c r="AU102" s="87">
        <f t="shared" si="81"/>
        <v>0</v>
      </c>
      <c r="AV102" s="87">
        <f t="shared" si="82"/>
        <v>0</v>
      </c>
      <c r="AW102" s="1" t="str">
        <f t="shared" si="83"/>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84"/>
        <v>0</v>
      </c>
      <c r="DR102">
        <f t="shared" si="84"/>
        <v>0</v>
      </c>
      <c r="DS102">
        <f t="shared" si="84"/>
        <v>0</v>
      </c>
      <c r="DT102">
        <f t="shared" si="84"/>
        <v>0</v>
      </c>
      <c r="DU102">
        <f t="shared" si="84"/>
        <v>0</v>
      </c>
      <c r="DV102">
        <f t="shared" si="84"/>
        <v>0</v>
      </c>
      <c r="DW102">
        <f t="shared" si="84"/>
        <v>0</v>
      </c>
      <c r="DX102">
        <f t="shared" si="84"/>
        <v>0</v>
      </c>
      <c r="DY102">
        <f t="shared" si="84"/>
        <v>0</v>
      </c>
      <c r="DZ102">
        <f t="shared" si="84"/>
        <v>0</v>
      </c>
      <c r="EA102">
        <f t="shared" si="84"/>
        <v>0</v>
      </c>
      <c r="EB102"/>
      <c r="EC102"/>
      <c r="ED102">
        <f t="shared" si="85"/>
        <v>0</v>
      </c>
    </row>
    <row r="103" spans="2:134" ht="16" hidden="1" thickBot="1">
      <c r="D103"/>
      <c r="E103" s="487"/>
      <c r="F103" s="488" t="s">
        <v>671</v>
      </c>
      <c r="G103" s="489">
        <f>IF(SUM($G$97:$G$102)=0,0,($G$98+$G$99+$G$101+$G$102)/SUM($G$97:$G$102))</f>
        <v>0</v>
      </c>
      <c r="H103"/>
      <c r="I103"/>
      <c r="J103"/>
      <c r="K103"/>
      <c r="L103"/>
      <c r="P103"/>
      <c r="Q103"/>
      <c r="R103"/>
      <c r="S103"/>
      <c r="T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93">SUM(AY97:AY102)</f>
        <v>0</v>
      </c>
      <c r="AZ103" s="313">
        <f t="shared" si="93"/>
        <v>0</v>
      </c>
      <c r="BA103" s="313">
        <f t="shared" si="93"/>
        <v>0</v>
      </c>
      <c r="BB103" s="313">
        <f t="shared" si="93"/>
        <v>0</v>
      </c>
      <c r="BC103" s="313">
        <f t="shared" si="93"/>
        <v>0</v>
      </c>
      <c r="BD103" s="313">
        <f t="shared" si="93"/>
        <v>0</v>
      </c>
      <c r="BE103" s="313">
        <f t="shared" si="93"/>
        <v>0</v>
      </c>
      <c r="BF103" s="313">
        <f t="shared" si="93"/>
        <v>0</v>
      </c>
      <c r="BG103" s="313">
        <f t="shared" si="93"/>
        <v>0</v>
      </c>
      <c r="BH103" s="313">
        <f t="shared" si="93"/>
        <v>0</v>
      </c>
      <c r="BI103" s="313">
        <f t="shared" si="93"/>
        <v>0</v>
      </c>
      <c r="BJ103" s="313">
        <f t="shared" si="93"/>
        <v>0</v>
      </c>
      <c r="BK103" s="313">
        <f t="shared" si="93"/>
        <v>0</v>
      </c>
      <c r="BM103">
        <f t="shared" ref="BM103:DX103" si="94">SUM(BM97:BM102)</f>
        <v>0</v>
      </c>
      <c r="BN103">
        <f t="shared" si="94"/>
        <v>0</v>
      </c>
      <c r="BO103">
        <f t="shared" si="94"/>
        <v>0</v>
      </c>
      <c r="BP103">
        <f t="shared" si="94"/>
        <v>0</v>
      </c>
      <c r="BQ103">
        <f t="shared" si="94"/>
        <v>0</v>
      </c>
      <c r="BR103">
        <f t="shared" si="94"/>
        <v>0</v>
      </c>
      <c r="BS103">
        <f t="shared" si="94"/>
        <v>0</v>
      </c>
      <c r="BT103">
        <f t="shared" si="94"/>
        <v>0</v>
      </c>
      <c r="BU103">
        <f t="shared" si="94"/>
        <v>0</v>
      </c>
      <c r="BV103">
        <f t="shared" si="94"/>
        <v>0</v>
      </c>
      <c r="BW103">
        <f t="shared" si="94"/>
        <v>0</v>
      </c>
      <c r="BX103">
        <f t="shared" si="94"/>
        <v>0</v>
      </c>
      <c r="BY103">
        <f t="shared" si="94"/>
        <v>0</v>
      </c>
      <c r="BZ103">
        <f t="shared" si="94"/>
        <v>0</v>
      </c>
      <c r="CA103">
        <f t="shared" si="94"/>
        <v>0</v>
      </c>
      <c r="CB103">
        <f t="shared" si="94"/>
        <v>0</v>
      </c>
      <c r="CC103">
        <f t="shared" si="94"/>
        <v>0</v>
      </c>
      <c r="CD103">
        <f t="shared" si="94"/>
        <v>0</v>
      </c>
      <c r="CE103">
        <f t="shared" si="94"/>
        <v>0</v>
      </c>
      <c r="CF103">
        <f t="shared" si="94"/>
        <v>0</v>
      </c>
      <c r="CG103">
        <f t="shared" si="94"/>
        <v>0</v>
      </c>
      <c r="CH103">
        <f t="shared" si="94"/>
        <v>0</v>
      </c>
      <c r="CI103">
        <f t="shared" si="94"/>
        <v>0</v>
      </c>
      <c r="CJ103">
        <f t="shared" si="94"/>
        <v>0</v>
      </c>
      <c r="CK103">
        <f t="shared" si="94"/>
        <v>0</v>
      </c>
      <c r="CL103">
        <f t="shared" si="94"/>
        <v>0</v>
      </c>
      <c r="CM103">
        <f t="shared" si="94"/>
        <v>0</v>
      </c>
      <c r="CN103">
        <f t="shared" si="94"/>
        <v>0</v>
      </c>
      <c r="CO103">
        <f t="shared" si="94"/>
        <v>0</v>
      </c>
      <c r="CP103">
        <f t="shared" si="94"/>
        <v>0</v>
      </c>
      <c r="CQ103">
        <f t="shared" si="94"/>
        <v>0</v>
      </c>
      <c r="CR103">
        <f t="shared" si="94"/>
        <v>0</v>
      </c>
      <c r="CS103">
        <f t="shared" si="94"/>
        <v>0</v>
      </c>
      <c r="CT103">
        <f t="shared" si="94"/>
        <v>0</v>
      </c>
      <c r="CU103">
        <f t="shared" si="94"/>
        <v>0</v>
      </c>
      <c r="CV103">
        <f t="shared" si="94"/>
        <v>0</v>
      </c>
      <c r="CW103">
        <f t="shared" si="94"/>
        <v>0</v>
      </c>
      <c r="CX103">
        <f t="shared" si="94"/>
        <v>0</v>
      </c>
      <c r="CY103">
        <f t="shared" si="94"/>
        <v>0</v>
      </c>
      <c r="CZ103">
        <f t="shared" si="94"/>
        <v>0</v>
      </c>
      <c r="DA103">
        <f t="shared" si="94"/>
        <v>0</v>
      </c>
      <c r="DB103">
        <f t="shared" si="94"/>
        <v>0</v>
      </c>
      <c r="DC103">
        <f t="shared" si="94"/>
        <v>0</v>
      </c>
      <c r="DD103">
        <f t="shared" si="94"/>
        <v>0</v>
      </c>
      <c r="DE103">
        <f t="shared" si="94"/>
        <v>0</v>
      </c>
      <c r="DF103">
        <f t="shared" si="94"/>
        <v>0</v>
      </c>
      <c r="DG103">
        <f t="shared" si="94"/>
        <v>0</v>
      </c>
      <c r="DH103">
        <f t="shared" si="94"/>
        <v>0</v>
      </c>
      <c r="DI103">
        <f t="shared" si="94"/>
        <v>0</v>
      </c>
      <c r="DJ103">
        <f t="shared" si="94"/>
        <v>0</v>
      </c>
      <c r="DK103">
        <f t="shared" si="94"/>
        <v>0</v>
      </c>
      <c r="DL103">
        <f t="shared" si="94"/>
        <v>0</v>
      </c>
      <c r="DM103">
        <f t="shared" si="94"/>
        <v>0</v>
      </c>
      <c r="DN103">
        <f t="shared" si="94"/>
        <v>0</v>
      </c>
      <c r="DO103">
        <f t="shared" si="94"/>
        <v>0</v>
      </c>
      <c r="DP103">
        <f t="shared" si="94"/>
        <v>0</v>
      </c>
      <c r="DQ103" s="12">
        <f t="shared" si="94"/>
        <v>0</v>
      </c>
      <c r="DR103" s="12">
        <f t="shared" si="94"/>
        <v>0</v>
      </c>
      <c r="DS103" s="12">
        <f t="shared" si="94"/>
        <v>0</v>
      </c>
      <c r="DT103" s="12">
        <f t="shared" si="94"/>
        <v>0</v>
      </c>
      <c r="DU103" s="12">
        <f t="shared" si="94"/>
        <v>0</v>
      </c>
      <c r="DV103" s="12">
        <f t="shared" si="94"/>
        <v>0</v>
      </c>
      <c r="DW103" s="12">
        <f t="shared" si="94"/>
        <v>0</v>
      </c>
      <c r="DX103" s="12">
        <f t="shared" si="94"/>
        <v>0</v>
      </c>
      <c r="DY103" s="12">
        <f t="shared" ref="DY103:ED103" si="95">SUM(DY97:DY102)</f>
        <v>0</v>
      </c>
      <c r="DZ103" s="12">
        <f t="shared" si="95"/>
        <v>0</v>
      </c>
      <c r="EA103" s="12">
        <f t="shared" si="95"/>
        <v>0</v>
      </c>
      <c r="ED103" s="12">
        <f t="shared" si="95"/>
        <v>0</v>
      </c>
    </row>
    <row r="104" spans="2:134" hidden="1">
      <c r="L104" s="13"/>
      <c r="P104"/>
      <c r="Q104"/>
      <c r="R104"/>
      <c r="S104"/>
      <c r="T104"/>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96">DW103-BS108</f>
        <v>0</v>
      </c>
      <c r="DA104" s="318">
        <f t="shared" si="96"/>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c r="L105" s="13"/>
      <c r="P105"/>
      <c r="Q105"/>
      <c r="R105"/>
      <c r="S105"/>
      <c r="T105"/>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c r="D106"/>
      <c r="E106"/>
      <c r="F106"/>
      <c r="G106"/>
      <c r="H106"/>
      <c r="I106"/>
      <c r="J106"/>
      <c r="K106"/>
      <c r="L106" s="13"/>
      <c r="P106"/>
      <c r="Q106"/>
      <c r="R106"/>
      <c r="S106"/>
      <c r="T106"/>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c r="D107"/>
      <c r="E107"/>
      <c r="F107"/>
      <c r="G107"/>
      <c r="H107"/>
      <c r="I107"/>
      <c r="J107"/>
      <c r="K107"/>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c r="D108"/>
      <c r="E108"/>
      <c r="F108"/>
      <c r="G108"/>
      <c r="H108"/>
      <c r="I108"/>
      <c r="J108"/>
      <c r="K108"/>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Y108" si="97">BM$103+CA$103+CO$103+DC$103</f>
        <v>0</v>
      </c>
      <c r="BN108" s="570">
        <f t="shared" si="97"/>
        <v>0</v>
      </c>
      <c r="BO108" s="570">
        <f t="shared" si="97"/>
        <v>0</v>
      </c>
      <c r="BP108" s="570">
        <f t="shared" si="97"/>
        <v>0</v>
      </c>
      <c r="BQ108" s="570">
        <f t="shared" si="97"/>
        <v>0</v>
      </c>
      <c r="BR108" s="570">
        <f t="shared" si="97"/>
        <v>0</v>
      </c>
      <c r="BS108" s="570">
        <f t="shared" si="97"/>
        <v>0</v>
      </c>
      <c r="BT108" s="570">
        <f t="shared" si="97"/>
        <v>0</v>
      </c>
      <c r="BU108" s="570">
        <f t="shared" si="97"/>
        <v>0</v>
      </c>
      <c r="BV108" s="570">
        <f t="shared" si="97"/>
        <v>0</v>
      </c>
      <c r="BW108" s="570">
        <f t="shared" si="97"/>
        <v>0</v>
      </c>
      <c r="BX108" s="570">
        <f t="shared" si="97"/>
        <v>0</v>
      </c>
      <c r="BY108" s="570">
        <f t="shared" si="97"/>
        <v>0</v>
      </c>
      <c r="BZ108" s="570">
        <f>BZ$103+CN$103+DB$103+DP$103</f>
        <v>0</v>
      </c>
      <c r="CA108"/>
      <c r="CB108"/>
      <c r="CC108"/>
      <c r="CD108"/>
      <c r="CE108"/>
      <c r="CF108"/>
      <c r="CG108"/>
      <c r="CH108"/>
    </row>
    <row r="109" spans="2:134" s="60" customFormat="1" ht="15" customHeight="1">
      <c r="B109" s="58"/>
      <c r="C109"/>
      <c r="D109"/>
      <c r="E109"/>
      <c r="F109"/>
      <c r="G109"/>
      <c r="H109"/>
      <c r="I109"/>
      <c r="J109"/>
      <c r="K109"/>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c r="B110" s="58"/>
      <c r="C110"/>
      <c r="D110"/>
      <c r="E110"/>
      <c r="F110"/>
      <c r="G110"/>
      <c r="H110"/>
      <c r="I110"/>
      <c r="J110"/>
      <c r="K110"/>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sheetData>
  <sheetProtection password="840D" sheet="1" objects="1" scenarios="1" formatColumns="0" formatRows="0" selectLockedCells="1"/>
  <dataConsolidate/>
  <mergeCells count="9">
    <mergeCell ref="C6:D6"/>
    <mergeCell ref="BM92:DP92"/>
    <mergeCell ref="DQ93:EB93"/>
    <mergeCell ref="AM94:AU94"/>
    <mergeCell ref="F16:F17"/>
    <mergeCell ref="AM27:AV27"/>
    <mergeCell ref="I73:I74"/>
    <mergeCell ref="J73:J74"/>
    <mergeCell ref="G11:J18"/>
  </mergeCells>
  <conditionalFormatting sqref="C6:D9">
    <cfRule type="containsText" dxfId="13" priority="18" operator="containsText" text="100%">
      <formula>NOT(ISERROR(SEARCH("100%",C6)))</formula>
    </cfRule>
  </conditionalFormatting>
  <conditionalFormatting sqref="B65 B16 B30:B31 B76 B67 B82:B86">
    <cfRule type="iconSet" priority="19">
      <iconSet iconSet="3Symbols">
        <cfvo type="percent" val="0"/>
        <cfvo type="num" val="1E-3" gte="0"/>
        <cfvo type="num" val="1"/>
      </iconSet>
    </cfRule>
  </conditionalFormatting>
  <conditionalFormatting sqref="B16">
    <cfRule type="iconSet" priority="17">
      <iconSet iconSet="3Symbols">
        <cfvo type="percent" val="0"/>
        <cfvo type="num" val="1" gte="0"/>
        <cfvo type="num" val="1"/>
      </iconSet>
    </cfRule>
  </conditionalFormatting>
  <conditionalFormatting sqref="B31">
    <cfRule type="iconSet" priority="16">
      <iconSet iconSet="3Symbols">
        <cfvo type="percent" val="0"/>
        <cfvo type="num" val="1E-3" gte="0"/>
        <cfvo type="num" val="1"/>
      </iconSet>
    </cfRule>
  </conditionalFormatting>
  <conditionalFormatting sqref="B66">
    <cfRule type="iconSet" priority="15">
      <iconSet iconSet="3Symbols">
        <cfvo type="percent" val="0"/>
        <cfvo type="num" val="1E-3" gte="0"/>
        <cfvo type="num" val="1"/>
      </iconSet>
    </cfRule>
  </conditionalFormatting>
  <conditionalFormatting sqref="B78:B81">
    <cfRule type="iconSet" priority="14">
      <iconSet iconSet="3Symbols">
        <cfvo type="percent" val="0"/>
        <cfvo type="num" val="1E-3" gte="0"/>
        <cfvo type="num" val="1"/>
      </iconSet>
    </cfRule>
  </conditionalFormatting>
  <conditionalFormatting sqref="B77">
    <cfRule type="iconSet" priority="13">
      <iconSet iconSet="3Symbols">
        <cfvo type="percent" val="0"/>
        <cfvo type="num" val="1E-3" gte="0"/>
        <cfvo type="num" val="1"/>
      </iconSet>
    </cfRule>
  </conditionalFormatting>
  <conditionalFormatting sqref="B18">
    <cfRule type="iconSet" priority="12">
      <iconSet iconSet="3Symbols">
        <cfvo type="percent" val="0"/>
        <cfvo type="num" val="1E-3" gte="0"/>
        <cfvo type="num" val="1"/>
      </iconSet>
    </cfRule>
  </conditionalFormatting>
  <conditionalFormatting sqref="B18">
    <cfRule type="iconSet" priority="11">
      <iconSet iconSet="3Symbols">
        <cfvo type="percent" val="0"/>
        <cfvo type="num" val="1" gte="0"/>
        <cfvo type="num" val="1"/>
      </iconSet>
    </cfRule>
  </conditionalFormatting>
  <conditionalFormatting sqref="B46">
    <cfRule type="iconSet" priority="10">
      <iconSet iconSet="3Symbols">
        <cfvo type="percent" val="0"/>
        <cfvo type="num" val="1E-3" gte="0"/>
        <cfvo type="num" val="1"/>
      </iconSet>
    </cfRule>
  </conditionalFormatting>
  <conditionalFormatting sqref="B33:B45 B47:B64">
    <cfRule type="iconSet" priority="20">
      <iconSet iconSet="3Symbols">
        <cfvo type="percent" val="0"/>
        <cfvo type="num" val="1E-3" gte="0"/>
        <cfvo type="num" val="1"/>
      </iconSet>
    </cfRule>
  </conditionalFormatting>
  <conditionalFormatting sqref="B32">
    <cfRule type="iconSet" priority="9">
      <iconSet iconSet="3Symbols">
        <cfvo type="percent" val="0"/>
        <cfvo type="num" val="1E-3" gte="0"/>
        <cfvo type="num" val="1"/>
      </iconSet>
    </cfRule>
  </conditionalFormatting>
  <conditionalFormatting sqref="B32">
    <cfRule type="iconSet" priority="8">
      <iconSet iconSet="3Symbols">
        <cfvo type="percent" val="0"/>
        <cfvo type="num" val="1E-3" gte="0"/>
        <cfvo type="num" val="1"/>
      </iconSet>
    </cfRule>
  </conditionalFormatting>
  <conditionalFormatting sqref="B103">
    <cfRule type="iconSet" priority="6">
      <iconSet iconSet="3Symbols">
        <cfvo type="percent" val="0"/>
        <cfvo type="num" val="1E-3" gte="0"/>
        <cfvo type="num" val="1"/>
      </iconSet>
    </cfRule>
  </conditionalFormatting>
  <conditionalFormatting sqref="B97 B102">
    <cfRule type="iconSet" priority="7">
      <iconSet iconSet="3Symbols">
        <cfvo type="percent" val="0"/>
        <cfvo type="num" val="1"/>
        <cfvo type="num" val="2"/>
      </iconSet>
    </cfRule>
  </conditionalFormatting>
  <conditionalFormatting sqref="B101">
    <cfRule type="iconSet" priority="5">
      <iconSet iconSet="3Symbols">
        <cfvo type="percent" val="0"/>
        <cfvo type="num" val="1"/>
        <cfvo type="num" val="2"/>
      </iconSet>
    </cfRule>
  </conditionalFormatting>
  <conditionalFormatting sqref="B100">
    <cfRule type="iconSet" priority="4">
      <iconSet iconSet="3Symbols">
        <cfvo type="percent" val="0"/>
        <cfvo type="num" val="1"/>
        <cfvo type="num" val="2"/>
      </iconSet>
    </cfRule>
  </conditionalFormatting>
  <conditionalFormatting sqref="B98">
    <cfRule type="iconSet" priority="3">
      <iconSet iconSet="3Symbols">
        <cfvo type="percent" val="0"/>
        <cfvo type="num" val="1"/>
        <cfvo type="num" val="2"/>
      </iconSet>
    </cfRule>
  </conditionalFormatting>
  <conditionalFormatting sqref="B99">
    <cfRule type="iconSet" priority="2">
      <iconSet iconSet="3Symbols">
        <cfvo type="percent" val="0"/>
        <cfvo type="num" val="1"/>
        <cfvo type="num" val="2"/>
      </iconSet>
    </cfRule>
  </conditionalFormatting>
  <conditionalFormatting sqref="E16 E18 F18">
    <cfRule type="expression" dxfId="12" priority="1">
      <formula>CELL("PROTECT",E16)=1</formula>
    </cfRule>
  </conditionalFormatting>
  <dataValidations count="7">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400-000000000000}">
      <formula1>IF(UnitSystem="SI-Metric (Canada)",CanadaFirstLocations,IF(UnitSystem="US-Imperial (United States)",USFirstLocations,NA()))</formula1>
    </dataValidation>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E18 E30:E65" xr:uid="{00000000-0002-0000-0400-000001000000}">
      <formula1>0</formula1>
    </dataValidation>
    <dataValidation type="list" allowBlank="1" showInputMessage="1" showErrorMessage="1" sqref="Y2" xr:uid="{00000000-0002-0000-0400-000002000000}">
      <formula1>"A,B,C,D,Custom"</formula1>
    </dataValidation>
    <dataValidation type="decimal" operator="greaterThanOrEqual" allowBlank="1" showInputMessage="1" showErrorMessage="1" error="This entry must be a number greater than or equal to zero._x000a_" sqref="E67" xr:uid="{00000000-0002-0000-0400-000003000000}">
      <formula1>0</formula1>
    </dataValidation>
    <dataValidation operator="greaterThanOrEqual" allowBlank="1" showInputMessage="1" showErrorMessage="1" error="This entry must be a number greater than or equal to zero._x000a_" sqref="F67" xr:uid="{00000000-0002-0000-0400-000004000000}"/>
    <dataValidation type="list" allowBlank="1" showInputMessage="1" showErrorMessage="1" sqref="F64:F66 F59:F60 F42:F48" xr:uid="{00000000-0002-0000-0400-000005000000}">
      <formula1>Volume_Units</formula1>
    </dataValidation>
    <dataValidation type="list" allowBlank="1" showInputMessage="1" showErrorMessage="1" sqref="F30:F41 F61:F63 F49:F58 F18" xr:uid="{00000000-0002-0000-0400-000006000000}">
      <formula1>Mass_Units</formula1>
    </dataValidation>
  </dataValidations>
  <pageMargins left="0.70866141732283472" right="0.70866141732283472" top="0.74803149606299213" bottom="0.74803149606299213" header="0.31496062992125984" footer="0.31496062992125984"/>
  <pageSetup scale="48" fitToWidth="2" fitToHeight="1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B1:EG112"/>
  <sheetViews>
    <sheetView showGridLines="0" zoomScale="90" zoomScaleNormal="90" workbookViewId="0">
      <selection activeCell="E30" sqref="E30"/>
    </sheetView>
  </sheetViews>
  <sheetFormatPr baseColWidth="10" defaultColWidth="9.1640625" defaultRowHeight="15"/>
  <cols>
    <col min="1" max="1" width="1.5" style="12" customWidth="1"/>
    <col min="2" max="2" width="2.83203125" style="53" customWidth="1"/>
    <col min="3" max="3" width="10.5" style="12" customWidth="1"/>
    <col min="4" max="4" width="57.83203125" style="12" bestFit="1" customWidth="1"/>
    <col min="5" max="6" width="21.6640625" style="12" customWidth="1"/>
    <col min="7" max="7" width="18.33203125" style="12" customWidth="1"/>
    <col min="8" max="10" width="14.6640625" style="12" customWidth="1"/>
    <col min="11" max="11" width="6.6640625" style="12" customWidth="1"/>
    <col min="12" max="12" width="17" style="12" customWidth="1"/>
    <col min="13" max="13" width="21.33203125" style="13" customWidth="1"/>
    <col min="14" max="14" width="4.33203125" style="13" customWidth="1"/>
    <col min="15" max="15" width="15.83203125" style="13" customWidth="1"/>
    <col min="16" max="16" width="14.33203125" style="13" customWidth="1"/>
    <col min="17" max="17" width="4.33203125" style="13" customWidth="1"/>
    <col min="18" max="20" width="4.33203125" style="13" hidden="1" customWidth="1"/>
    <col min="21" max="21" width="4.33203125" hidden="1" customWidth="1"/>
    <col min="22" max="22" width="28.5" hidden="1" customWidth="1"/>
    <col min="23" max="23" width="6" hidden="1" customWidth="1"/>
    <col min="24" max="24" width="6.5" style="65" hidden="1" customWidth="1"/>
    <col min="25" max="25" width="9.5" style="13" hidden="1" customWidth="1"/>
    <col min="26" max="26" width="3.8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0" hidden="1" customWidth="1"/>
    <col min="73" max="73" width="18.6640625" hidden="1" customWidth="1"/>
    <col min="74" max="77" width="18.6640625" style="12" hidden="1" customWidth="1"/>
    <col min="78" max="80" width="8.83203125" style="12" hidden="1" customWidth="1"/>
    <col min="81" max="81" width="9.83203125" style="12" hidden="1" customWidth="1"/>
    <col min="82" max="82" width="9.33203125" style="12" hidden="1" customWidth="1"/>
    <col min="83" max="83" width="8.1640625" style="12" hidden="1" customWidth="1"/>
    <col min="84" max="84" width="16.5" style="12" hidden="1" customWidth="1"/>
    <col min="85" max="85" width="11.6640625" style="12" hidden="1" customWidth="1"/>
    <col min="86" max="86" width="15.1640625" style="12" hidden="1" customWidth="1"/>
    <col min="87" max="134" width="9.1640625" style="12" hidden="1" customWidth="1"/>
    <col min="135" max="156" width="0" style="12" hidden="1" customWidth="1"/>
    <col min="157" max="16384" width="9.1640625" style="12"/>
  </cols>
  <sheetData>
    <row r="1" spans="2:95" ht="16" thickBot="1">
      <c r="BV1"/>
      <c r="BW1"/>
      <c r="BX1"/>
      <c r="BY1"/>
      <c r="BZ1"/>
      <c r="CA1"/>
      <c r="CB1"/>
      <c r="CC1"/>
      <c r="CD1"/>
      <c r="CE1"/>
      <c r="CF1"/>
      <c r="CG1"/>
      <c r="CH1"/>
    </row>
    <row r="2" spans="2:95" ht="24.75" customHeight="1" thickBot="1">
      <c r="C2" s="83" t="str">
        <f>ToolName</f>
        <v>North American Precast Concrete Sustainable Plant Tool</v>
      </c>
      <c r="D2" s="84"/>
      <c r="E2" s="84"/>
      <c r="F2" s="84"/>
      <c r="G2" s="84"/>
      <c r="H2" s="84"/>
      <c r="I2" s="84"/>
      <c r="J2" s="84"/>
      <c r="K2" s="84"/>
      <c r="L2" s="84"/>
      <c r="M2" s="84"/>
      <c r="N2" s="84"/>
      <c r="O2" s="84"/>
      <c r="P2" s="85"/>
      <c r="X2" s="595" t="s">
        <v>806</v>
      </c>
      <c r="Y2" s="628" t="s">
        <v>840</v>
      </c>
      <c r="Z2" s="626" t="str">
        <f>IF($Y$2="A","Structural",IF($Y$2="B","Architectural",IF($Y$2="C","Insulated Architectural",IF($Y$2="D","Underground",IF($Y$2="Custom","Custom Project Calculator",NA())))))</f>
        <v>Insulated Architectural</v>
      </c>
      <c r="AA2"/>
      <c r="AB2"/>
      <c r="AC2"/>
      <c r="AD2"/>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c r="CB2"/>
      <c r="CC2"/>
      <c r="CD2"/>
      <c r="CE2"/>
      <c r="CF2"/>
      <c r="CG2"/>
      <c r="CH2"/>
      <c r="CI2"/>
      <c r="CJ2"/>
      <c r="CK2"/>
      <c r="CL2"/>
      <c r="CM2"/>
      <c r="CN2"/>
      <c r="CO2"/>
      <c r="CP2"/>
      <c r="CQ2"/>
    </row>
    <row r="3" spans="2:95" ht="8.25" customHeight="1">
      <c r="C3" s="14"/>
      <c r="D3" s="14"/>
      <c r="E3"/>
      <c r="F3"/>
      <c r="G3"/>
      <c r="H3"/>
      <c r="I3"/>
      <c r="J3"/>
      <c r="K3" s="577"/>
      <c r="L3"/>
      <c r="M3"/>
      <c r="N3"/>
      <c r="O3"/>
      <c r="P3"/>
      <c r="Q3" s="547"/>
      <c r="R3" s="547"/>
      <c r="S3" s="547"/>
      <c r="X3" s="595" t="s">
        <v>804</v>
      </c>
      <c r="Y3" s="626" t="str">
        <f>IF(Y2="Custom",Z2,Y2&amp;"-PCR-"&amp;Z2)</f>
        <v>C-PCR-Insulated Architectural</v>
      </c>
      <c r="AA3"/>
      <c r="AB3"/>
      <c r="AC3"/>
      <c r="AD3"/>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337" t="str">
        <f>INDEX(EPD_Measures,1)</f>
        <v>Global warming potential (GWP)</v>
      </c>
      <c r="BM3" s="337" t="str">
        <f>INDEX(EPD_Measures,2)</f>
        <v>Acidification potential</v>
      </c>
      <c r="BN3" s="337" t="str">
        <f>INDEX(EPD_Measures,3)</f>
        <v>Eutrophication potential</v>
      </c>
      <c r="BO3" s="337" t="str">
        <f>INDEX(EPD_Measures,4)</f>
        <v>Smog creation potential</v>
      </c>
      <c r="BP3" s="337" t="str">
        <f>INDEX(EPD_Measures,5)</f>
        <v>Ozone depletion potential</v>
      </c>
      <c r="BQ3" s="337" t="str">
        <f>INDEX(EPD_Measures,6)</f>
        <v>Total primary energy consumption</v>
      </c>
      <c r="BR3" s="337" t="str">
        <f>INDEX(EPD_Measures,7)</f>
        <v>Nonrenewable energy resources</v>
      </c>
      <c r="BS3" s="337" t="str">
        <f>INDEX(EPD_Measures,8)</f>
        <v>Renewable energy resources</v>
      </c>
      <c r="BT3" s="337" t="str">
        <f>INDEX(EPD_Measures,9)</f>
        <v>Material resources consumption</v>
      </c>
      <c r="BU3" s="337" t="str">
        <f>INDEX(EPD_Measures,10)</f>
        <v>Nonrenewable material resources</v>
      </c>
      <c r="BV3" s="337" t="str">
        <f>INDEX(EPD_Measures,11)</f>
        <v>Renewable material resources</v>
      </c>
      <c r="BW3" s="337" t="s">
        <v>105</v>
      </c>
      <c r="BX3" s="565" t="str">
        <f>INDEX(EPD_Measures,13)</f>
        <v>Non-hazardous waste generated</v>
      </c>
      <c r="BY3" s="565" t="str">
        <f>INDEX(EPD_Measures,14)</f>
        <v>Hazardous waste generated</v>
      </c>
      <c r="BZ3"/>
      <c r="CA3"/>
      <c r="CB3"/>
      <c r="CC3"/>
      <c r="CD3"/>
      <c r="CE3"/>
      <c r="CF3"/>
      <c r="CG3"/>
      <c r="CH3"/>
      <c r="CI3"/>
      <c r="CJ3"/>
      <c r="CK3"/>
      <c r="CL3"/>
      <c r="CM3"/>
      <c r="CN3"/>
      <c r="CO3"/>
      <c r="CP3"/>
      <c r="CQ3"/>
    </row>
    <row r="4" spans="2:95" ht="8.25" customHeight="1">
      <c r="C4" s="14"/>
      <c r="D4" s="14"/>
      <c r="E4"/>
      <c r="F4"/>
      <c r="G4"/>
      <c r="H4"/>
      <c r="I4"/>
      <c r="J4"/>
      <c r="K4" s="577"/>
      <c r="L4"/>
      <c r="M4"/>
      <c r="N4"/>
      <c r="O4"/>
      <c r="P4"/>
      <c r="Q4" s="547"/>
      <c r="R4" s="547"/>
      <c r="S4" s="547"/>
      <c r="X4" s="595" t="s">
        <v>805</v>
      </c>
      <c r="Y4" s="627" t="str">
        <f>IF(Y2="Custom","Custom Project",Z2&amp;" Precast Products")</f>
        <v>Insulated Architectural Precast Products</v>
      </c>
      <c r="Z4" s="1"/>
      <c r="AA4"/>
      <c r="AB4"/>
      <c r="AC4"/>
      <c r="AD4"/>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c r="CB4"/>
      <c r="CC4"/>
      <c r="CD4"/>
      <c r="CE4"/>
      <c r="CF4"/>
      <c r="CG4"/>
      <c r="CH4"/>
      <c r="CI4"/>
      <c r="CJ4"/>
      <c r="CK4"/>
      <c r="CL4"/>
      <c r="CM4"/>
      <c r="CN4"/>
      <c r="CO4"/>
      <c r="CP4"/>
      <c r="CQ4"/>
    </row>
    <row r="5" spans="2:95" ht="8.25" customHeight="1">
      <c r="C5" s="14"/>
      <c r="D5" s="14"/>
      <c r="E5"/>
      <c r="F5"/>
      <c r="G5"/>
      <c r="H5"/>
      <c r="I5"/>
      <c r="J5"/>
      <c r="K5" s="577"/>
      <c r="L5"/>
      <c r="M5"/>
      <c r="N5"/>
      <c r="O5"/>
      <c r="P5"/>
      <c r="Q5" s="547"/>
      <c r="R5" s="547"/>
      <c r="S5" s="547"/>
      <c r="W5" s="12"/>
      <c r="X5" s="595" t="s">
        <v>863</v>
      </c>
      <c r="Y5" s="1" t="s">
        <v>817</v>
      </c>
      <c r="Z5" s="87" t="s">
        <v>864</v>
      </c>
      <c r="AA5"/>
      <c r="AB5"/>
      <c r="AC5"/>
      <c r="AD5"/>
      <c r="AO5" s="12"/>
      <c r="AP5" s="12"/>
      <c r="AW5" t="s">
        <v>494</v>
      </c>
      <c r="AX5" s="152">
        <f t="shared" ref="AX5:BH5" si="0">IF($AR$18=0,0,AX$68+BM$71+AU$87+AX$103*$AY$92+BM$108*$AY$92)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IF($AR$18=0,0,$AX$10+$AX$14+$AX$16)</f>
        <v>0</v>
      </c>
      <c r="BJ5" s="603">
        <f>IF($AR$18=0,0,BJ$68+BY$71+BG$87+BJ$103*$AY$92+BY$108*$AY$92+SUM($AT$100:$AT$102))</f>
        <v>0</v>
      </c>
      <c r="BK5" s="603">
        <f>IF($AR$18=0,0,BK$68+BZ$71+BH$87+BK$103*$AY$92+BZ$108*$AY$92+SUM($AT$97:$AT$99))</f>
        <v>0</v>
      </c>
      <c r="BL5" s="337">
        <f>IF($AR$18=0,0,AX$5/$AR$18)</f>
        <v>0</v>
      </c>
      <c r="BM5" s="337">
        <f t="shared" ref="BM5:BY5" si="1">IF($AR$18=0,0,AY$5/$AR$18)</f>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c r="CB5"/>
      <c r="CC5"/>
      <c r="CD5"/>
      <c r="CE5"/>
      <c r="CF5"/>
      <c r="CG5"/>
      <c r="CH5"/>
      <c r="CI5"/>
      <c r="CJ5"/>
      <c r="CK5"/>
      <c r="CL5"/>
      <c r="CM5"/>
      <c r="CN5"/>
      <c r="CO5"/>
      <c r="CP5"/>
      <c r="CQ5"/>
    </row>
    <row r="6" spans="2:95" ht="18.75" customHeight="1">
      <c r="C6" s="658" t="str">
        <f>IF(W13&lt;&gt;1,"Plant Inputs Data is Not Complete","Data Input is " &amp; ROUND($X$13*100,0)&amp; "% Complete")</f>
        <v>Plant Inputs Data is Not Complete</v>
      </c>
      <c r="D6" s="658"/>
      <c r="E6"/>
      <c r="F6"/>
      <c r="G6"/>
      <c r="H6"/>
      <c r="I6"/>
      <c r="J6"/>
      <c r="K6" s="577"/>
      <c r="L6"/>
      <c r="M6"/>
      <c r="N6"/>
      <c r="O6"/>
      <c r="P6"/>
      <c r="Q6" s="547"/>
      <c r="R6" s="547"/>
      <c r="S6" s="547"/>
      <c r="X6"/>
      <c r="Y6" s="1" t="s">
        <v>839</v>
      </c>
      <c r="Z6" s="87" t="s">
        <v>865</v>
      </c>
      <c r="AA6"/>
      <c r="AB6"/>
      <c r="AC6"/>
      <c r="AD6"/>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c r="CB6"/>
      <c r="CC6"/>
      <c r="CD6"/>
      <c r="CE6"/>
      <c r="CF6"/>
      <c r="CG6"/>
      <c r="CH6"/>
      <c r="CI6"/>
      <c r="CJ6"/>
      <c r="CK6"/>
      <c r="CL6"/>
      <c r="CM6"/>
      <c r="CN6"/>
      <c r="CO6"/>
      <c r="CP6"/>
      <c r="CQ6"/>
    </row>
    <row r="7" spans="2:95" ht="18.75" customHeight="1">
      <c r="C7" s="54"/>
      <c r="D7" s="54"/>
      <c r="E7"/>
      <c r="F7"/>
      <c r="G7"/>
      <c r="H7"/>
      <c r="I7"/>
      <c r="J7"/>
      <c r="K7" s="577"/>
      <c r="L7"/>
      <c r="M7"/>
      <c r="N7"/>
      <c r="O7"/>
      <c r="P7"/>
      <c r="Q7" s="547"/>
      <c r="R7" s="547"/>
      <c r="S7" s="547"/>
      <c r="X7"/>
      <c r="Y7" s="1" t="s">
        <v>840</v>
      </c>
      <c r="Z7" s="87" t="s">
        <v>866</v>
      </c>
      <c r="AA7"/>
      <c r="AB7"/>
      <c r="AC7"/>
      <c r="AD7"/>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IF($AR$18=0,0,AX$5*INDEX(Conversion_Table,MATCH(TRACICalcUnit,Conversion_Rows,0),MATCH(TRACIPerTonneDisplayUnit,Conversion_Columns,0))/$AT$18)</f>
        <v>0</v>
      </c>
      <c r="BM7" s="337">
        <f>IF($AR$18=0,0,AY$5*INDEX(Conversion_Table,MATCH(TRACICalcUnit,Conversion_Rows,0),MATCH(TRACIPerTonneDisplayUnit,Conversion_Columns,0))/$AT$18)</f>
        <v>0</v>
      </c>
      <c r="BN7" s="337">
        <f>IF($AR$18=0,0,AZ$5*INDEX(Conversion_Table,MATCH(TRACICalcUnit,Conversion_Rows,0),MATCH(TRACIPerTonneDisplayUnit,Conversion_Columns,0))/$AT$18)</f>
        <v>0</v>
      </c>
      <c r="BO7" s="337">
        <f>IF($AR$18=0,0,BA$5*INDEX(Conversion_Table,MATCH(TRACICalcUnit,Conversion_Rows,0),MATCH(TRACIPerTonneDisplayUnit,Conversion_Columns,0))/$AT$18)</f>
        <v>0</v>
      </c>
      <c r="BP7" s="337">
        <f>IF($AR$18=0,0,BB$5*INDEX(Conversion_Table,MATCH(TRACICalcUnit,Conversion_Rows,0),MATCH(TRACIPerTonneDisplayUnit,Conversion_Columns,0))/$AT$18)</f>
        <v>0</v>
      </c>
      <c r="BQ7" s="337">
        <f>IF($AR$18=0,0,BC$5*INDEX(Conversion_Table,MATCH(EnergyCalcUnit,Conversion_Rows,0),MATCH(EnergyPerTonneDisplayUnit,Conversion_Columns,0))/$AT$18)</f>
        <v>0</v>
      </c>
      <c r="BR7" s="337">
        <f>IF($AR$18=0,0,BD$5*INDEX(Conversion_Table,MATCH(EnergyCalcUnit,Conversion_Rows,0),MATCH(EnergyPerTonneDisplayUnit,Conversion_Columns,0))/$AT$18)</f>
        <v>0</v>
      </c>
      <c r="BS7" s="337">
        <f>IF($AR$18=0,0,BE$5*INDEX(Conversion_Table,MATCH(EnergyCalcUnit,Conversion_Rows,0),MATCH(EnergyPerTonneDisplayUnit,Conversion_Columns,0))/$AT$18)</f>
        <v>0</v>
      </c>
      <c r="BT7" s="337">
        <f>IF($AR$18=0,0,BF$5*INDEX(Conversion_Table,MATCH(MassCalcUnit,Conversion_Rows,0),MATCH(MassDisplayUnit,Conversion_Columns,0))/$AT$18)</f>
        <v>0</v>
      </c>
      <c r="BU7" s="337">
        <f>IF($AR$18=0,0,BG$5*INDEX(Conversion_Table,MATCH(MassCalcUnit,Conversion_Rows,0),MATCH(MassDisplayUnit,Conversion_Columns,0))/$AT$18)</f>
        <v>0</v>
      </c>
      <c r="BV7" s="337">
        <f>IF($AR$18=0,0,BH$5*INDEX(Conversion_Table,MATCH(MassCalcUnit,Conversion_Rows,0),MATCH(MassDisplayUnit,Conversion_Columns,0))/$AT$18)</f>
        <v>0</v>
      </c>
      <c r="BW7" s="337">
        <f>IF($AR$18=0,0,BI$5*INDEX(Conversion_Table,MATCH(WaterCalcUnit,Conversion_Rows,0),MATCH(WaterPerTonneDisplayUnit,Conversion_Columns,0))/$AT$18)</f>
        <v>0</v>
      </c>
      <c r="BX7" s="337">
        <f>IF($AR$18=0,0,BJ$5*INDEX(Conversion_Table,MATCH(MassCalcUnit,Conversion_Rows,0),MATCH(MassDisplayUnit,Conversion_Columns,0))/$AT$18)</f>
        <v>0</v>
      </c>
      <c r="BY7" s="337">
        <f>IF($AR$18=0,0,BK$5*INDEX(Conversion_Table,MATCH(MassCalcUnit,Conversion_Rows,0),MATCH(MassDisplayUnit,Conversion_Columns,0))/$AT$18)</f>
        <v>0</v>
      </c>
      <c r="BZ7"/>
      <c r="CA7"/>
      <c r="CB7"/>
      <c r="CC7"/>
      <c r="CD7"/>
      <c r="CE7"/>
      <c r="CF7"/>
      <c r="CG7"/>
      <c r="CH7"/>
      <c r="CI7"/>
      <c r="CJ7"/>
      <c r="CK7"/>
      <c r="CL7"/>
      <c r="CM7"/>
      <c r="CN7"/>
      <c r="CO7"/>
      <c r="CP7"/>
      <c r="CQ7"/>
    </row>
    <row r="8" spans="2:95" ht="18.75" customHeight="1">
      <c r="C8" s="54"/>
      <c r="D8" s="54"/>
      <c r="E8"/>
      <c r="F8"/>
      <c r="G8"/>
      <c r="H8"/>
      <c r="I8"/>
      <c r="J8"/>
      <c r="K8" s="577"/>
      <c r="L8"/>
      <c r="M8"/>
      <c r="N8"/>
      <c r="O8"/>
      <c r="P8"/>
      <c r="Q8" s="547"/>
      <c r="R8" s="547"/>
      <c r="S8" s="547"/>
      <c r="W8" s="12"/>
      <c r="X8"/>
      <c r="Y8" s="634" t="s">
        <v>630</v>
      </c>
      <c r="Z8" s="216" t="s">
        <v>867</v>
      </c>
      <c r="AA8"/>
      <c r="AB8"/>
      <c r="AC8"/>
      <c r="AD8"/>
      <c r="AW8" s="12" t="s">
        <v>497</v>
      </c>
      <c r="AX8" s="152" t="str">
        <f t="shared" ref="AX8:BU8" si="3">FIXED(AX$7,0,FALSE)</f>
        <v>0</v>
      </c>
      <c r="AY8" s="152" t="str">
        <f t="shared" si="3"/>
        <v>0</v>
      </c>
      <c r="AZ8" s="152" t="str">
        <f t="shared" si="3"/>
        <v>0</v>
      </c>
      <c r="BA8" s="152" t="str">
        <f t="shared" si="3"/>
        <v>0</v>
      </c>
      <c r="BB8" s="152" t="str">
        <f t="shared" si="3"/>
        <v>0</v>
      </c>
      <c r="BC8" s="152" t="str">
        <f t="shared" si="3"/>
        <v>0</v>
      </c>
      <c r="BD8" s="152" t="str">
        <f t="shared" si="3"/>
        <v>0</v>
      </c>
      <c r="BE8" s="152" t="str">
        <f t="shared" si="3"/>
        <v>0</v>
      </c>
      <c r="BF8" s="152" t="str">
        <f t="shared" si="3"/>
        <v>0</v>
      </c>
      <c r="BG8" s="152" t="str">
        <f t="shared" si="3"/>
        <v>0</v>
      </c>
      <c r="BH8" s="152" t="str">
        <f t="shared" si="3"/>
        <v>0</v>
      </c>
      <c r="BI8" s="152" t="str">
        <f t="shared" si="3"/>
        <v>0</v>
      </c>
      <c r="BJ8" s="152" t="str">
        <f t="shared" si="3"/>
        <v>0</v>
      </c>
      <c r="BK8" s="152"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FIXED(BV$7,0,FALSE)</f>
        <v>0</v>
      </c>
      <c r="BW8" s="337" t="str">
        <f>FIXED(BW$7,0,FALSE)</f>
        <v>0</v>
      </c>
      <c r="BX8" s="337" t="str">
        <f t="shared" ref="BX8:BY8" si="4">FIXED(BX$7,0,FALSE)</f>
        <v>0</v>
      </c>
      <c r="BY8" s="337" t="str">
        <f t="shared" si="4"/>
        <v>0</v>
      </c>
      <c r="BZ8"/>
      <c r="CA8"/>
      <c r="CB8"/>
      <c r="CC8"/>
      <c r="CD8"/>
      <c r="CE8"/>
      <c r="CF8"/>
      <c r="CG8"/>
      <c r="CH8"/>
      <c r="CI8"/>
      <c r="CJ8"/>
      <c r="CK8"/>
      <c r="CL8"/>
      <c r="CM8"/>
      <c r="CN8"/>
      <c r="CO8"/>
      <c r="CP8"/>
      <c r="CQ8"/>
    </row>
    <row r="9" spans="2:95" ht="18.75" customHeight="1">
      <c r="C9" s="631" t="str">
        <f>IF($Y$2="Custom",$Y$4,"PCR Category: "&amp;$Y$4)</f>
        <v>PCR Category: Insulated Architectural Precast Products</v>
      </c>
      <c r="D9" s="54"/>
      <c r="E9"/>
      <c r="F9"/>
      <c r="G9"/>
      <c r="H9"/>
      <c r="I9" s="3"/>
      <c r="J9" s="3"/>
      <c r="K9" s="577"/>
      <c r="L9"/>
      <c r="M9"/>
      <c r="N9"/>
      <c r="O9"/>
      <c r="P9"/>
      <c r="Q9" s="547"/>
      <c r="R9" s="547"/>
      <c r="S9" s="547"/>
      <c r="W9" s="12"/>
      <c r="X9"/>
      <c r="Y9" s="13" t="str">
        <f>IF($Y$2="Custom","",VLOOKUP($Y$2,$Y$5:$AA$8,2,FALSE))</f>
        <v>two conventionally reinforced or prestressed concrete wythes with a continuous layer of rigid insulation placed between.</v>
      </c>
      <c r="AA9"/>
      <c r="AB9"/>
      <c r="AC9"/>
      <c r="AD9"/>
      <c r="AW9" s="338" t="s">
        <v>105</v>
      </c>
      <c r="AX9" s="338" t="str">
        <f>WaterCalcUnit</f>
        <v>m3</v>
      </c>
      <c r="AY9" s="338" t="str">
        <f>WaterCalcUnit&amp;"/"&amp;MassCalcUnit</f>
        <v>m3/tonne</v>
      </c>
    </row>
    <row r="10" spans="2:95" ht="18.75" customHeight="1" thickBot="1">
      <c r="C10" s="14"/>
      <c r="D10" s="14"/>
      <c r="E10" s="14"/>
      <c r="F10" s="14"/>
      <c r="G10" s="14"/>
      <c r="H10" s="14"/>
      <c r="I10" s="14"/>
      <c r="J10" s="14"/>
      <c r="K10" s="577"/>
      <c r="L10"/>
      <c r="M10"/>
      <c r="N10"/>
      <c r="O10"/>
      <c r="P10"/>
      <c r="Q10" s="547"/>
      <c r="R10" s="547"/>
      <c r="S10" s="547"/>
      <c r="X10"/>
      <c r="Y10" s="15"/>
      <c r="Z10" s="15"/>
      <c r="AA10"/>
      <c r="AB10"/>
      <c r="AC10"/>
      <c r="AD10"/>
      <c r="AE10" s="15"/>
      <c r="AF10" s="15"/>
      <c r="AG10" s="15"/>
      <c r="AH10" s="15"/>
      <c r="AI10" s="15"/>
      <c r="AJ10" s="15"/>
      <c r="AK10" s="15"/>
      <c r="AL10" s="15"/>
      <c r="AW10" s="338" t="s">
        <v>505</v>
      </c>
      <c r="AX10" s="339">
        <f>IF($AR$18=0,0,$BI$68+$BF$87+$BX$71+$BI$103*$AY$92+$BX$108*$AY$92)</f>
        <v>0</v>
      </c>
      <c r="AY10" s="340">
        <f>IF($AR$18=0,0,$AX10/$AR$18)</f>
        <v>0</v>
      </c>
    </row>
    <row r="11" spans="2:95" ht="18.75" customHeight="1" thickBot="1">
      <c r="C11" s="16" t="s">
        <v>583</v>
      </c>
      <c r="D11" s="17"/>
      <c r="E11" s="17"/>
      <c r="F11" s="18"/>
      <c r="G11" s="691" t="str">
        <f>IF($Y$2="Custom","This page is to be used to customize results for a specific project or product.  
For example, if you want to calculate the effects of hollow core production, enter the total hollow core production mass in E22, then enter the material quantities in E"&amp;ROW($C$29)&amp;"-E"&amp;ROW($C$64)&amp;".  
The results for hollow core are then calculated using the same cement profile from Cement Sources and the the plant operating energy and waste from Plant Inputs.",$Y$4&amp;" include "&amp;$Y$9)</f>
        <v>Insulated Architectural Precast Products include two conventionally reinforced or prestressed concrete wythes with a continuous layer of rigid insulation placed between.</v>
      </c>
      <c r="H11" s="692"/>
      <c r="I11" s="692"/>
      <c r="J11" s="692"/>
      <c r="K11" s="577"/>
      <c r="L11"/>
      <c r="M11"/>
      <c r="N11"/>
      <c r="O11"/>
      <c r="P11"/>
      <c r="Q11" s="547"/>
      <c r="R11" s="547"/>
      <c r="S11" s="547"/>
      <c r="V11" s="1" t="s">
        <v>250</v>
      </c>
      <c r="W11" s="65">
        <f>'Plant Inputs'!X11</f>
        <v>0</v>
      </c>
      <c r="X11" s="67">
        <f>SUM(X16,X18,X30:X64,X65:X67,X76:X86)</f>
        <v>1</v>
      </c>
      <c r="Y11" s="13" t="s">
        <v>64</v>
      </c>
      <c r="AA11"/>
      <c r="AB11"/>
      <c r="AC11"/>
      <c r="AD11"/>
      <c r="AW11" s="338" t="str">
        <f>$D$65</f>
        <v>Total Batch Water Use</v>
      </c>
      <c r="AX11" s="340">
        <f>IF($AR$18=0,0,$AP$65*INDEX(Conversion_Table,MATCH($AQ$65,Conversion_Rows,0),MATCH(WaterCalcUnit,Conversion_Columns,0)))</f>
        <v>0</v>
      </c>
      <c r="AY11" s="340">
        <f>IF($AR$18=0,0,$AX11/$AR$18)</f>
        <v>0</v>
      </c>
    </row>
    <row r="12" spans="2:95" ht="18.75" customHeight="1" thickBot="1">
      <c r="C12" s="73" t="s">
        <v>243</v>
      </c>
      <c r="D12" s="74"/>
      <c r="E12" s="74"/>
      <c r="F12" s="133"/>
      <c r="G12" s="691"/>
      <c r="H12" s="692"/>
      <c r="I12" s="692"/>
      <c r="J12" s="692"/>
      <c r="K12" s="577"/>
      <c r="L12"/>
      <c r="M12"/>
      <c r="N12"/>
      <c r="O12"/>
      <c r="P12"/>
      <c r="Q12" s="547"/>
      <c r="R12" s="547"/>
      <c r="S12" s="547"/>
      <c r="V12" s="1" t="s">
        <v>249</v>
      </c>
      <c r="W12" s="65">
        <f>'Plant Inputs'!X12</f>
        <v>99</v>
      </c>
      <c r="X12" s="65">
        <v>51</v>
      </c>
      <c r="Y12" s="13" t="s">
        <v>65</v>
      </c>
      <c r="AA12"/>
      <c r="AB12"/>
      <c r="AC12"/>
      <c r="AD12"/>
      <c r="AW12" s="338" t="str">
        <f>$D$66</f>
        <v>Total Plant Water Use</v>
      </c>
      <c r="AX12" s="340">
        <f>$AY$12*$AR$18</f>
        <v>0</v>
      </c>
      <c r="AY12" s="340">
        <f>'Plant Inputs'!$AY$12</f>
        <v>0</v>
      </c>
      <c r="AZ12" s="604">
        <f>E66*INDEX(Conversion_Table,MATCH($F$66,Conversion_Rows,0),MATCH(WaterCalcUnit,Conversion_Columns,0))</f>
        <v>0</v>
      </c>
    </row>
    <row r="13" spans="2:95" ht="18.75" customHeight="1">
      <c r="C13" s="19"/>
      <c r="D13" s="20"/>
      <c r="E13" s="20"/>
      <c r="F13" s="134"/>
      <c r="G13" s="691"/>
      <c r="H13" s="692"/>
      <c r="I13" s="692"/>
      <c r="J13" s="692"/>
      <c r="K13" s="577"/>
      <c r="L13"/>
      <c r="M13"/>
      <c r="N13"/>
      <c r="O13"/>
      <c r="P13"/>
      <c r="Q13" s="547"/>
      <c r="R13" s="547"/>
      <c r="S13" s="547"/>
      <c r="V13" s="1" t="s">
        <v>251</v>
      </c>
      <c r="W13" s="66">
        <f>'Plant Inputs'!X13</f>
        <v>0</v>
      </c>
      <c r="X13" s="66">
        <f>IF(OR(X12=0,W13&lt;&gt;1),0,IF(ISERROR(X11/X12),0,X11/X12))</f>
        <v>0</v>
      </c>
      <c r="Y13" s="13" t="s">
        <v>66</v>
      </c>
      <c r="AA13"/>
      <c r="AB13"/>
      <c r="AC13"/>
      <c r="AD13"/>
      <c r="AW13" s="338" t="str">
        <f>$D$67</f>
        <v>Percentage of Batch Water that is Recycled Water</v>
      </c>
      <c r="AX13" s="341">
        <f>IF($AR$18=0,0,$E$67/100)</f>
        <v>0</v>
      </c>
      <c r="AY13" s="341"/>
    </row>
    <row r="14" spans="2:95" ht="18.75" customHeight="1">
      <c r="C14" s="21" t="s">
        <v>248</v>
      </c>
      <c r="D14" s="22"/>
      <c r="E14" s="22"/>
      <c r="F14" s="134"/>
      <c r="G14" s="691"/>
      <c r="H14" s="692"/>
      <c r="I14" s="692"/>
      <c r="J14" s="692"/>
      <c r="K14" s="577"/>
      <c r="L14"/>
      <c r="M14"/>
      <c r="N14"/>
      <c r="O14"/>
      <c r="P14"/>
      <c r="Q14" s="547"/>
      <c r="R14" s="547"/>
      <c r="S14" s="547"/>
      <c r="AA14"/>
      <c r="AB14"/>
      <c r="AC14"/>
      <c r="AD14"/>
      <c r="AW14" s="338" t="s">
        <v>580</v>
      </c>
      <c r="AX14" s="340">
        <f>IF($AR$18=0,0,$AX$11*(1-$AX$13))</f>
        <v>0</v>
      </c>
      <c r="AY14" s="340">
        <f>IF($AR$18=0,0,$AX14/$AR$18)</f>
        <v>0</v>
      </c>
    </row>
    <row r="15" spans="2:95" ht="18.75" customHeight="1">
      <c r="C15" s="23" t="s">
        <v>2</v>
      </c>
      <c r="D15" s="24" t="s">
        <v>11</v>
      </c>
      <c r="E15" s="25" t="s">
        <v>11</v>
      </c>
      <c r="F15" s="134"/>
      <c r="G15" s="691"/>
      <c r="H15" s="692"/>
      <c r="I15" s="692"/>
      <c r="J15" s="692"/>
      <c r="K15" s="577"/>
      <c r="L15"/>
      <c r="M15"/>
      <c r="N15"/>
      <c r="O15"/>
      <c r="P15"/>
      <c r="Q15" s="547"/>
      <c r="R15" s="547"/>
      <c r="S15" s="547"/>
      <c r="AA15"/>
      <c r="AB15"/>
      <c r="AC15"/>
      <c r="AD15"/>
      <c r="AM15" s="1" t="s">
        <v>485</v>
      </c>
      <c r="AO15">
        <f>IF(COUNTIF(Locations_USA,$E$16)=1,VLOOKUP($E$16,Locations_USA,3,FALSE),IF(COUNTIF(Locations_CAN,$E$16)=1,VLOOKUP($E$16,Locations_CAN,3,FALSE),NA()))</f>
        <v>0</v>
      </c>
      <c r="AW15" s="338" t="s">
        <v>581</v>
      </c>
      <c r="AX15" s="340">
        <f>IF($AR$18=0,0,$AX$11*$AX$13)</f>
        <v>0</v>
      </c>
      <c r="AY15" s="340">
        <f>IF($AR$18=0,0,$AX15/$AR$18)</f>
        <v>0</v>
      </c>
    </row>
    <row r="16" spans="2:95" ht="18.75" customHeight="1">
      <c r="B16" s="53">
        <f t="shared" ref="B16" si="5">X16</f>
        <v>0</v>
      </c>
      <c r="C16" s="26">
        <v>1</v>
      </c>
      <c r="D16" s="27" t="s">
        <v>58</v>
      </c>
      <c r="E16" s="636" t="str">
        <f>PlantLocation</f>
        <v>Insert Location</v>
      </c>
      <c r="F16" s="659" t="s">
        <v>6</v>
      </c>
      <c r="G16" s="691"/>
      <c r="H16" s="692"/>
      <c r="I16" s="692"/>
      <c r="J16" s="692"/>
      <c r="K16" s="3"/>
      <c r="L16"/>
      <c r="M16"/>
      <c r="N16"/>
      <c r="O16"/>
      <c r="P16"/>
      <c r="X16" s="65">
        <f>IF(OR(ISBLANK(E16),E16="Insert Location"),0,1)</f>
        <v>0</v>
      </c>
      <c r="AA16"/>
      <c r="AB16"/>
      <c r="AC16"/>
      <c r="AD16"/>
      <c r="AM16" s="1" t="str">
        <f>D16</f>
        <v>Plant Location</v>
      </c>
      <c r="AN16" s="87" t="str">
        <f>E16</f>
        <v>Insert Location</v>
      </c>
      <c r="AO16">
        <f>IF(COUNTIF(Locations_USA,$E$16)=1,VLOOKUP($E$16,Locations_USA,2,FALSE),IF(COUNTIF(Locations_CAN,$E$16)=1,VLOOKUP($E$16,Locations_CAN,2,FALSE),NA()))</f>
        <v>0</v>
      </c>
      <c r="AT16" s="87" t="s">
        <v>491</v>
      </c>
      <c r="AW16" s="338" t="s">
        <v>579</v>
      </c>
      <c r="AX16" s="340">
        <f>IF($AR$18=0,0,$AX$12-$AX$14)</f>
        <v>0</v>
      </c>
      <c r="AY16" s="340">
        <f>IF($AR$18=0,0,$AX16/$AR$18)</f>
        <v>0</v>
      </c>
    </row>
    <row r="17" spans="2:137" ht="18.75" customHeight="1">
      <c r="C17" s="28"/>
      <c r="D17" s="24" t="s">
        <v>91</v>
      </c>
      <c r="E17" s="25" t="s">
        <v>12</v>
      </c>
      <c r="F17" s="660"/>
      <c r="G17" s="691"/>
      <c r="H17" s="692"/>
      <c r="I17" s="692"/>
      <c r="J17" s="692"/>
      <c r="K17" s="3"/>
      <c r="L17"/>
      <c r="M17"/>
      <c r="N17"/>
      <c r="O17"/>
      <c r="P17"/>
      <c r="X17" s="13"/>
      <c r="AA17"/>
      <c r="AB17"/>
      <c r="AC17"/>
      <c r="AD17"/>
      <c r="AN17" s="1" t="s">
        <v>129</v>
      </c>
      <c r="AO17" s="1" t="s">
        <v>126</v>
      </c>
      <c r="AP17" s="87" t="s">
        <v>79</v>
      </c>
      <c r="AQ17" s="87" t="s">
        <v>210</v>
      </c>
      <c r="AR17" s="1" t="s">
        <v>102</v>
      </c>
      <c r="AS17" s="87" t="s">
        <v>136</v>
      </c>
      <c r="AT17" s="1"/>
      <c r="AU17" s="87"/>
      <c r="AV17" s="87"/>
    </row>
    <row r="18" spans="2:137" ht="18.75" customHeight="1" thickBot="1">
      <c r="B18" s="53">
        <f>X18</f>
        <v>1</v>
      </c>
      <c r="C18" s="425">
        <v>2</v>
      </c>
      <c r="D18" s="424" t="str">
        <f>"Total Output of "&amp;$Y$4</f>
        <v>Total Output of Insulated Architectural Precast Products</v>
      </c>
      <c r="E18" s="637">
        <f>$AD$18</f>
        <v>0</v>
      </c>
      <c r="F18" s="638" t="str">
        <f>$AE$18</f>
        <v>short ton</v>
      </c>
      <c r="G18" s="691"/>
      <c r="H18" s="692"/>
      <c r="I18" s="692"/>
      <c r="J18" s="692"/>
      <c r="K18" s="3"/>
      <c r="L18"/>
      <c r="M18"/>
      <c r="N18"/>
      <c r="O18"/>
      <c r="P18"/>
      <c r="Q18" s="65"/>
      <c r="R18" s="65"/>
      <c r="S18" s="65"/>
      <c r="X18" s="65">
        <f>IF(ISBLANK(E18),0,1)</f>
        <v>1</v>
      </c>
      <c r="Y18" s="216">
        <f>IF($X18=1,1,0)</f>
        <v>1</v>
      </c>
      <c r="AD18" s="635">
        <f>IF($Y$2="A",'Plant Inputs'!$E$18,IF($Y$2="B",'Plant Inputs'!$E$19,IF($Y$2="C",'Plant Inputs'!$E$20,IF($Y$2="D",'Plant Inputs'!$E$21,""))))</f>
        <v>0</v>
      </c>
      <c r="AE18" s="635" t="str">
        <f>IF($Y$2="A",'Plant Inputs'!$F$18,IF($Y$2="B",'Plant Inputs'!$F$19,IF($Y$2="C",'Plant Inputs'!$F$20,IF($Y$2="D",'Plant Inputs'!$F$21,MassDisplayUnit))))</f>
        <v>short ton</v>
      </c>
      <c r="AM18" s="1" t="str">
        <f>D18</f>
        <v>Total Output of Insulated Architectural Precast Products</v>
      </c>
      <c r="AN18" s="1">
        <f>E18</f>
        <v>0</v>
      </c>
      <c r="AO18" s="1" t="str">
        <f>F18</f>
        <v>short ton</v>
      </c>
      <c r="AP18" s="1">
        <f>INDEX(Conversion_Table,MATCH($AO18,Conversion_Rows,0),MATCH($AS18,Conversion_Columns,0))</f>
        <v>0.90718499588591606</v>
      </c>
      <c r="AQ18" s="87" t="str">
        <f>AS18&amp;"/"&amp;AO18</f>
        <v>tonne/short ton</v>
      </c>
      <c r="AR18">
        <f>AN18*AP18</f>
        <v>0</v>
      </c>
      <c r="AS18" s="331" t="str">
        <f>MassCalcUnit</f>
        <v>tonne</v>
      </c>
      <c r="AT18">
        <f>$AR$18*INDEX(Conversion_Table,MATCH($AS18,Conversion_Rows,0),MATCH($AU18,Conversion_Columns,0))</f>
        <v>0</v>
      </c>
      <c r="AU18" s="329" t="str">
        <f>MassDisplayUnit</f>
        <v>short ton</v>
      </c>
      <c r="AW18" s="1"/>
      <c r="AX18" s="97"/>
      <c r="AY18" s="97"/>
      <c r="AZ18" s="97"/>
    </row>
    <row r="19" spans="2:137" ht="17.25" customHeight="1">
      <c r="B19"/>
      <c r="C19"/>
      <c r="D19"/>
      <c r="E19"/>
      <c r="F19"/>
      <c r="G19"/>
      <c r="H19" s="593"/>
      <c r="I19" s="593"/>
      <c r="J19" s="593"/>
      <c r="K19" s="3"/>
      <c r="L19" s="3"/>
      <c r="M19" s="65"/>
      <c r="N19" s="65"/>
      <c r="O19" s="65"/>
      <c r="P19" s="65"/>
      <c r="Q19" s="65"/>
      <c r="R19" s="65"/>
      <c r="S19" s="65"/>
      <c r="AN19" s="1"/>
      <c r="AO19" s="1"/>
      <c r="AP19" s="1"/>
      <c r="AS19" s="87"/>
      <c r="AW19" s="1"/>
      <c r="AX19" s="97"/>
      <c r="AY19" s="97"/>
      <c r="AZ19" s="97"/>
    </row>
    <row r="20" spans="2:137" ht="15" customHeight="1">
      <c r="B20"/>
      <c r="C20" s="629" t="str">
        <f>IF($Y$2="Custom","",IF(ToolType="Reporting","This page is used to produce EPD results for the PCR category "&amp;$Y$4,IF(ToolType="Survey","This page is used as a one time survey for the PCR category "&amp;$Y$4,NA())) )</f>
        <v>This page is used as a one time survey for the PCR category Insulated Architectural Precast Products</v>
      </c>
      <c r="D20"/>
      <c r="E20"/>
      <c r="F20"/>
      <c r="G20"/>
      <c r="H20" s="593"/>
      <c r="I20" s="593"/>
      <c r="J20" s="593"/>
      <c r="K20" s="3"/>
      <c r="L20" s="3"/>
      <c r="AN20" s="1"/>
      <c r="AO20" s="1"/>
      <c r="AP20" s="1"/>
      <c r="AS20" s="87"/>
      <c r="AW20" s="1"/>
      <c r="AX20" s="97"/>
      <c r="AY20" s="97"/>
      <c r="AZ20" s="97"/>
    </row>
    <row r="21" spans="2:137" ht="15" customHeight="1">
      <c r="B21"/>
      <c r="C21" s="629" t="str">
        <f>IF($Y$2="Custom","",IF(Association_Version="CPCI","Enter 1 "&amp;MassDisplayUnit&amp;" of "&amp;$Y$4&amp;" in Table A above.",IF(OR(Association_Version="NPCA",Association_Version="PCI"),"Enter the total production of "&amp;$Y$4&amp;" in Table A above.",NA())))</f>
        <v>Enter the total production of Insulated Architectural Precast Products in Table A above.</v>
      </c>
      <c r="D21"/>
      <c r="E21"/>
      <c r="F21"/>
      <c r="G21"/>
      <c r="H21" s="593"/>
      <c r="I21" s="593"/>
      <c r="J21" s="593"/>
      <c r="K21" s="3"/>
      <c r="L21" s="3"/>
      <c r="AN21" s="1"/>
      <c r="AO21" s="1"/>
      <c r="AP21" s="1"/>
      <c r="AS21" s="87"/>
      <c r="AW21" s="1"/>
      <c r="AX21" s="97"/>
      <c r="AY21" s="97"/>
      <c r="AZ21" s="97"/>
    </row>
    <row r="22" spans="2:137" ht="15" customHeight="1">
      <c r="B22"/>
      <c r="C22" s="629" t="str">
        <f>IF($Y$2="Custom","",IF(Association_Version="CPCI","Then, enter the totals of all the materials that are used in the production of 1 "&amp;MassDisplayUnit&amp;" of "&amp;$Y$4&amp;", in Table B below.",IF(OR(Association_Version="NPCA",Association_Version="PCI"),"Then, enter the totals of all the materials that were used in that total production, in Table B below.",NA())))</f>
        <v>Then, enter the totals of all the materials that were used in that total production, in Table B below.</v>
      </c>
      <c r="D22"/>
      <c r="E22"/>
      <c r="F22"/>
      <c r="G22"/>
      <c r="H22" s="593"/>
      <c r="I22" s="593"/>
      <c r="J22" s="593"/>
      <c r="K22" s="3"/>
      <c r="L22" s="3"/>
      <c r="Z22" s="216"/>
      <c r="AX22" s="97"/>
      <c r="AY22" s="97"/>
      <c r="AZ22" s="97"/>
      <c r="BA22" s="97"/>
      <c r="BB22" s="97"/>
      <c r="BC22" s="97"/>
      <c r="BD22" s="97"/>
      <c r="BE22" s="97"/>
      <c r="BF22" s="97"/>
      <c r="BG22" s="97"/>
      <c r="BH22" s="97"/>
      <c r="BI22" s="97"/>
      <c r="BJ22" s="97"/>
      <c r="BV22"/>
      <c r="BW22"/>
      <c r="BX22"/>
      <c r="BY22"/>
      <c r="BZ22"/>
      <c r="CA22"/>
      <c r="CB22"/>
      <c r="CC22"/>
      <c r="CD22"/>
    </row>
    <row r="23" spans="2:137" ht="18" customHeight="1">
      <c r="C23" s="630" t="str">
        <f>IF(OR($Y$2="Custom",Association_Version="CPCI"),"","The transportation, energy and solid waste data from the Plant Inputs page will be used to allocate those inputs for "&amp;$Y$4&amp;".")</f>
        <v>The transportation, energy and solid waste data from the Plant Inputs page will be used to allocate those inputs for Insulated Architectural Precast Products.</v>
      </c>
      <c r="D23" s="57"/>
      <c r="E23" s="30"/>
      <c r="F23" s="30"/>
      <c r="G23" s="142"/>
      <c r="H23" s="30"/>
      <c r="I23" s="30"/>
      <c r="J23" s="30"/>
      <c r="AN23" s="1"/>
      <c r="AO23" s="1"/>
      <c r="AP23" s="1"/>
      <c r="BM23" s="1" t="s">
        <v>336</v>
      </c>
      <c r="BN23" s="87">
        <v>1</v>
      </c>
      <c r="BV23"/>
      <c r="BW23"/>
      <c r="BX23"/>
      <c r="BY23"/>
      <c r="BZ23"/>
      <c r="CA23"/>
      <c r="CB23"/>
      <c r="CC23"/>
      <c r="CD23"/>
      <c r="CE23"/>
      <c r="CF23"/>
    </row>
    <row r="24" spans="2:137" ht="16" thickBot="1">
      <c r="D24" s="30"/>
      <c r="E24" s="30"/>
      <c r="F24" s="30"/>
      <c r="G24" s="30"/>
      <c r="H24" s="30"/>
      <c r="I24" s="30"/>
      <c r="J24" s="30"/>
      <c r="AN24" s="1"/>
      <c r="AO24" s="1"/>
      <c r="AP24" s="1"/>
      <c r="BV24"/>
      <c r="BW24"/>
      <c r="BX24"/>
      <c r="BY24"/>
      <c r="BZ24"/>
      <c r="CA24"/>
      <c r="CB24"/>
      <c r="CC24"/>
      <c r="CD24"/>
      <c r="CE24"/>
      <c r="CF24"/>
    </row>
    <row r="25" spans="2:137" ht="21" thickBot="1">
      <c r="C25" s="16" t="s">
        <v>72</v>
      </c>
      <c r="D25" s="17"/>
      <c r="E25" s="17"/>
      <c r="F25" s="17"/>
      <c r="G25" s="17"/>
      <c r="H25" s="17"/>
      <c r="I25" s="18"/>
      <c r="J25"/>
      <c r="K25"/>
      <c r="L25"/>
      <c r="M25"/>
      <c r="N25"/>
      <c r="O25"/>
      <c r="P25"/>
      <c r="Q25"/>
      <c r="R25"/>
      <c r="S25"/>
      <c r="T25"/>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6"/>
      <c r="DO25"/>
      <c r="DP25"/>
      <c r="DQ25"/>
      <c r="DR25"/>
      <c r="DS25"/>
      <c r="DT25"/>
      <c r="DU25"/>
      <c r="DV25"/>
      <c r="DW25"/>
      <c r="DX25"/>
      <c r="DY25"/>
      <c r="DZ25"/>
      <c r="EA25"/>
      <c r="EB25"/>
      <c r="EC25"/>
      <c r="ED25"/>
      <c r="EE25"/>
      <c r="EF25"/>
      <c r="EG25"/>
    </row>
    <row r="26" spans="2:137" ht="15" customHeight="1" thickBot="1">
      <c r="C26" s="73" t="s">
        <v>141</v>
      </c>
      <c r="D26" s="74"/>
      <c r="E26" s="74"/>
      <c r="F26" s="74"/>
      <c r="G26" s="74"/>
      <c r="H26" s="74"/>
      <c r="I26" s="79"/>
      <c r="J26"/>
      <c r="K26"/>
      <c r="L26"/>
      <c r="M26"/>
      <c r="N26"/>
      <c r="O26"/>
      <c r="P26"/>
      <c r="Q26"/>
      <c r="R26"/>
      <c r="S26"/>
      <c r="T26"/>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c r="BY26" s="2"/>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16</v>
      </c>
      <c r="CN26" s="2" t="s">
        <v>16</v>
      </c>
      <c r="CO26" s="2" t="s">
        <v>16</v>
      </c>
      <c r="CP26" s="2" t="s">
        <v>16</v>
      </c>
      <c r="CQ26" s="2" t="s">
        <v>16</v>
      </c>
      <c r="CR26" s="2" t="s">
        <v>16</v>
      </c>
      <c r="CS26" s="2" t="s">
        <v>16</v>
      </c>
      <c r="CT26" s="2" t="s">
        <v>16</v>
      </c>
      <c r="CU26" s="2" t="s">
        <v>16</v>
      </c>
      <c r="CV26" s="2" t="s">
        <v>16</v>
      </c>
      <c r="CW26" s="2" t="s">
        <v>16</v>
      </c>
      <c r="CX26" s="2"/>
      <c r="CY26" s="2"/>
      <c r="CZ26" s="2" t="s">
        <v>16</v>
      </c>
      <c r="DA26" s="2" t="s">
        <v>15</v>
      </c>
      <c r="DB26" s="2" t="s">
        <v>15</v>
      </c>
      <c r="DC26" s="2" t="s">
        <v>15</v>
      </c>
      <c r="DD26" s="2" t="s">
        <v>15</v>
      </c>
      <c r="DE26" s="2" t="s">
        <v>15</v>
      </c>
      <c r="DF26" s="2" t="s">
        <v>15</v>
      </c>
      <c r="DG26" s="2" t="s">
        <v>15</v>
      </c>
      <c r="DH26" s="2" t="s">
        <v>15</v>
      </c>
      <c r="DI26" s="2" t="s">
        <v>15</v>
      </c>
      <c r="DJ26" s="2" t="s">
        <v>15</v>
      </c>
      <c r="DK26" s="2" t="s">
        <v>15</v>
      </c>
      <c r="DL26" s="2"/>
      <c r="DM26" s="2"/>
      <c r="DN26" s="2" t="s">
        <v>15</v>
      </c>
      <c r="DO26" s="584" t="s">
        <v>726</v>
      </c>
      <c r="DP26" s="585"/>
      <c r="DQ26" s="585"/>
      <c r="DR26" s="585"/>
      <c r="DS26" s="585"/>
      <c r="DT26" s="585"/>
      <c r="DU26" s="585"/>
      <c r="DV26" s="585"/>
      <c r="DW26" s="585"/>
      <c r="DX26" s="585"/>
      <c r="DY26" s="585"/>
      <c r="DZ26" s="585"/>
      <c r="EA26" s="585"/>
      <c r="EB26" s="586"/>
      <c r="EC26"/>
      <c r="ED26"/>
      <c r="EE26"/>
      <c r="EF26"/>
      <c r="EG26"/>
    </row>
    <row r="27" spans="2:137" ht="15" customHeight="1">
      <c r="C27" s="31"/>
      <c r="I27" s="94"/>
      <c r="J27"/>
      <c r="K27"/>
      <c r="L27"/>
      <c r="M27"/>
      <c r="N27"/>
      <c r="O27"/>
      <c r="P27"/>
      <c r="Q27"/>
      <c r="R27"/>
      <c r="S27"/>
      <c r="T27"/>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INDEX(EPD_Measures,3)</f>
        <v>Eutrophication potential</v>
      </c>
      <c r="CP27" s="564" t="str">
        <f>INDEX(EPD_Measures,4)</f>
        <v>Smog creation potential</v>
      </c>
      <c r="CQ27" s="564" t="str">
        <f>INDEX(EPD_Measures,5)</f>
        <v>Ozone depletion potential</v>
      </c>
      <c r="CR27" s="564" t="str">
        <f>INDEX(EPD_Measures,6)</f>
        <v>Total primary energy consumption</v>
      </c>
      <c r="CS27" s="564" t="str">
        <f>INDEX(EPD_Measures,7)</f>
        <v>Nonrenewable energy resources</v>
      </c>
      <c r="CT27" s="564" t="str">
        <f>INDEX(EPD_Measures,8)</f>
        <v>Renewable energy resources</v>
      </c>
      <c r="CU27" s="564" t="str">
        <f>INDEX(EPD_Measures,9)</f>
        <v>Material resources consumption</v>
      </c>
      <c r="CV27" s="564" t="str">
        <f>INDEX(EPD_Measures,10)</f>
        <v>Nonrenewable material resources</v>
      </c>
      <c r="CW27" s="564" t="str">
        <f>INDEX(EPD_Measures,11)</f>
        <v>Renewable material resources</v>
      </c>
      <c r="CX27" s="564"/>
      <c r="CY27" s="564"/>
      <c r="CZ27" s="564" t="str">
        <f>INDEX(EPD_Measures,12)</f>
        <v>Net Fresh Water</v>
      </c>
      <c r="DA27" s="564" t="str">
        <f>INDEX(EPD_Measures,1)</f>
        <v>Global warming potential (GWP)</v>
      </c>
      <c r="DB27" s="564" t="str">
        <f>INDEX(EPD_Measures,2)</f>
        <v>Acidification potential</v>
      </c>
      <c r="DC27" s="564" t="str">
        <f>INDEX(EPD_Measures,3)</f>
        <v>Eutrophication potential</v>
      </c>
      <c r="DD27" s="564" t="str">
        <f>INDEX(EPD_Measures,4)</f>
        <v>Smog creation potential</v>
      </c>
      <c r="DE27" s="564" t="str">
        <f>INDEX(EPD_Measures,5)</f>
        <v>Ozone depletion potential</v>
      </c>
      <c r="DF27" s="564" t="str">
        <f>INDEX(EPD_Measures,6)</f>
        <v>Total primary energy consumption</v>
      </c>
      <c r="DG27" s="564" t="str">
        <f>INDEX(EPD_Measures,7)</f>
        <v>Nonrenewable energy resources</v>
      </c>
      <c r="DH27" s="564" t="str">
        <f>INDEX(EPD_Measures,8)</f>
        <v>Renewable energy resources</v>
      </c>
      <c r="DI27" s="564" t="str">
        <f>INDEX(EPD_Measures,9)</f>
        <v>Material resources consumption</v>
      </c>
      <c r="DJ27" s="564" t="str">
        <f>INDEX(EPD_Measures,10)</f>
        <v>Nonrenewable material resources</v>
      </c>
      <c r="DK27" s="564" t="str">
        <f>INDEX(EPD_Measures,11)</f>
        <v>Renewable material resources</v>
      </c>
      <c r="DL27" s="564"/>
      <c r="DM27" s="564"/>
      <c r="DN27" s="564" t="str">
        <f>INDEX(EPD_Measures,12)</f>
        <v>Net Fresh Water</v>
      </c>
      <c r="DO27" s="564" t="str">
        <f>INDEX(EPD_Measures,1)</f>
        <v>Global warming potential (GWP)</v>
      </c>
      <c r="DP27" s="564" t="str">
        <f>INDEX(EPD_Measures,2)</f>
        <v>Acidification potential</v>
      </c>
      <c r="DQ27" s="564" t="str">
        <f>INDEX(EPD_Measures,3)</f>
        <v>Eutrophication potential</v>
      </c>
      <c r="DR27" s="564" t="str">
        <f>INDEX(EPD_Measures,4)</f>
        <v>Smog creation potential</v>
      </c>
      <c r="DS27" s="564" t="str">
        <f>INDEX(EPD_Measures,5)</f>
        <v>Ozone depletion potential</v>
      </c>
      <c r="DT27" s="564" t="str">
        <f>INDEX(EPD_Measures,6)</f>
        <v>Total primary energy consumption</v>
      </c>
      <c r="DU27" s="564" t="str">
        <f>INDEX(EPD_Measures,7)</f>
        <v>Nonrenewable energy resources</v>
      </c>
      <c r="DV27" s="564" t="str">
        <f>INDEX(EPD_Measures,8)</f>
        <v>Renewable energy resources</v>
      </c>
      <c r="DW27" s="564" t="str">
        <f>INDEX(EPD_Measures,9)</f>
        <v>Material resources consumption</v>
      </c>
      <c r="DX27" s="564" t="str">
        <f>INDEX(EPD_Measures,10)</f>
        <v>Nonrenewable material resources</v>
      </c>
      <c r="DY27" s="564" t="str">
        <f>INDEX(EPD_Measures,11)</f>
        <v>Renewable material resources</v>
      </c>
      <c r="DZ27" s="564"/>
      <c r="EA27" s="564"/>
      <c r="EB27" s="564" t="str">
        <f>INDEX(EPD_Measures,12)</f>
        <v>Net Fresh Water</v>
      </c>
      <c r="EC27"/>
      <c r="ED27"/>
      <c r="EE27"/>
      <c r="EF27"/>
      <c r="EG27"/>
    </row>
    <row r="28" spans="2:137" ht="15" customHeight="1">
      <c r="C28" s="43" t="str">
        <f>"Define the total specific materials used to produce the amount of "&amp;$Y$4&amp;" defined in Table A above."</f>
        <v>Define the total specific materials used to produce the amount of Insulated Architectural Precast Products defined in Table A above.</v>
      </c>
      <c r="D28" s="44"/>
      <c r="E28" s="44"/>
      <c r="F28" s="44"/>
      <c r="G28" s="44"/>
      <c r="I28" s="98"/>
      <c r="J28"/>
      <c r="K28"/>
      <c r="L28"/>
      <c r="M28"/>
      <c r="N28"/>
      <c r="O28"/>
      <c r="P28"/>
      <c r="Q28"/>
      <c r="R28"/>
      <c r="S28"/>
      <c r="T28"/>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5" t="str">
        <f>INDEX(EPD_Calc_Units,12)</f>
        <v>m3</v>
      </c>
      <c r="BJ28" s="145"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INDEX(EPD_Calc_Units,3)</f>
        <v>kg</v>
      </c>
      <c r="CP28" s="490" t="str">
        <f>INDEX(EPD_Calc_Units,4)</f>
        <v>kg</v>
      </c>
      <c r="CQ28" s="490" t="str">
        <f>INDEX(EPD_Calc_Units,5)</f>
        <v>kg</v>
      </c>
      <c r="CR28" s="490" t="str">
        <f>INDEX(EPD_Calc_Units,6)</f>
        <v>MJ</v>
      </c>
      <c r="CS28" s="490" t="str">
        <f>INDEX(EPD_Calc_Units,7)</f>
        <v>MJ</v>
      </c>
      <c r="CT28" s="490" t="str">
        <f>INDEX(EPD_Calc_Units,8)</f>
        <v>MJ</v>
      </c>
      <c r="CU28" s="490" t="str">
        <f>INDEX(EPD_Calc_Units,9)</f>
        <v>kg</v>
      </c>
      <c r="CV28" s="490" t="str">
        <f>INDEX(EPD_Calc_Units,10)</f>
        <v>kg</v>
      </c>
      <c r="CW28" s="490" t="str">
        <f>INDEX(EPD_Calc_Units,11)</f>
        <v>kg</v>
      </c>
      <c r="CX28" s="490"/>
      <c r="CY28" s="490"/>
      <c r="CZ28" s="490" t="str">
        <f>INDEX(EPD_Calc_Units,12)</f>
        <v>m3</v>
      </c>
      <c r="DA28" s="490" t="str">
        <f>INDEX(EPD_Calc_Units,1)</f>
        <v>kg</v>
      </c>
      <c r="DB28" s="490" t="str">
        <f>INDEX(EPD_Calc_Units,2)</f>
        <v>kg</v>
      </c>
      <c r="DC28" s="490" t="str">
        <f>INDEX(EPD_Calc_Units,3)</f>
        <v>kg</v>
      </c>
      <c r="DD28" s="490" t="str">
        <f>INDEX(EPD_Calc_Units,4)</f>
        <v>kg</v>
      </c>
      <c r="DE28" s="490" t="str">
        <f>INDEX(EPD_Calc_Units,5)</f>
        <v>kg</v>
      </c>
      <c r="DF28" s="490" t="str">
        <f>INDEX(EPD_Calc_Units,6)</f>
        <v>MJ</v>
      </c>
      <c r="DG28" s="490" t="str">
        <f>INDEX(EPD_Calc_Units,7)</f>
        <v>MJ</v>
      </c>
      <c r="DH28" s="490" t="str">
        <f>INDEX(EPD_Calc_Units,8)</f>
        <v>MJ</v>
      </c>
      <c r="DI28" s="490" t="str">
        <f>INDEX(EPD_Calc_Units,9)</f>
        <v>kg</v>
      </c>
      <c r="DJ28" s="490" t="str">
        <f>INDEX(EPD_Calc_Units,10)</f>
        <v>kg</v>
      </c>
      <c r="DK28" s="490" t="str">
        <f>INDEX(EPD_Calc_Units,11)</f>
        <v>kg</v>
      </c>
      <c r="DL28" s="490"/>
      <c r="DM28" s="490"/>
      <c r="DN28" s="490" t="str">
        <f>INDEX(EPD_Calc_Units,12)</f>
        <v>m3</v>
      </c>
      <c r="DO28" s="490" t="str">
        <f>INDEX(EPD_Calc_Units,1)</f>
        <v>kg</v>
      </c>
      <c r="DP28" s="490" t="str">
        <f>INDEX(EPD_Calc_Units,2)</f>
        <v>kg</v>
      </c>
      <c r="DQ28" s="490" t="str">
        <f>INDEX(EPD_Calc_Units,3)</f>
        <v>kg</v>
      </c>
      <c r="DR28" s="490" t="str">
        <f>INDEX(EPD_Calc_Units,4)</f>
        <v>kg</v>
      </c>
      <c r="DS28" s="490" t="str">
        <f>INDEX(EPD_Calc_Units,5)</f>
        <v>kg</v>
      </c>
      <c r="DT28" s="490" t="str">
        <f>INDEX(EPD_Calc_Units,6)</f>
        <v>MJ</v>
      </c>
      <c r="DU28" s="490" t="str">
        <f>INDEX(EPD_Calc_Units,7)</f>
        <v>MJ</v>
      </c>
      <c r="DV28" s="490" t="str">
        <f>INDEX(EPD_Calc_Units,8)</f>
        <v>MJ</v>
      </c>
      <c r="DW28" s="490" t="str">
        <f>INDEX(EPD_Calc_Units,9)</f>
        <v>kg</v>
      </c>
      <c r="DX28" s="490" t="str">
        <f>INDEX(EPD_Calc_Units,10)</f>
        <v>kg</v>
      </c>
      <c r="DY28" s="490" t="str">
        <f>INDEX(EPD_Calc_Units,11)</f>
        <v>kg</v>
      </c>
      <c r="DZ28" s="490"/>
      <c r="EA28" s="490"/>
      <c r="EB28" s="490" t="str">
        <f>INDEX(EPD_Calc_Units,12)</f>
        <v>m3</v>
      </c>
      <c r="EC28"/>
      <c r="ED28"/>
      <c r="EE28"/>
      <c r="EF28"/>
      <c r="EG28"/>
    </row>
    <row r="29" spans="2:137" ht="15" customHeight="1">
      <c r="C29" s="23" t="s">
        <v>2</v>
      </c>
      <c r="D29" s="24" t="s">
        <v>5</v>
      </c>
      <c r="E29" s="25" t="s">
        <v>12</v>
      </c>
      <c r="F29" s="25" t="s">
        <v>6</v>
      </c>
      <c r="G29" s="25" t="s">
        <v>102</v>
      </c>
      <c r="H29" s="25" t="s">
        <v>6</v>
      </c>
      <c r="I29" s="155" t="s">
        <v>240</v>
      </c>
      <c r="J29"/>
      <c r="K29"/>
      <c r="L29"/>
      <c r="M29"/>
      <c r="N29"/>
      <c r="O29"/>
      <c r="P29"/>
      <c r="Q29"/>
      <c r="R29"/>
      <c r="S29"/>
      <c r="T29"/>
      <c r="Y29" s="13" t="s">
        <v>452</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2:137" ht="15" customHeight="1">
      <c r="B30" s="53">
        <f>X30</f>
        <v>0</v>
      </c>
      <c r="C30" s="26">
        <f>ROW($C30)-ROW($C$30)+1</f>
        <v>1</v>
      </c>
      <c r="D30" s="46" t="str">
        <f>'Plant Inputs'!$D30</f>
        <v>Portland Cement</v>
      </c>
      <c r="E30" s="419"/>
      <c r="F30" s="106" t="str">
        <f t="shared" ref="F30:F41" si="6">MassDisplayUnit</f>
        <v>short ton</v>
      </c>
      <c r="G30" s="158">
        <f>$AV30</f>
        <v>0</v>
      </c>
      <c r="H30" s="204" t="str">
        <f t="shared" ref="H30:H66" si="7">MassDisplayUnit</f>
        <v>short ton</v>
      </c>
      <c r="I30" s="156">
        <f t="shared" ref="I30:I65" si="8">IF($G$68=0,0,G30/$G$68)</f>
        <v>0</v>
      </c>
      <c r="J30"/>
      <c r="K30"/>
      <c r="L30"/>
      <c r="M30"/>
      <c r="N30"/>
      <c r="O30"/>
      <c r="P30"/>
      <c r="Q30"/>
      <c r="R30"/>
      <c r="S30"/>
      <c r="T30"/>
      <c r="X30" s="67">
        <f>IF(ISBLANK(E30),0,1)</f>
        <v>0</v>
      </c>
      <c r="Y30" s="216">
        <f>IF(AND($X30=1,'Plant Inputs'!$Y30=1),1,0)</f>
        <v>0</v>
      </c>
      <c r="Z30" s="216"/>
      <c r="AA30" s="216">
        <f>IF($Y30=0,0,IF('Plant Inputs'!J30="",0,'Plant Inputs'!J30))</f>
        <v>0</v>
      </c>
      <c r="AB30" s="216">
        <f>IF($Y30=0,0,IF('Plant Inputs'!K30="",0,'Plant Inputs'!K30))</f>
        <v>0</v>
      </c>
      <c r="AC30" s="216">
        <f>IF($Y30=0,0,IF('Plant Inputs'!L30="",0,'Plant Inputs'!L30))</f>
        <v>0</v>
      </c>
      <c r="AD30" s="216">
        <f>IF($Y30=0,0,IF('Plant Inputs'!M30="",0,'Plant Inputs'!M30))</f>
        <v>0</v>
      </c>
      <c r="AE30" s="217" t="str">
        <f>'Plant Inputs'!$O30</f>
        <v>mile</v>
      </c>
      <c r="AF30" s="217">
        <f t="shared" ref="AF30:AF64" si="9">INDEX(Conversion_Table,MATCH($AE30,Conversion_Rows,0),MATCH($AG$27,Conversion_Columns,0))</f>
        <v>1.6093473468862911</v>
      </c>
      <c r="AG30" s="216" t="str">
        <f>$AG$27&amp;"/"&amp;$AE30</f>
        <v>km/mile</v>
      </c>
      <c r="AH30" s="216">
        <f t="shared" ref="AH30:AK45" si="10">AA30*$AF30</f>
        <v>0</v>
      </c>
      <c r="AI30" s="216">
        <f t="shared" si="10"/>
        <v>0</v>
      </c>
      <c r="AJ30" s="216">
        <f t="shared" si="10"/>
        <v>0</v>
      </c>
      <c r="AK30" s="216">
        <f t="shared" si="10"/>
        <v>0</v>
      </c>
      <c r="AL30" s="216"/>
      <c r="AM30" s="1" t="str">
        <f t="shared" ref="AM30:AM45" si="11">D30</f>
        <v>Portland Cement</v>
      </c>
      <c r="AN30" t="s">
        <v>127</v>
      </c>
      <c r="AO30">
        <f t="shared" ref="AO30:AO45" si="12">VLOOKUP(AM30,Material_Densities,2,FALSE)</f>
        <v>0</v>
      </c>
      <c r="AP30" s="1">
        <f>IF($E30="",0,$E30)</f>
        <v>0</v>
      </c>
      <c r="AQ30" s="1" t="str">
        <f t="shared" ref="AQ30:AQ45" si="13">F30</f>
        <v>short ton</v>
      </c>
      <c r="AR30" s="1">
        <f t="shared" ref="AR30:AR66" si="14">IFERROR(IF($AN30="M",INDEX(Conversion_Table,MATCH($AQ30,Conversion_Rows,0),MATCH($AT$29,Conversion_Columns,0)),IF($AN30="V",INDEX(Conversion_Table,MATCH($AQ30,Conversion_Rows,0),MATCH("m3",Conversion_Columns,0))*$AO30)),NA())</f>
        <v>0.90718499588591606</v>
      </c>
      <c r="AS30" s="87" t="str">
        <f t="shared" ref="AS30:AS45" si="15">$AT$29&amp;"/"&amp;AQ30</f>
        <v>tonne/short ton</v>
      </c>
      <c r="AT30" s="87">
        <f t="shared" ref="AT30:AT45" si="16">AP30*AR30</f>
        <v>0</v>
      </c>
      <c r="AU30" s="87">
        <f t="shared" ref="AU30:AU45" si="17">INDEX(Conversion_Table,MATCH($AT$29,Conversion_Rows,0),MATCH($AU$29,Conversion_Columns,0))*AT30</f>
        <v>0</v>
      </c>
      <c r="AV30" s="87">
        <f t="shared" ref="AV30:AV66" si="18">$AT30*INDEX(Conversion_Table,MATCH($AT$29,Conversion_Rows,0),MATCH($AV$29,Conversion_Columns,0))</f>
        <v>0</v>
      </c>
      <c r="AW30" t="str">
        <f t="shared" ref="AW30:AW45" si="19">AM30</f>
        <v>Portland Cement</v>
      </c>
      <c r="AX30" s="148">
        <f>'Cement Sources'!BC$13*$AU30</f>
        <v>0</v>
      </c>
      <c r="AY30" s="148">
        <f>'Cement Sources'!BD$13*$AU30</f>
        <v>0</v>
      </c>
      <c r="AZ30" s="148">
        <f>'Cement Sources'!BE$13*$AU30</f>
        <v>0</v>
      </c>
      <c r="BA30" s="148">
        <f>'Cement Sources'!BF$13*$AU30</f>
        <v>0</v>
      </c>
      <c r="BB30" s="148">
        <f>'Cement Sources'!BG$13*$AU30</f>
        <v>0</v>
      </c>
      <c r="BC30" s="148">
        <f>'Cement Sources'!BH$13*$AU30</f>
        <v>0</v>
      </c>
      <c r="BD30" s="148">
        <f>'Cement Sources'!BI$13*$AU30</f>
        <v>0</v>
      </c>
      <c r="BE30" s="148">
        <f>'Cement Sources'!BJ$13*$AU30</f>
        <v>0</v>
      </c>
      <c r="BF30" s="148">
        <f>'Cement Sources'!BK$13*$AU30</f>
        <v>0</v>
      </c>
      <c r="BG30" s="148">
        <f>'Cement Sources'!BL$13*$AU30</f>
        <v>0</v>
      </c>
      <c r="BH30" s="148">
        <f>'Cement Sources'!BM$13*$AU30</f>
        <v>0</v>
      </c>
      <c r="BI30" s="148">
        <f>'Cement Sources'!BN$13*$AU30</f>
        <v>0</v>
      </c>
      <c r="BJ30" s="148">
        <f>'Cement Sources'!BO$13*$AU30</f>
        <v>0</v>
      </c>
      <c r="BK30" s="148">
        <f>'Cement Sources'!BP$13*$AU30</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IFERROR(INDEX(LCIA_Data,MATCH($AO$15&amp;CM$27,LCIA_Rows_B&amp;LCIA_Rows_C,0),MATCH(CM$26,LCIA_Columns,0)),0)*$AT30*$AJ30*$BN$23</f>
        <v>0</v>
      </c>
      <c r="CN30" s="1">
        <f t="array" ref="CN30">IFERROR(INDEX(LCIA_Data,MATCH($AO$15&amp;CN$27,LCIA_Rows_B&amp;LCIA_Rows_C,0),MATCH(CN$26,LCIA_Columns,0)),0)*$AT30*$AJ30*$BN$23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IFERROR(INDEX(LCIA_Data,MATCH($AO$15&amp;DA$27,LCIA_Rows_B&amp;LCIA_Rows_C,0),MATCH(DA$26,LCIA_Columns,0)),0)*$AT30*$AK30*$BN$23</f>
        <v>0</v>
      </c>
      <c r="DB30" s="1">
        <f t="array" ref="DB30">IFERROR(INDEX(LCIA_Data,MATCH($AO$15&amp;DB$27,LCIA_Rows_B&amp;LCIA_Rows_C,0),MATCH(DB$26,LCIA_Columns,0)),0)*$AT30*$AK30*$BN$23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f t="shared" ref="DO30:EA49" si="20">BM30+CA30+CM30+DA30</f>
        <v>0</v>
      </c>
      <c r="DP30">
        <f t="shared" si="20"/>
        <v>0</v>
      </c>
      <c r="DQ30">
        <f t="shared" si="20"/>
        <v>0</v>
      </c>
      <c r="DR30">
        <f t="shared" si="20"/>
        <v>0</v>
      </c>
      <c r="DS30">
        <f t="shared" si="20"/>
        <v>0</v>
      </c>
      <c r="DT30">
        <f t="shared" si="20"/>
        <v>0</v>
      </c>
      <c r="DU30">
        <f t="shared" si="20"/>
        <v>0</v>
      </c>
      <c r="DV30">
        <f t="shared" si="20"/>
        <v>0</v>
      </c>
      <c r="DW30">
        <f t="shared" si="20"/>
        <v>0</v>
      </c>
      <c r="DX30">
        <f t="shared" si="20"/>
        <v>0</v>
      </c>
      <c r="DY30">
        <f t="shared" si="20"/>
        <v>0</v>
      </c>
      <c r="DZ30">
        <f t="shared" si="20"/>
        <v>0</v>
      </c>
      <c r="EA30">
        <f t="shared" si="20"/>
        <v>0</v>
      </c>
      <c r="EB30">
        <f t="shared" ref="EB30:EB64" si="21">BZ30+CL30+CZ30+DN30</f>
        <v>0</v>
      </c>
      <c r="EC30"/>
      <c r="ED30"/>
      <c r="EE30"/>
      <c r="EF30"/>
      <c r="EG30"/>
    </row>
    <row r="31" spans="2:137" ht="15" customHeight="1">
      <c r="B31" s="53">
        <f>X31</f>
        <v>0</v>
      </c>
      <c r="C31" s="26">
        <f t="shared" ref="C31:C67" si="22">ROW($C31)-ROW($C$30)+1</f>
        <v>2</v>
      </c>
      <c r="D31" s="46" t="str">
        <f>'Plant Inputs'!$D31</f>
        <v>Portland Limestone Cement (PLC)</v>
      </c>
      <c r="E31" s="419"/>
      <c r="F31" s="106" t="str">
        <f t="shared" si="6"/>
        <v>short ton</v>
      </c>
      <c r="G31" s="158">
        <f>$AV31</f>
        <v>0</v>
      </c>
      <c r="H31" s="204" t="str">
        <f t="shared" si="7"/>
        <v>short ton</v>
      </c>
      <c r="I31" s="399">
        <f t="shared" si="8"/>
        <v>0</v>
      </c>
      <c r="J31"/>
      <c r="K31"/>
      <c r="L31"/>
      <c r="M31"/>
      <c r="N31"/>
      <c r="O31"/>
      <c r="P31"/>
      <c r="Q31"/>
      <c r="R31"/>
      <c r="S31"/>
      <c r="T31"/>
      <c r="X31" s="67">
        <f>IF(ISBLANK(E31),0,1)</f>
        <v>0</v>
      </c>
      <c r="Y31" s="216">
        <f>IF(AND($X31=1,'Plant Inputs'!$Y31=1),1,0)</f>
        <v>0</v>
      </c>
      <c r="Z31" s="216"/>
      <c r="AA31" s="216">
        <f>IF($Y31=0,0,IF('Plant Inputs'!J31="",0,'Plant Inputs'!J31))</f>
        <v>0</v>
      </c>
      <c r="AB31" s="216">
        <f>IF($Y31=0,0,IF('Plant Inputs'!K31="",0,'Plant Inputs'!K31))</f>
        <v>0</v>
      </c>
      <c r="AC31" s="216">
        <f>IF($Y31=0,0,IF('Plant Inputs'!L31="",0,'Plant Inputs'!L31))</f>
        <v>0</v>
      </c>
      <c r="AD31" s="216">
        <f>IF($Y31=0,0,IF('Plant Inputs'!M31="",0,'Plant Inputs'!M31))</f>
        <v>0</v>
      </c>
      <c r="AE31" s="217" t="str">
        <f>'Plant Inputs'!$O31</f>
        <v>mile</v>
      </c>
      <c r="AF31" s="217">
        <f t="shared" si="9"/>
        <v>1.6093473468862911</v>
      </c>
      <c r="AG31" s="216" t="str">
        <f t="shared" ref="AG31:AG64" si="23">$AG$27&amp;"/"&amp;$AE31</f>
        <v>km/mile</v>
      </c>
      <c r="AH31" s="216">
        <f t="shared" si="10"/>
        <v>0</v>
      </c>
      <c r="AI31" s="216">
        <f t="shared" si="10"/>
        <v>0</v>
      </c>
      <c r="AJ31" s="216">
        <f t="shared" si="10"/>
        <v>0</v>
      </c>
      <c r="AK31" s="216">
        <f t="shared" si="10"/>
        <v>0</v>
      </c>
      <c r="AL31" s="216"/>
      <c r="AM31" s="1" t="str">
        <f t="shared" si="11"/>
        <v>Portland Limestone Cement (PLC)</v>
      </c>
      <c r="AN31" t="s">
        <v>127</v>
      </c>
      <c r="AO31">
        <f t="shared" si="12"/>
        <v>0</v>
      </c>
      <c r="AP31" s="1">
        <f t="shared" ref="AP31:AP67" si="24">IF($E31="",0,$E31)</f>
        <v>0</v>
      </c>
      <c r="AQ31" s="1" t="str">
        <f t="shared" si="13"/>
        <v>short ton</v>
      </c>
      <c r="AR31" s="1">
        <f t="shared" si="14"/>
        <v>0.90718499588591606</v>
      </c>
      <c r="AS31" s="87" t="str">
        <f t="shared" si="15"/>
        <v>tonne/short ton</v>
      </c>
      <c r="AT31" s="87">
        <f t="shared" si="16"/>
        <v>0</v>
      </c>
      <c r="AU31" s="87">
        <f t="shared" si="17"/>
        <v>0</v>
      </c>
      <c r="AV31" s="87">
        <f t="shared" si="18"/>
        <v>0</v>
      </c>
      <c r="AW31" t="str">
        <f t="shared" si="19"/>
        <v>Portland Limestone Cement (PLC)</v>
      </c>
      <c r="AX31" s="148">
        <f>'Cement Sources'!BC$25*$AU31</f>
        <v>0</v>
      </c>
      <c r="AY31" s="148">
        <f>'Cement Sources'!BD$25*$AU31</f>
        <v>0</v>
      </c>
      <c r="AZ31" s="148">
        <f>'Cement Sources'!BE$25*$AU31</f>
        <v>0</v>
      </c>
      <c r="BA31" s="148">
        <f>'Cement Sources'!BF$25*$AU31</f>
        <v>0</v>
      </c>
      <c r="BB31" s="148">
        <f>'Cement Sources'!BG$25*$AU31</f>
        <v>0</v>
      </c>
      <c r="BC31" s="148">
        <f>'Cement Sources'!BH$25*$AU31</f>
        <v>0</v>
      </c>
      <c r="BD31" s="148">
        <f>'Cement Sources'!BI$25*$AU31</f>
        <v>0</v>
      </c>
      <c r="BE31" s="148">
        <f>'Cement Sources'!BJ$25*$AU31</f>
        <v>0</v>
      </c>
      <c r="BF31" s="148">
        <f>'Cement Sources'!BK$25*$AU31</f>
        <v>0</v>
      </c>
      <c r="BG31" s="148">
        <f>'Cement Sources'!BL$25*$AU31</f>
        <v>0</v>
      </c>
      <c r="BH31" s="148">
        <f>'Cement Sources'!BM$25*$AU31</f>
        <v>0</v>
      </c>
      <c r="BI31" s="148">
        <f>'Cement Sources'!BN$25*$AU31</f>
        <v>0</v>
      </c>
      <c r="BJ31" s="148">
        <f>'Cement Sources'!BO$25*$AU31</f>
        <v>0</v>
      </c>
      <c r="BK31" s="148">
        <f>'Cement Sources'!BP$25*$AU31</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IFERROR(INDEX(LCIA_Data,MATCH($AO$15&amp;CM$27,LCIA_Rows_B&amp;LCIA_Rows_C,0),MATCH(CM$26,LCIA_Columns,0)),0)*$AT31*$AJ31*$BN$23</f>
        <v>0</v>
      </c>
      <c r="CN31" s="1">
        <f t="array" ref="CN31">IFERROR(INDEX(LCIA_Data,MATCH($AO$15&amp;CN$27,LCIA_Rows_B&amp;LCIA_Rows_C,0),MATCH(CN$26,LCIA_Columns,0)),0)*$AT31*$AJ31*$BN$23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IFERROR(INDEX(LCIA_Data,MATCH($AO$15&amp;DA$27,LCIA_Rows_B&amp;LCIA_Rows_C,0),MATCH(DA$26,LCIA_Columns,0)),0)*$AT31*$AK31*$BN$23</f>
        <v>0</v>
      </c>
      <c r="DB31" s="1">
        <f t="array" ref="DB31">IFERROR(INDEX(LCIA_Data,MATCH($AO$15&amp;DB$27,LCIA_Rows_B&amp;LCIA_Rows_C,0),MATCH(DB$26,LCIA_Columns,0)),0)*$AT31*$AK31*$BN$23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f t="shared" si="20"/>
        <v>0</v>
      </c>
      <c r="DP31">
        <f t="shared" si="20"/>
        <v>0</v>
      </c>
      <c r="DQ31">
        <f t="shared" si="20"/>
        <v>0</v>
      </c>
      <c r="DR31">
        <f t="shared" si="20"/>
        <v>0</v>
      </c>
      <c r="DS31">
        <f t="shared" si="20"/>
        <v>0</v>
      </c>
      <c r="DT31">
        <f t="shared" si="20"/>
        <v>0</v>
      </c>
      <c r="DU31">
        <f t="shared" si="20"/>
        <v>0</v>
      </c>
      <c r="DV31">
        <f t="shared" si="20"/>
        <v>0</v>
      </c>
      <c r="DW31">
        <f t="shared" si="20"/>
        <v>0</v>
      </c>
      <c r="DX31">
        <f t="shared" si="20"/>
        <v>0</v>
      </c>
      <c r="DY31">
        <f t="shared" si="20"/>
        <v>0</v>
      </c>
      <c r="DZ31">
        <f t="shared" si="20"/>
        <v>0</v>
      </c>
      <c r="EA31">
        <f t="shared" si="20"/>
        <v>0</v>
      </c>
      <c r="EB31">
        <f t="shared" si="21"/>
        <v>0</v>
      </c>
      <c r="EC31"/>
      <c r="ED31"/>
      <c r="EE31"/>
      <c r="EF31"/>
      <c r="EG31"/>
    </row>
    <row r="32" spans="2:137" ht="15" customHeight="1" thickBot="1">
      <c r="B32" s="53">
        <f>X32</f>
        <v>0</v>
      </c>
      <c r="C32" s="578">
        <f t="shared" si="22"/>
        <v>3</v>
      </c>
      <c r="D32" s="579" t="str">
        <f>'Plant Inputs'!$D32</f>
        <v>Pre-Blended Cement</v>
      </c>
      <c r="E32" s="580"/>
      <c r="F32" s="581" t="str">
        <f t="shared" si="6"/>
        <v>short ton</v>
      </c>
      <c r="G32" s="582">
        <f>$AV32</f>
        <v>0</v>
      </c>
      <c r="H32" s="205" t="str">
        <f t="shared" si="7"/>
        <v>short ton</v>
      </c>
      <c r="I32" s="157">
        <f t="shared" si="8"/>
        <v>0</v>
      </c>
      <c r="J32"/>
      <c r="K32"/>
      <c r="L32"/>
      <c r="M32"/>
      <c r="N32"/>
      <c r="O32"/>
      <c r="P32"/>
      <c r="Q32"/>
      <c r="R32"/>
      <c r="S32"/>
      <c r="T32"/>
      <c r="X32" s="67">
        <f>IF(ISBLANK(E32),0,1)</f>
        <v>0</v>
      </c>
      <c r="Y32" s="216">
        <f>IF(AND($X32=1,'Plant Inputs'!$Y32=1),1,0)</f>
        <v>0</v>
      </c>
      <c r="Z32" s="216"/>
      <c r="AA32" s="216">
        <f>IF($Y32=0,0,IF('Plant Inputs'!J32="",0,'Plant Inputs'!J32))</f>
        <v>0</v>
      </c>
      <c r="AB32" s="216">
        <f>IF($Y32=0,0,IF('Plant Inputs'!K32="",0,'Plant Inputs'!K32))</f>
        <v>0</v>
      </c>
      <c r="AC32" s="216">
        <f>IF($Y32=0,0,IF('Plant Inputs'!L32="",0,'Plant Inputs'!L32))</f>
        <v>0</v>
      </c>
      <c r="AD32" s="216">
        <f>IF($Y32=0,0,IF('Plant Inputs'!M32="",0,'Plant Inputs'!M32))</f>
        <v>0</v>
      </c>
      <c r="AE32" s="217" t="str">
        <f>'Plant Inputs'!$O32</f>
        <v>mile</v>
      </c>
      <c r="AF32" s="217">
        <f t="shared" si="9"/>
        <v>1.6093473468862911</v>
      </c>
      <c r="AG32" s="216" t="str">
        <f t="shared" si="23"/>
        <v>km/mile</v>
      </c>
      <c r="AH32" s="216">
        <f t="shared" si="10"/>
        <v>0</v>
      </c>
      <c r="AI32" s="216">
        <f t="shared" si="10"/>
        <v>0</v>
      </c>
      <c r="AJ32" s="216">
        <f t="shared" si="10"/>
        <v>0</v>
      </c>
      <c r="AK32" s="216">
        <f t="shared" si="10"/>
        <v>0</v>
      </c>
      <c r="AL32" s="216"/>
      <c r="AM32" s="1" t="str">
        <f t="shared" si="11"/>
        <v>Pre-Blended Cement</v>
      </c>
      <c r="AN32" t="s">
        <v>127</v>
      </c>
      <c r="AO32">
        <f t="shared" si="12"/>
        <v>0</v>
      </c>
      <c r="AP32" s="1">
        <f t="shared" si="24"/>
        <v>0</v>
      </c>
      <c r="AQ32" s="1" t="str">
        <f t="shared" si="13"/>
        <v>short ton</v>
      </c>
      <c r="AR32" s="1">
        <f t="shared" si="14"/>
        <v>0.90718499588591606</v>
      </c>
      <c r="AS32" s="87" t="str">
        <f t="shared" si="15"/>
        <v>tonne/short ton</v>
      </c>
      <c r="AT32" s="87">
        <f t="shared" si="16"/>
        <v>0</v>
      </c>
      <c r="AU32" s="87">
        <f t="shared" si="17"/>
        <v>0</v>
      </c>
      <c r="AV32" s="87">
        <f t="shared" si="18"/>
        <v>0</v>
      </c>
      <c r="AW32" t="str">
        <f t="shared" si="19"/>
        <v>Pre-Blended Cement</v>
      </c>
      <c r="AX32" s="148">
        <f>'Cement Sources'!BC$37*$AU32</f>
        <v>0</v>
      </c>
      <c r="AY32" s="148">
        <f>'Cement Sources'!BD$37*$AU32</f>
        <v>0</v>
      </c>
      <c r="AZ32" s="148">
        <f>'Cement Sources'!BE$37*$AU32</f>
        <v>0</v>
      </c>
      <c r="BA32" s="148">
        <f>'Cement Sources'!BF$37*$AU32</f>
        <v>0</v>
      </c>
      <c r="BB32" s="148">
        <f>'Cement Sources'!BG$37*$AU32</f>
        <v>0</v>
      </c>
      <c r="BC32" s="148">
        <f>'Cement Sources'!BH$37*$AU32</f>
        <v>0</v>
      </c>
      <c r="BD32" s="148">
        <f>'Cement Sources'!BI$37*$AU32</f>
        <v>0</v>
      </c>
      <c r="BE32" s="148">
        <f>'Cement Sources'!BJ$37*$AU32</f>
        <v>0</v>
      </c>
      <c r="BF32" s="148">
        <f>'Cement Sources'!BK$37*$AU32</f>
        <v>0</v>
      </c>
      <c r="BG32" s="148">
        <f>'Cement Sources'!BL$37*$AU32</f>
        <v>0</v>
      </c>
      <c r="BH32" s="148">
        <f>'Cement Sources'!BM$37*$AU32</f>
        <v>0</v>
      </c>
      <c r="BI32" s="148">
        <f>'Cement Sources'!BN$37*$AU32</f>
        <v>0</v>
      </c>
      <c r="BJ32" s="148">
        <f>'Cement Sources'!BO$37*$AU32</f>
        <v>0</v>
      </c>
      <c r="BK32" s="148">
        <f>'Cement Sources'!BP$37*$AU32</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IFERROR(INDEX(LCIA_Data,MATCH($AO$15&amp;CM$27,LCIA_Rows_B&amp;LCIA_Rows_C,0),MATCH(CM$26,LCIA_Columns,0)),0)*$AT32*$AJ32*$BN$23</f>
        <v>0</v>
      </c>
      <c r="CN32" s="1">
        <f t="array" ref="CN32">IFERROR(INDEX(LCIA_Data,MATCH($AO$15&amp;CN$27,LCIA_Rows_B&amp;LCIA_Rows_C,0),MATCH(CN$26,LCIA_Columns,0)),0)*$AT32*$AJ32*$BN$23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IFERROR(INDEX(LCIA_Data,MATCH($AO$15&amp;DA$27,LCIA_Rows_B&amp;LCIA_Rows_C,0),MATCH(DA$26,LCIA_Columns,0)),0)*$AT32*$AK32*$BN$23</f>
        <v>0</v>
      </c>
      <c r="DB32" s="1">
        <f t="array" ref="DB32">IFERROR(INDEX(LCIA_Data,MATCH($AO$15&amp;DB$27,LCIA_Rows_B&amp;LCIA_Rows_C,0),MATCH(DB$26,LCIA_Columns,0)),0)*$AT32*$AK32*$BN$23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f t="shared" si="20"/>
        <v>0</v>
      </c>
      <c r="DP32">
        <f t="shared" si="20"/>
        <v>0</v>
      </c>
      <c r="DQ32">
        <f t="shared" si="20"/>
        <v>0</v>
      </c>
      <c r="DR32">
        <f t="shared" si="20"/>
        <v>0</v>
      </c>
      <c r="DS32">
        <f t="shared" si="20"/>
        <v>0</v>
      </c>
      <c r="DT32">
        <f t="shared" si="20"/>
        <v>0</v>
      </c>
      <c r="DU32">
        <f t="shared" si="20"/>
        <v>0</v>
      </c>
      <c r="DV32">
        <f t="shared" si="20"/>
        <v>0</v>
      </c>
      <c r="DW32">
        <f t="shared" si="20"/>
        <v>0</v>
      </c>
      <c r="DX32">
        <f t="shared" si="20"/>
        <v>0</v>
      </c>
      <c r="DY32">
        <f t="shared" si="20"/>
        <v>0</v>
      </c>
      <c r="DZ32">
        <f t="shared" si="20"/>
        <v>0</v>
      </c>
      <c r="EA32">
        <f t="shared" si="20"/>
        <v>0</v>
      </c>
      <c r="EB32">
        <f t="shared" si="21"/>
        <v>0</v>
      </c>
      <c r="EC32"/>
      <c r="ED32"/>
      <c r="EE32"/>
      <c r="EF32"/>
      <c r="EG32"/>
    </row>
    <row r="33" spans="2:137" ht="15" customHeight="1">
      <c r="B33" s="53">
        <f t="shared" ref="B33:B45" si="25">X33</f>
        <v>0</v>
      </c>
      <c r="C33" s="221">
        <f t="shared" si="22"/>
        <v>4</v>
      </c>
      <c r="D33" s="222" t="str">
        <f>'Plant Inputs'!$D33</f>
        <v>Fine Aggregate - natural sand</v>
      </c>
      <c r="E33" s="154"/>
      <c r="F33" s="223" t="str">
        <f t="shared" si="6"/>
        <v>short ton</v>
      </c>
      <c r="G33" s="224">
        <f>$AV33</f>
        <v>0</v>
      </c>
      <c r="H33" s="225" t="str">
        <f t="shared" si="7"/>
        <v>short ton</v>
      </c>
      <c r="I33" s="156">
        <f t="shared" si="8"/>
        <v>0</v>
      </c>
      <c r="J33"/>
      <c r="K33"/>
      <c r="L33"/>
      <c r="M33"/>
      <c r="N33"/>
      <c r="O33"/>
      <c r="P33"/>
      <c r="Q33"/>
      <c r="R33"/>
      <c r="S33"/>
      <c r="T33"/>
      <c r="X33" s="67">
        <f>IF(ISBLANK(E33),0,1)</f>
        <v>0</v>
      </c>
      <c r="Y33" s="216">
        <f>IF(AND($X33=1,'Plant Inputs'!$Y33=1),1,0)</f>
        <v>0</v>
      </c>
      <c r="Z33" s="216"/>
      <c r="AA33" s="216">
        <f>IF($Y33=0,0,IF('Plant Inputs'!J33="",0,'Plant Inputs'!J33))</f>
        <v>0</v>
      </c>
      <c r="AB33" s="216">
        <f>IF($Y33=0,0,IF('Plant Inputs'!K33="",0,'Plant Inputs'!K33))</f>
        <v>0</v>
      </c>
      <c r="AC33" s="216">
        <f>IF($Y33=0,0,IF('Plant Inputs'!L33="",0,'Plant Inputs'!L33))</f>
        <v>0</v>
      </c>
      <c r="AD33" s="216">
        <f>IF($Y33=0,0,IF('Plant Inputs'!M33="",0,'Plant Inputs'!M33))</f>
        <v>0</v>
      </c>
      <c r="AE33" s="217" t="str">
        <f>'Plant Inputs'!$O33</f>
        <v>mile</v>
      </c>
      <c r="AF33" s="217">
        <f t="shared" si="9"/>
        <v>1.6093473468862911</v>
      </c>
      <c r="AG33" s="216" t="str">
        <f t="shared" si="23"/>
        <v>km/mile</v>
      </c>
      <c r="AH33" s="216">
        <f t="shared" si="10"/>
        <v>0</v>
      </c>
      <c r="AI33" s="216">
        <f t="shared" si="10"/>
        <v>0</v>
      </c>
      <c r="AJ33" s="216">
        <f t="shared" si="10"/>
        <v>0</v>
      </c>
      <c r="AK33" s="216">
        <f t="shared" si="10"/>
        <v>0</v>
      </c>
      <c r="AL33" s="216"/>
      <c r="AM33" s="1" t="str">
        <f t="shared" si="11"/>
        <v>Fine Aggregate - natural sand</v>
      </c>
      <c r="AN33" t="s">
        <v>127</v>
      </c>
      <c r="AO33">
        <f t="shared" si="12"/>
        <v>0</v>
      </c>
      <c r="AP33" s="1">
        <f t="shared" si="24"/>
        <v>0</v>
      </c>
      <c r="AQ33" s="1" t="str">
        <f t="shared" si="13"/>
        <v>short ton</v>
      </c>
      <c r="AR33" s="1">
        <f t="shared" si="14"/>
        <v>0.90718499588591606</v>
      </c>
      <c r="AS33" s="87" t="str">
        <f t="shared" si="15"/>
        <v>tonne/short ton</v>
      </c>
      <c r="AT33" s="87">
        <f t="shared" si="16"/>
        <v>0</v>
      </c>
      <c r="AU33" s="87">
        <f t="shared" si="17"/>
        <v>0</v>
      </c>
      <c r="AV33" s="87">
        <f t="shared" si="18"/>
        <v>0</v>
      </c>
      <c r="AW33" t="str">
        <f t="shared" si="19"/>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IFERROR(INDEX(LCIA_Data,MATCH($AO$15&amp;CM$27,LCIA_Rows_B&amp;LCIA_Rows_C,0),MATCH(CM$26,LCIA_Columns,0)),0)*$AT33*$AJ33*$BN$23</f>
        <v>0</v>
      </c>
      <c r="CN33" s="1">
        <f t="array" ref="CN33">IFERROR(INDEX(LCIA_Data,MATCH($AO$15&amp;CN$27,LCIA_Rows_B&amp;LCIA_Rows_C,0),MATCH(CN$26,LCIA_Columns,0)),0)*$AT33*$AJ33*$BN$23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IFERROR(INDEX(LCIA_Data,MATCH($AO$15&amp;DA$27,LCIA_Rows_B&amp;LCIA_Rows_C,0),MATCH(DA$26,LCIA_Columns,0)),0)*$AT33*$AK33*$BN$23</f>
        <v>0</v>
      </c>
      <c r="DB33" s="1">
        <f t="array" ref="DB33">IFERROR(INDEX(LCIA_Data,MATCH($AO$15&amp;DB$27,LCIA_Rows_B&amp;LCIA_Rows_C,0),MATCH(DB$26,LCIA_Columns,0)),0)*$AT33*$AK33*$BN$23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f t="shared" si="20"/>
        <v>0</v>
      </c>
      <c r="DP33">
        <f t="shared" si="20"/>
        <v>0</v>
      </c>
      <c r="DQ33">
        <f t="shared" si="20"/>
        <v>0</v>
      </c>
      <c r="DR33">
        <f t="shared" si="20"/>
        <v>0</v>
      </c>
      <c r="DS33">
        <f t="shared" si="20"/>
        <v>0</v>
      </c>
      <c r="DT33">
        <f t="shared" si="20"/>
        <v>0</v>
      </c>
      <c r="DU33">
        <f t="shared" si="20"/>
        <v>0</v>
      </c>
      <c r="DV33">
        <f t="shared" si="20"/>
        <v>0</v>
      </c>
      <c r="DW33">
        <f t="shared" si="20"/>
        <v>0</v>
      </c>
      <c r="DX33">
        <f t="shared" si="20"/>
        <v>0</v>
      </c>
      <c r="DY33">
        <f t="shared" si="20"/>
        <v>0</v>
      </c>
      <c r="DZ33">
        <f t="shared" si="20"/>
        <v>0</v>
      </c>
      <c r="EA33">
        <f t="shared" si="20"/>
        <v>0</v>
      </c>
      <c r="EB33">
        <f t="shared" si="21"/>
        <v>0</v>
      </c>
      <c r="EC33"/>
      <c r="ED33"/>
      <c r="EE33"/>
      <c r="EF33"/>
      <c r="EG33"/>
    </row>
    <row r="34" spans="2:137" ht="15" customHeight="1">
      <c r="B34" s="53">
        <f t="shared" si="25"/>
        <v>0</v>
      </c>
      <c r="C34" s="26">
        <f t="shared" si="22"/>
        <v>5</v>
      </c>
      <c r="D34" s="46" t="str">
        <f>'Plant Inputs'!$D34</f>
        <v>Fine Aggregate - manufactured</v>
      </c>
      <c r="E34" s="99"/>
      <c r="F34" s="119" t="str">
        <f t="shared" si="6"/>
        <v>short ton</v>
      </c>
      <c r="G34" s="158">
        <f t="shared" ref="G34:G66" si="26">$AV34</f>
        <v>0</v>
      </c>
      <c r="H34" s="204" t="str">
        <f t="shared" si="7"/>
        <v>short ton</v>
      </c>
      <c r="I34" s="156">
        <f t="shared" si="8"/>
        <v>0</v>
      </c>
      <c r="J34"/>
      <c r="K34"/>
      <c r="L34"/>
      <c r="M34"/>
      <c r="N34"/>
      <c r="O34"/>
      <c r="P34"/>
      <c r="Q34"/>
      <c r="R34"/>
      <c r="S34"/>
      <c r="T34"/>
      <c r="X34" s="67">
        <f t="shared" ref="X34:X45" si="27">IF(ISBLANK(E34),0,1)</f>
        <v>0</v>
      </c>
      <c r="Y34" s="216">
        <f>IF(AND($X34=1,'Plant Inputs'!$Y34=1),1,0)</f>
        <v>0</v>
      </c>
      <c r="Z34" s="216"/>
      <c r="AA34" s="216">
        <f>IF($Y34=0,0,IF('Plant Inputs'!J34="",0,'Plant Inputs'!J34))</f>
        <v>0</v>
      </c>
      <c r="AB34" s="216">
        <f>IF($Y34=0,0,IF('Plant Inputs'!K34="",0,'Plant Inputs'!K34))</f>
        <v>0</v>
      </c>
      <c r="AC34" s="216">
        <f>IF($Y34=0,0,IF('Plant Inputs'!L34="",0,'Plant Inputs'!L34))</f>
        <v>0</v>
      </c>
      <c r="AD34" s="216">
        <f>IF($Y34=0,0,IF('Plant Inputs'!M34="",0,'Plant Inputs'!M34))</f>
        <v>0</v>
      </c>
      <c r="AE34" s="217" t="str">
        <f>'Plant Inputs'!$O34</f>
        <v>mile</v>
      </c>
      <c r="AF34" s="217">
        <f t="shared" si="9"/>
        <v>1.6093473468862911</v>
      </c>
      <c r="AG34" s="216" t="str">
        <f t="shared" si="23"/>
        <v>km/mile</v>
      </c>
      <c r="AH34" s="216">
        <f t="shared" si="10"/>
        <v>0</v>
      </c>
      <c r="AI34" s="216">
        <f t="shared" si="10"/>
        <v>0</v>
      </c>
      <c r="AJ34" s="216">
        <f t="shared" si="10"/>
        <v>0</v>
      </c>
      <c r="AK34" s="216">
        <f t="shared" si="10"/>
        <v>0</v>
      </c>
      <c r="AL34" s="216"/>
      <c r="AM34" s="1" t="str">
        <f t="shared" si="11"/>
        <v>Fine Aggregate - manufactured</v>
      </c>
      <c r="AN34" t="s">
        <v>127</v>
      </c>
      <c r="AO34">
        <f t="shared" si="12"/>
        <v>0</v>
      </c>
      <c r="AP34" s="1">
        <f t="shared" si="24"/>
        <v>0</v>
      </c>
      <c r="AQ34" s="1" t="str">
        <f t="shared" si="13"/>
        <v>short ton</v>
      </c>
      <c r="AR34" s="1">
        <f t="shared" si="14"/>
        <v>0.90718499588591606</v>
      </c>
      <c r="AS34" s="87" t="str">
        <f t="shared" si="15"/>
        <v>tonne/short ton</v>
      </c>
      <c r="AT34" s="87">
        <f t="shared" si="16"/>
        <v>0</v>
      </c>
      <c r="AU34" s="87">
        <f t="shared" si="17"/>
        <v>0</v>
      </c>
      <c r="AV34" s="87">
        <f t="shared" si="18"/>
        <v>0</v>
      </c>
      <c r="AW34" t="str">
        <f t="shared" si="19"/>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IFERROR(INDEX(LCIA_Data,MATCH($AO$15&amp;CM$27,LCIA_Rows_B&amp;LCIA_Rows_C,0),MATCH(CM$26,LCIA_Columns,0)),0)*$AT34*$AJ34*$BN$23</f>
        <v>0</v>
      </c>
      <c r="CN34" s="1">
        <f t="array" ref="CN34">IFERROR(INDEX(LCIA_Data,MATCH($AO$15&amp;CN$27,LCIA_Rows_B&amp;LCIA_Rows_C,0),MATCH(CN$26,LCIA_Columns,0)),0)*$AT34*$AJ34*$BN$23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IFERROR(INDEX(LCIA_Data,MATCH($AO$15&amp;DA$27,LCIA_Rows_B&amp;LCIA_Rows_C,0),MATCH(DA$26,LCIA_Columns,0)),0)*$AT34*$AK34*$BN$23</f>
        <v>0</v>
      </c>
      <c r="DB34" s="1">
        <f t="array" ref="DB34">IFERROR(INDEX(LCIA_Data,MATCH($AO$15&amp;DB$27,LCIA_Rows_B&amp;LCIA_Rows_C,0),MATCH(DB$26,LCIA_Columns,0)),0)*$AT34*$AK34*$BN$23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f t="shared" si="20"/>
        <v>0</v>
      </c>
      <c r="DP34">
        <f t="shared" si="20"/>
        <v>0</v>
      </c>
      <c r="DQ34">
        <f t="shared" si="20"/>
        <v>0</v>
      </c>
      <c r="DR34">
        <f t="shared" si="20"/>
        <v>0</v>
      </c>
      <c r="DS34">
        <f t="shared" si="20"/>
        <v>0</v>
      </c>
      <c r="DT34">
        <f t="shared" si="20"/>
        <v>0</v>
      </c>
      <c r="DU34">
        <f t="shared" si="20"/>
        <v>0</v>
      </c>
      <c r="DV34">
        <f t="shared" si="20"/>
        <v>0</v>
      </c>
      <c r="DW34">
        <f t="shared" si="20"/>
        <v>0</v>
      </c>
      <c r="DX34">
        <f t="shared" si="20"/>
        <v>0</v>
      </c>
      <c r="DY34">
        <f t="shared" si="20"/>
        <v>0</v>
      </c>
      <c r="DZ34">
        <f t="shared" si="20"/>
        <v>0</v>
      </c>
      <c r="EA34">
        <f t="shared" si="20"/>
        <v>0</v>
      </c>
      <c r="EB34">
        <f t="shared" si="21"/>
        <v>0</v>
      </c>
      <c r="EC34"/>
      <c r="ED34"/>
      <c r="EE34"/>
      <c r="EF34"/>
      <c r="EG34"/>
    </row>
    <row r="35" spans="2:137" ht="15" customHeight="1">
      <c r="B35" s="53">
        <f t="shared" si="25"/>
        <v>0</v>
      </c>
      <c r="C35" s="26">
        <f t="shared" si="22"/>
        <v>6</v>
      </c>
      <c r="D35" s="41" t="str">
        <f>'Plant Inputs'!$D35</f>
        <v>Coarse Aggregate - natural gravel</v>
      </c>
      <c r="E35" s="99"/>
      <c r="F35" s="119" t="str">
        <f t="shared" si="6"/>
        <v>short ton</v>
      </c>
      <c r="G35" s="158">
        <f t="shared" si="26"/>
        <v>0</v>
      </c>
      <c r="H35" s="204" t="str">
        <f t="shared" si="7"/>
        <v>short ton</v>
      </c>
      <c r="I35" s="156">
        <f t="shared" si="8"/>
        <v>0</v>
      </c>
      <c r="J35"/>
      <c r="K35"/>
      <c r="L35"/>
      <c r="M35"/>
      <c r="N35"/>
      <c r="O35"/>
      <c r="P35"/>
      <c r="Q35"/>
      <c r="R35"/>
      <c r="S35"/>
      <c r="T35"/>
      <c r="X35" s="67">
        <f t="shared" si="27"/>
        <v>0</v>
      </c>
      <c r="Y35" s="216">
        <f>IF(AND($X35=1,'Plant Inputs'!$Y35=1),1,0)</f>
        <v>0</v>
      </c>
      <c r="Z35" s="216"/>
      <c r="AA35" s="216">
        <f>IF($Y35=0,0,IF('Plant Inputs'!J35="",0,'Plant Inputs'!J35))</f>
        <v>0</v>
      </c>
      <c r="AB35" s="216">
        <f>IF($Y35=0,0,IF('Plant Inputs'!K35="",0,'Plant Inputs'!K35))</f>
        <v>0</v>
      </c>
      <c r="AC35" s="216">
        <f>IF($Y35=0,0,IF('Plant Inputs'!L35="",0,'Plant Inputs'!L35))</f>
        <v>0</v>
      </c>
      <c r="AD35" s="216">
        <f>IF($Y35=0,0,IF('Plant Inputs'!M35="",0,'Plant Inputs'!M35))</f>
        <v>0</v>
      </c>
      <c r="AE35" s="217" t="str">
        <f>'Plant Inputs'!$O35</f>
        <v>mile</v>
      </c>
      <c r="AF35" s="217">
        <f t="shared" si="9"/>
        <v>1.6093473468862911</v>
      </c>
      <c r="AG35" s="216" t="str">
        <f t="shared" si="23"/>
        <v>km/mile</v>
      </c>
      <c r="AH35" s="216">
        <f t="shared" si="10"/>
        <v>0</v>
      </c>
      <c r="AI35" s="216">
        <f t="shared" si="10"/>
        <v>0</v>
      </c>
      <c r="AJ35" s="216">
        <f t="shared" si="10"/>
        <v>0</v>
      </c>
      <c r="AK35" s="216">
        <f t="shared" si="10"/>
        <v>0</v>
      </c>
      <c r="AL35" s="216"/>
      <c r="AM35" s="1" t="str">
        <f t="shared" si="11"/>
        <v>Coarse Aggregate - natural gravel</v>
      </c>
      <c r="AN35" t="s">
        <v>127</v>
      </c>
      <c r="AO35">
        <f t="shared" si="12"/>
        <v>0</v>
      </c>
      <c r="AP35" s="1">
        <f t="shared" si="24"/>
        <v>0</v>
      </c>
      <c r="AQ35" s="1" t="str">
        <f t="shared" si="13"/>
        <v>short ton</v>
      </c>
      <c r="AR35" s="1">
        <f t="shared" si="14"/>
        <v>0.90718499588591606</v>
      </c>
      <c r="AS35" s="87" t="str">
        <f t="shared" si="15"/>
        <v>tonne/short ton</v>
      </c>
      <c r="AT35" s="87">
        <f t="shared" si="16"/>
        <v>0</v>
      </c>
      <c r="AU35" s="87">
        <f t="shared" si="17"/>
        <v>0</v>
      </c>
      <c r="AV35" s="87">
        <f t="shared" si="18"/>
        <v>0</v>
      </c>
      <c r="AW35" t="str">
        <f t="shared" si="19"/>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IFERROR(INDEX(LCIA_Data,MATCH($AO$15&amp;CM$27,LCIA_Rows_B&amp;LCIA_Rows_C,0),MATCH(CM$26,LCIA_Columns,0)),0)*$AT35*$AJ35*$BN$23</f>
        <v>0</v>
      </c>
      <c r="CN35" s="1">
        <f t="array" ref="CN35">IFERROR(INDEX(LCIA_Data,MATCH($AO$15&amp;CN$27,LCIA_Rows_B&amp;LCIA_Rows_C,0),MATCH(CN$26,LCIA_Columns,0)),0)*$AT35*$AJ35*$BN$23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IFERROR(INDEX(LCIA_Data,MATCH($AO$15&amp;DA$27,LCIA_Rows_B&amp;LCIA_Rows_C,0),MATCH(DA$26,LCIA_Columns,0)),0)*$AT35*$AK35*$BN$23</f>
        <v>0</v>
      </c>
      <c r="DB35" s="1">
        <f t="array" ref="DB35">IFERROR(INDEX(LCIA_Data,MATCH($AO$15&amp;DB$27,LCIA_Rows_B&amp;LCIA_Rows_C,0),MATCH(DB$26,LCIA_Columns,0)),0)*$AT35*$AK35*$BN$23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f t="shared" si="20"/>
        <v>0</v>
      </c>
      <c r="DP35">
        <f t="shared" si="20"/>
        <v>0</v>
      </c>
      <c r="DQ35">
        <f t="shared" si="20"/>
        <v>0</v>
      </c>
      <c r="DR35">
        <f t="shared" si="20"/>
        <v>0</v>
      </c>
      <c r="DS35">
        <f t="shared" si="20"/>
        <v>0</v>
      </c>
      <c r="DT35">
        <f t="shared" si="20"/>
        <v>0</v>
      </c>
      <c r="DU35">
        <f t="shared" si="20"/>
        <v>0</v>
      </c>
      <c r="DV35">
        <f t="shared" si="20"/>
        <v>0</v>
      </c>
      <c r="DW35">
        <f t="shared" si="20"/>
        <v>0</v>
      </c>
      <c r="DX35">
        <f t="shared" si="20"/>
        <v>0</v>
      </c>
      <c r="DY35">
        <f t="shared" si="20"/>
        <v>0</v>
      </c>
      <c r="DZ35">
        <f t="shared" si="20"/>
        <v>0</v>
      </c>
      <c r="EA35">
        <f t="shared" si="20"/>
        <v>0</v>
      </c>
      <c r="EB35">
        <f t="shared" si="21"/>
        <v>0</v>
      </c>
      <c r="EC35"/>
      <c r="ED35"/>
      <c r="EE35"/>
      <c r="EF35"/>
      <c r="EG35"/>
    </row>
    <row r="36" spans="2:137" ht="15" customHeight="1">
      <c r="B36" s="53">
        <f t="shared" si="25"/>
        <v>0</v>
      </c>
      <c r="C36" s="26">
        <f t="shared" si="22"/>
        <v>7</v>
      </c>
      <c r="D36" s="41" t="str">
        <f>'Plant Inputs'!$D36</f>
        <v>Coarse Aggregate - crushed</v>
      </c>
      <c r="E36" s="99"/>
      <c r="F36" s="119" t="str">
        <f t="shared" si="6"/>
        <v>short ton</v>
      </c>
      <c r="G36" s="158">
        <f t="shared" si="26"/>
        <v>0</v>
      </c>
      <c r="H36" s="204" t="str">
        <f t="shared" si="7"/>
        <v>short ton</v>
      </c>
      <c r="I36" s="156">
        <f t="shared" si="8"/>
        <v>0</v>
      </c>
      <c r="J36"/>
      <c r="K36"/>
      <c r="L36"/>
      <c r="M36"/>
      <c r="N36"/>
      <c r="O36"/>
      <c r="P36"/>
      <c r="Q36"/>
      <c r="R36"/>
      <c r="S36"/>
      <c r="T36"/>
      <c r="X36" s="67">
        <f t="shared" si="27"/>
        <v>0</v>
      </c>
      <c r="Y36" s="216">
        <f>IF(AND($X36=1,'Plant Inputs'!$Y36=1),1,0)</f>
        <v>0</v>
      </c>
      <c r="Z36" s="216"/>
      <c r="AA36" s="216">
        <f>IF($Y36=0,0,IF('Plant Inputs'!J36="",0,'Plant Inputs'!J36))</f>
        <v>0</v>
      </c>
      <c r="AB36" s="216">
        <f>IF($Y36=0,0,IF('Plant Inputs'!K36="",0,'Plant Inputs'!K36))</f>
        <v>0</v>
      </c>
      <c r="AC36" s="216">
        <f>IF($Y36=0,0,IF('Plant Inputs'!L36="",0,'Plant Inputs'!L36))</f>
        <v>0</v>
      </c>
      <c r="AD36" s="216">
        <f>IF($Y36=0,0,IF('Plant Inputs'!M36="",0,'Plant Inputs'!M36))</f>
        <v>0</v>
      </c>
      <c r="AE36" s="217" t="str">
        <f>'Plant Inputs'!$O36</f>
        <v>mile</v>
      </c>
      <c r="AF36" s="217">
        <f t="shared" si="9"/>
        <v>1.6093473468862911</v>
      </c>
      <c r="AG36" s="216" t="str">
        <f t="shared" si="23"/>
        <v>km/mile</v>
      </c>
      <c r="AH36" s="216">
        <f t="shared" si="10"/>
        <v>0</v>
      </c>
      <c r="AI36" s="216">
        <f t="shared" si="10"/>
        <v>0</v>
      </c>
      <c r="AJ36" s="216">
        <f t="shared" si="10"/>
        <v>0</v>
      </c>
      <c r="AK36" s="216">
        <f t="shared" si="10"/>
        <v>0</v>
      </c>
      <c r="AL36" s="216"/>
      <c r="AM36" s="1" t="str">
        <f t="shared" si="11"/>
        <v>Coarse Aggregate - crushed</v>
      </c>
      <c r="AN36" t="s">
        <v>127</v>
      </c>
      <c r="AO36">
        <f t="shared" si="12"/>
        <v>0</v>
      </c>
      <c r="AP36" s="1">
        <f t="shared" si="24"/>
        <v>0</v>
      </c>
      <c r="AQ36" s="1" t="str">
        <f t="shared" si="13"/>
        <v>short ton</v>
      </c>
      <c r="AR36" s="1">
        <f t="shared" si="14"/>
        <v>0.90718499588591606</v>
      </c>
      <c r="AS36" s="87" t="str">
        <f t="shared" si="15"/>
        <v>tonne/short ton</v>
      </c>
      <c r="AT36" s="87">
        <f t="shared" si="16"/>
        <v>0</v>
      </c>
      <c r="AU36" s="87">
        <f t="shared" si="17"/>
        <v>0</v>
      </c>
      <c r="AV36" s="87">
        <f t="shared" si="18"/>
        <v>0</v>
      </c>
      <c r="AW36" t="str">
        <f t="shared" si="19"/>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IFERROR(INDEX(LCIA_Data,MATCH($AO$15&amp;CM$27,LCIA_Rows_B&amp;LCIA_Rows_C,0),MATCH(CM$26,LCIA_Columns,0)),0)*$AT36*$AJ36*$BN$23</f>
        <v>0</v>
      </c>
      <c r="CN36" s="1">
        <f t="array" ref="CN36">IFERROR(INDEX(LCIA_Data,MATCH($AO$15&amp;CN$27,LCIA_Rows_B&amp;LCIA_Rows_C,0),MATCH(CN$26,LCIA_Columns,0)),0)*$AT36*$AJ36*$BN$23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IFERROR(INDEX(LCIA_Data,MATCH($AO$15&amp;DA$27,LCIA_Rows_B&amp;LCIA_Rows_C,0),MATCH(DA$26,LCIA_Columns,0)),0)*$AT36*$AK36*$BN$23</f>
        <v>0</v>
      </c>
      <c r="DB36" s="1">
        <f t="array" ref="DB36">IFERROR(INDEX(LCIA_Data,MATCH($AO$15&amp;DB$27,LCIA_Rows_B&amp;LCIA_Rows_C,0),MATCH(DB$26,LCIA_Columns,0)),0)*$AT36*$AK36*$BN$23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f t="shared" si="20"/>
        <v>0</v>
      </c>
      <c r="DP36">
        <f t="shared" si="20"/>
        <v>0</v>
      </c>
      <c r="DQ36">
        <f t="shared" si="20"/>
        <v>0</v>
      </c>
      <c r="DR36">
        <f t="shared" si="20"/>
        <v>0</v>
      </c>
      <c r="DS36">
        <f t="shared" si="20"/>
        <v>0</v>
      </c>
      <c r="DT36">
        <f t="shared" si="20"/>
        <v>0</v>
      </c>
      <c r="DU36">
        <f t="shared" si="20"/>
        <v>0</v>
      </c>
      <c r="DV36">
        <f t="shared" si="20"/>
        <v>0</v>
      </c>
      <c r="DW36">
        <f t="shared" si="20"/>
        <v>0</v>
      </c>
      <c r="DX36">
        <f t="shared" si="20"/>
        <v>0</v>
      </c>
      <c r="DY36">
        <f t="shared" si="20"/>
        <v>0</v>
      </c>
      <c r="DZ36">
        <f t="shared" si="20"/>
        <v>0</v>
      </c>
      <c r="EA36">
        <f t="shared" si="20"/>
        <v>0</v>
      </c>
      <c r="EB36">
        <f t="shared" si="21"/>
        <v>0</v>
      </c>
      <c r="EC36"/>
      <c r="ED36"/>
      <c r="EE36"/>
      <c r="EF36"/>
      <c r="EG36"/>
    </row>
    <row r="37" spans="2:137" ht="15" customHeight="1">
      <c r="B37" s="53">
        <f t="shared" si="25"/>
        <v>0</v>
      </c>
      <c r="C37" s="26">
        <f t="shared" si="22"/>
        <v>8</v>
      </c>
      <c r="D37" s="41" t="str">
        <f>'Plant Inputs'!$D37</f>
        <v>Manufactured Lightweight Aggregate</v>
      </c>
      <c r="E37" s="99"/>
      <c r="F37" s="119" t="str">
        <f t="shared" si="6"/>
        <v>short ton</v>
      </c>
      <c r="G37" s="158">
        <f t="shared" si="26"/>
        <v>0</v>
      </c>
      <c r="H37" s="204" t="str">
        <f t="shared" si="7"/>
        <v>short ton</v>
      </c>
      <c r="I37" s="156">
        <f t="shared" si="8"/>
        <v>0</v>
      </c>
      <c r="J37"/>
      <c r="K37"/>
      <c r="L37"/>
      <c r="M37"/>
      <c r="N37"/>
      <c r="O37"/>
      <c r="P37"/>
      <c r="Q37"/>
      <c r="R37"/>
      <c r="S37"/>
      <c r="T37"/>
      <c r="X37" s="67">
        <f t="shared" si="27"/>
        <v>0</v>
      </c>
      <c r="Y37" s="216">
        <f>IF(AND($X37=1,'Plant Inputs'!$Y37=1),1,0)</f>
        <v>0</v>
      </c>
      <c r="Z37" s="216"/>
      <c r="AA37" s="216">
        <f>IF($Y37=0,0,IF('Plant Inputs'!J37="",0,'Plant Inputs'!J37))</f>
        <v>0</v>
      </c>
      <c r="AB37" s="216">
        <f>IF($Y37=0,0,IF('Plant Inputs'!K37="",0,'Plant Inputs'!K37))</f>
        <v>0</v>
      </c>
      <c r="AC37" s="216">
        <f>IF($Y37=0,0,IF('Plant Inputs'!L37="",0,'Plant Inputs'!L37))</f>
        <v>0</v>
      </c>
      <c r="AD37" s="216">
        <f>IF($Y37=0,0,IF('Plant Inputs'!M37="",0,'Plant Inputs'!M37))</f>
        <v>0</v>
      </c>
      <c r="AE37" s="217" t="str">
        <f>'Plant Inputs'!$O37</f>
        <v>mile</v>
      </c>
      <c r="AF37" s="217">
        <f t="shared" si="9"/>
        <v>1.6093473468862911</v>
      </c>
      <c r="AG37" s="216" t="str">
        <f t="shared" si="23"/>
        <v>km/mile</v>
      </c>
      <c r="AH37" s="216">
        <f t="shared" si="10"/>
        <v>0</v>
      </c>
      <c r="AI37" s="216">
        <f t="shared" si="10"/>
        <v>0</v>
      </c>
      <c r="AJ37" s="216">
        <f t="shared" si="10"/>
        <v>0</v>
      </c>
      <c r="AK37" s="216">
        <f t="shared" si="10"/>
        <v>0</v>
      </c>
      <c r="AL37" s="216"/>
      <c r="AM37" s="1" t="str">
        <f t="shared" si="11"/>
        <v>Manufactured Lightweight Aggregate</v>
      </c>
      <c r="AN37" t="s">
        <v>127</v>
      </c>
      <c r="AO37">
        <f t="shared" si="12"/>
        <v>0</v>
      </c>
      <c r="AP37" s="1">
        <f t="shared" si="24"/>
        <v>0</v>
      </c>
      <c r="AQ37" s="1" t="str">
        <f t="shared" si="13"/>
        <v>short ton</v>
      </c>
      <c r="AR37" s="1">
        <f t="shared" si="14"/>
        <v>0.90718499588591606</v>
      </c>
      <c r="AS37" s="87" t="str">
        <f t="shared" si="15"/>
        <v>tonne/short ton</v>
      </c>
      <c r="AT37" s="87">
        <f t="shared" si="16"/>
        <v>0</v>
      </c>
      <c r="AU37" s="87">
        <f t="shared" si="17"/>
        <v>0</v>
      </c>
      <c r="AV37" s="87">
        <f t="shared" si="18"/>
        <v>0</v>
      </c>
      <c r="AW37" t="str">
        <f t="shared" si="19"/>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IFERROR(INDEX(LCIA_Data,MATCH($AO$15&amp;CM$27,LCIA_Rows_B&amp;LCIA_Rows_C,0),MATCH(CM$26,LCIA_Columns,0)),0)*$AT37*$AJ37*$BN$23</f>
        <v>0</v>
      </c>
      <c r="CN37" s="1">
        <f t="array" ref="CN37">IFERROR(INDEX(LCIA_Data,MATCH($AO$15&amp;CN$27,LCIA_Rows_B&amp;LCIA_Rows_C,0),MATCH(CN$26,LCIA_Columns,0)),0)*$AT37*$AJ37*$BN$23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IFERROR(INDEX(LCIA_Data,MATCH($AO$15&amp;DA$27,LCIA_Rows_B&amp;LCIA_Rows_C,0),MATCH(DA$26,LCIA_Columns,0)),0)*$AT37*$AK37*$BN$23</f>
        <v>0</v>
      </c>
      <c r="DB37" s="1">
        <f t="array" ref="DB37">IFERROR(INDEX(LCIA_Data,MATCH($AO$15&amp;DB$27,LCIA_Rows_B&amp;LCIA_Rows_C,0),MATCH(DB$26,LCIA_Columns,0)),0)*$AT37*$AK37*$BN$23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f t="shared" si="20"/>
        <v>0</v>
      </c>
      <c r="DP37">
        <f t="shared" si="20"/>
        <v>0</v>
      </c>
      <c r="DQ37">
        <f t="shared" si="20"/>
        <v>0</v>
      </c>
      <c r="DR37">
        <f t="shared" si="20"/>
        <v>0</v>
      </c>
      <c r="DS37">
        <f t="shared" si="20"/>
        <v>0</v>
      </c>
      <c r="DT37">
        <f t="shared" si="20"/>
        <v>0</v>
      </c>
      <c r="DU37">
        <f t="shared" si="20"/>
        <v>0</v>
      </c>
      <c r="DV37">
        <f t="shared" si="20"/>
        <v>0</v>
      </c>
      <c r="DW37">
        <f t="shared" si="20"/>
        <v>0</v>
      </c>
      <c r="DX37">
        <f t="shared" si="20"/>
        <v>0</v>
      </c>
      <c r="DY37">
        <f t="shared" si="20"/>
        <v>0</v>
      </c>
      <c r="DZ37">
        <f t="shared" si="20"/>
        <v>0</v>
      </c>
      <c r="EA37">
        <f t="shared" si="20"/>
        <v>0</v>
      </c>
      <c r="EB37">
        <f t="shared" si="21"/>
        <v>0</v>
      </c>
      <c r="EC37"/>
      <c r="ED37"/>
      <c r="EE37"/>
      <c r="EF37"/>
      <c r="EG37"/>
    </row>
    <row r="38" spans="2:137" ht="15" customHeight="1">
      <c r="B38" s="53">
        <f t="shared" si="25"/>
        <v>0</v>
      </c>
      <c r="C38" s="233">
        <f t="shared" si="22"/>
        <v>9</v>
      </c>
      <c r="D38" s="234" t="str">
        <f>'Plant Inputs'!$D38</f>
        <v>Natural Lightweight Aggregate</v>
      </c>
      <c r="E38" s="101"/>
      <c r="F38" s="235" t="str">
        <f t="shared" si="6"/>
        <v>short ton</v>
      </c>
      <c r="G38" s="236">
        <f t="shared" si="26"/>
        <v>0</v>
      </c>
      <c r="H38" s="237" t="str">
        <f t="shared" si="7"/>
        <v>short ton</v>
      </c>
      <c r="I38" s="398">
        <f t="shared" si="8"/>
        <v>0</v>
      </c>
      <c r="J38"/>
      <c r="K38"/>
      <c r="L38"/>
      <c r="M38"/>
      <c r="N38"/>
      <c r="O38"/>
      <c r="P38"/>
      <c r="Q38"/>
      <c r="R38"/>
      <c r="S38"/>
      <c r="T38"/>
      <c r="X38" s="67">
        <f t="shared" si="27"/>
        <v>0</v>
      </c>
      <c r="Y38" s="216">
        <f>IF(AND($X38=1,'Plant Inputs'!$Y38=1),1,0)</f>
        <v>0</v>
      </c>
      <c r="Z38" s="216"/>
      <c r="AA38" s="216">
        <f>IF($Y38=0,0,IF('Plant Inputs'!J38="",0,'Plant Inputs'!J38))</f>
        <v>0</v>
      </c>
      <c r="AB38" s="216">
        <f>IF($Y38=0,0,IF('Plant Inputs'!K38="",0,'Plant Inputs'!K38))</f>
        <v>0</v>
      </c>
      <c r="AC38" s="216">
        <f>IF($Y38=0,0,IF('Plant Inputs'!L38="",0,'Plant Inputs'!L38))</f>
        <v>0</v>
      </c>
      <c r="AD38" s="216">
        <f>IF($Y38=0,0,IF('Plant Inputs'!M38="",0,'Plant Inputs'!M38))</f>
        <v>0</v>
      </c>
      <c r="AE38" s="217" t="str">
        <f>'Plant Inputs'!$O38</f>
        <v>mile</v>
      </c>
      <c r="AF38" s="217">
        <f t="shared" si="9"/>
        <v>1.6093473468862911</v>
      </c>
      <c r="AG38" s="216" t="str">
        <f t="shared" si="23"/>
        <v>km/mile</v>
      </c>
      <c r="AH38" s="216">
        <f t="shared" si="10"/>
        <v>0</v>
      </c>
      <c r="AI38" s="216">
        <f t="shared" si="10"/>
        <v>0</v>
      </c>
      <c r="AJ38" s="216">
        <f t="shared" si="10"/>
        <v>0</v>
      </c>
      <c r="AK38" s="216">
        <f t="shared" si="10"/>
        <v>0</v>
      </c>
      <c r="AL38" s="216"/>
      <c r="AM38" s="1" t="str">
        <f t="shared" si="11"/>
        <v>Natural Lightweight Aggregate</v>
      </c>
      <c r="AN38" t="s">
        <v>127</v>
      </c>
      <c r="AO38">
        <f t="shared" si="12"/>
        <v>0</v>
      </c>
      <c r="AP38" s="1">
        <f t="shared" si="24"/>
        <v>0</v>
      </c>
      <c r="AQ38" s="1" t="str">
        <f t="shared" si="13"/>
        <v>short ton</v>
      </c>
      <c r="AR38" s="1">
        <f t="shared" si="14"/>
        <v>0.90718499588591606</v>
      </c>
      <c r="AS38" s="87" t="str">
        <f t="shared" si="15"/>
        <v>tonne/short ton</v>
      </c>
      <c r="AT38" s="87">
        <f t="shared" si="16"/>
        <v>0</v>
      </c>
      <c r="AU38" s="87">
        <f t="shared" si="17"/>
        <v>0</v>
      </c>
      <c r="AV38" s="87">
        <f t="shared" si="18"/>
        <v>0</v>
      </c>
      <c r="AW38" t="str">
        <f t="shared" si="19"/>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IFERROR(INDEX(LCIA_Data,MATCH($AO$15&amp;CM$27,LCIA_Rows_B&amp;LCIA_Rows_C,0),MATCH(CM$26,LCIA_Columns,0)),0)*$AT38*$AJ38*$BN$23</f>
        <v>0</v>
      </c>
      <c r="CN38" s="1">
        <f t="array" ref="CN38">IFERROR(INDEX(LCIA_Data,MATCH($AO$15&amp;CN$27,LCIA_Rows_B&amp;LCIA_Rows_C,0),MATCH(CN$26,LCIA_Columns,0)),0)*$AT38*$AJ38*$BN$23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IFERROR(INDEX(LCIA_Data,MATCH($AO$15&amp;DA$27,LCIA_Rows_B&amp;LCIA_Rows_C,0),MATCH(DA$26,LCIA_Columns,0)),0)*$AT38*$AK38*$BN$23</f>
        <v>0</v>
      </c>
      <c r="DB38" s="1">
        <f t="array" ref="DB38">IFERROR(INDEX(LCIA_Data,MATCH($AO$15&amp;DB$27,LCIA_Rows_B&amp;LCIA_Rows_C,0),MATCH(DB$26,LCIA_Columns,0)),0)*$AT38*$AK38*$BN$23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f t="shared" si="20"/>
        <v>0</v>
      </c>
      <c r="DP38">
        <f t="shared" si="20"/>
        <v>0</v>
      </c>
      <c r="DQ38">
        <f t="shared" si="20"/>
        <v>0</v>
      </c>
      <c r="DR38">
        <f t="shared" si="20"/>
        <v>0</v>
      </c>
      <c r="DS38">
        <f t="shared" si="20"/>
        <v>0</v>
      </c>
      <c r="DT38">
        <f t="shared" si="20"/>
        <v>0</v>
      </c>
      <c r="DU38">
        <f t="shared" si="20"/>
        <v>0</v>
      </c>
      <c r="DV38">
        <f t="shared" si="20"/>
        <v>0</v>
      </c>
      <c r="DW38">
        <f t="shared" si="20"/>
        <v>0</v>
      </c>
      <c r="DX38">
        <f t="shared" si="20"/>
        <v>0</v>
      </c>
      <c r="DY38">
        <f t="shared" si="20"/>
        <v>0</v>
      </c>
      <c r="DZ38">
        <f t="shared" si="20"/>
        <v>0</v>
      </c>
      <c r="EA38">
        <f t="shared" si="20"/>
        <v>0</v>
      </c>
      <c r="EB38">
        <f t="shared" si="21"/>
        <v>0</v>
      </c>
      <c r="EC38"/>
      <c r="ED38"/>
      <c r="EE38"/>
      <c r="EF38"/>
      <c r="EG38"/>
    </row>
    <row r="39" spans="2:137" ht="15" customHeight="1">
      <c r="B39" s="53">
        <f t="shared" si="25"/>
        <v>0</v>
      </c>
      <c r="C39" s="26">
        <f t="shared" si="22"/>
        <v>10</v>
      </c>
      <c r="D39" s="46" t="str">
        <f>'Plant Inputs'!$D39</f>
        <v>SCMs - Fly Ash</v>
      </c>
      <c r="E39" s="99"/>
      <c r="F39" s="119" t="str">
        <f t="shared" si="6"/>
        <v>short ton</v>
      </c>
      <c r="G39" s="158">
        <f t="shared" si="26"/>
        <v>0</v>
      </c>
      <c r="H39" s="204" t="str">
        <f t="shared" si="7"/>
        <v>short ton</v>
      </c>
      <c r="I39" s="399">
        <f t="shared" si="8"/>
        <v>0</v>
      </c>
      <c r="J39"/>
      <c r="K39"/>
      <c r="L39"/>
      <c r="M39"/>
      <c r="N39"/>
      <c r="O39"/>
      <c r="P39"/>
      <c r="Q39"/>
      <c r="R39"/>
      <c r="S39"/>
      <c r="T39"/>
      <c r="X39" s="67">
        <f t="shared" si="27"/>
        <v>0</v>
      </c>
      <c r="Y39" s="216">
        <f>IF(AND($X39=1,'Plant Inputs'!$Y39=1),1,0)</f>
        <v>0</v>
      </c>
      <c r="Z39" s="216"/>
      <c r="AA39" s="216">
        <f>IF($Y39=0,0,IF('Plant Inputs'!J39="",0,'Plant Inputs'!J39))</f>
        <v>0</v>
      </c>
      <c r="AB39" s="216">
        <f>IF($Y39=0,0,IF('Plant Inputs'!K39="",0,'Plant Inputs'!K39))</f>
        <v>0</v>
      </c>
      <c r="AC39" s="216">
        <f>IF($Y39=0,0,IF('Plant Inputs'!L39="",0,'Plant Inputs'!L39))</f>
        <v>0</v>
      </c>
      <c r="AD39" s="216">
        <f>IF($Y39=0,0,IF('Plant Inputs'!M39="",0,'Plant Inputs'!M39))</f>
        <v>0</v>
      </c>
      <c r="AE39" s="217" t="str">
        <f>'Plant Inputs'!$O39</f>
        <v>mile</v>
      </c>
      <c r="AF39" s="217">
        <f t="shared" si="9"/>
        <v>1.6093473468862911</v>
      </c>
      <c r="AG39" s="216" t="str">
        <f t="shared" si="23"/>
        <v>km/mile</v>
      </c>
      <c r="AH39" s="216">
        <f t="shared" si="10"/>
        <v>0</v>
      </c>
      <c r="AI39" s="216">
        <f t="shared" si="10"/>
        <v>0</v>
      </c>
      <c r="AJ39" s="216">
        <f t="shared" si="10"/>
        <v>0</v>
      </c>
      <c r="AK39" s="216">
        <f t="shared" si="10"/>
        <v>0</v>
      </c>
      <c r="AL39" s="216"/>
      <c r="AM39" s="1" t="str">
        <f t="shared" si="11"/>
        <v>SCMs - Fly Ash</v>
      </c>
      <c r="AN39" t="s">
        <v>127</v>
      </c>
      <c r="AO39">
        <f t="shared" si="12"/>
        <v>0</v>
      </c>
      <c r="AP39" s="1">
        <f t="shared" si="24"/>
        <v>0</v>
      </c>
      <c r="AQ39" s="1" t="str">
        <f t="shared" si="13"/>
        <v>short ton</v>
      </c>
      <c r="AR39" s="1">
        <f t="shared" si="14"/>
        <v>0.90718499588591606</v>
      </c>
      <c r="AS39" s="87" t="str">
        <f t="shared" si="15"/>
        <v>tonne/short ton</v>
      </c>
      <c r="AT39" s="87">
        <f t="shared" si="16"/>
        <v>0</v>
      </c>
      <c r="AU39" s="87">
        <f t="shared" si="17"/>
        <v>0</v>
      </c>
      <c r="AV39" s="87">
        <f t="shared" si="18"/>
        <v>0</v>
      </c>
      <c r="AW39" t="str">
        <f t="shared" si="19"/>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IFERROR(INDEX(LCIA_Data,MATCH($AO$15&amp;CM$27,LCIA_Rows_B&amp;LCIA_Rows_C,0),MATCH(CM$26,LCIA_Columns,0)),0)*$AT39*$AJ39*$BN$23</f>
        <v>0</v>
      </c>
      <c r="CN39" s="1">
        <f t="array" ref="CN39">IFERROR(INDEX(LCIA_Data,MATCH($AO$15&amp;CN$27,LCIA_Rows_B&amp;LCIA_Rows_C,0),MATCH(CN$26,LCIA_Columns,0)),0)*$AT39*$AJ39*$BN$23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IFERROR(INDEX(LCIA_Data,MATCH($AO$15&amp;DA$27,LCIA_Rows_B&amp;LCIA_Rows_C,0),MATCH(DA$26,LCIA_Columns,0)),0)*$AT39*$AK39*$BN$23</f>
        <v>0</v>
      </c>
      <c r="DB39" s="1">
        <f t="array" ref="DB39">IFERROR(INDEX(LCIA_Data,MATCH($AO$15&amp;DB$27,LCIA_Rows_B&amp;LCIA_Rows_C,0),MATCH(DB$26,LCIA_Columns,0)),0)*$AT39*$AK39*$BN$23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f t="shared" si="20"/>
        <v>0</v>
      </c>
      <c r="DP39">
        <f t="shared" si="20"/>
        <v>0</v>
      </c>
      <c r="DQ39">
        <f t="shared" si="20"/>
        <v>0</v>
      </c>
      <c r="DR39">
        <f t="shared" si="20"/>
        <v>0</v>
      </c>
      <c r="DS39">
        <f t="shared" si="20"/>
        <v>0</v>
      </c>
      <c r="DT39">
        <f t="shared" si="20"/>
        <v>0</v>
      </c>
      <c r="DU39">
        <f t="shared" si="20"/>
        <v>0</v>
      </c>
      <c r="DV39">
        <f t="shared" si="20"/>
        <v>0</v>
      </c>
      <c r="DW39">
        <f t="shared" si="20"/>
        <v>0</v>
      </c>
      <c r="DX39">
        <f t="shared" si="20"/>
        <v>0</v>
      </c>
      <c r="DY39">
        <f t="shared" si="20"/>
        <v>0</v>
      </c>
      <c r="DZ39">
        <f t="shared" si="20"/>
        <v>0</v>
      </c>
      <c r="EA39">
        <f t="shared" si="20"/>
        <v>0</v>
      </c>
      <c r="EB39">
        <f t="shared" si="21"/>
        <v>0</v>
      </c>
      <c r="EC39"/>
      <c r="ED39"/>
      <c r="EE39"/>
      <c r="EF39"/>
      <c r="EG39"/>
    </row>
    <row r="40" spans="2:137" ht="15" customHeight="1">
      <c r="B40" s="53">
        <f t="shared" si="25"/>
        <v>0</v>
      </c>
      <c r="C40" s="26">
        <f t="shared" si="22"/>
        <v>11</v>
      </c>
      <c r="D40" s="46" t="str">
        <f>'Plant Inputs'!$D40</f>
        <v>SCMs - Silica Fume</v>
      </c>
      <c r="E40" s="99"/>
      <c r="F40" s="119" t="str">
        <f t="shared" si="6"/>
        <v>short ton</v>
      </c>
      <c r="G40" s="158">
        <f t="shared" si="26"/>
        <v>0</v>
      </c>
      <c r="H40" s="204" t="str">
        <f t="shared" si="7"/>
        <v>short ton</v>
      </c>
      <c r="I40" s="156">
        <f t="shared" si="8"/>
        <v>0</v>
      </c>
      <c r="J40"/>
      <c r="K40"/>
      <c r="L40"/>
      <c r="M40"/>
      <c r="N40"/>
      <c r="O40"/>
      <c r="P40"/>
      <c r="Q40"/>
      <c r="R40"/>
      <c r="S40"/>
      <c r="T40"/>
      <c r="X40" s="67">
        <f t="shared" si="27"/>
        <v>0</v>
      </c>
      <c r="Y40" s="216">
        <f>IF(AND($X40=1,'Plant Inputs'!$Y40=1),1,0)</f>
        <v>0</v>
      </c>
      <c r="Z40" s="216"/>
      <c r="AA40" s="216">
        <f>IF($Y40=0,0,IF('Plant Inputs'!J40="",0,'Plant Inputs'!J40))</f>
        <v>0</v>
      </c>
      <c r="AB40" s="216">
        <f>IF($Y40=0,0,IF('Plant Inputs'!K40="",0,'Plant Inputs'!K40))</f>
        <v>0</v>
      </c>
      <c r="AC40" s="216">
        <f>IF($Y40=0,0,IF('Plant Inputs'!L40="",0,'Plant Inputs'!L40))</f>
        <v>0</v>
      </c>
      <c r="AD40" s="216">
        <f>IF($Y40=0,0,IF('Plant Inputs'!M40="",0,'Plant Inputs'!M40))</f>
        <v>0</v>
      </c>
      <c r="AE40" s="217" t="str">
        <f>'Plant Inputs'!$O40</f>
        <v>mile</v>
      </c>
      <c r="AF40" s="217">
        <f t="shared" si="9"/>
        <v>1.6093473468862911</v>
      </c>
      <c r="AG40" s="216" t="str">
        <f t="shared" si="23"/>
        <v>km/mile</v>
      </c>
      <c r="AH40" s="216">
        <f t="shared" si="10"/>
        <v>0</v>
      </c>
      <c r="AI40" s="216">
        <f t="shared" si="10"/>
        <v>0</v>
      </c>
      <c r="AJ40" s="216">
        <f t="shared" si="10"/>
        <v>0</v>
      </c>
      <c r="AK40" s="216">
        <f t="shared" si="10"/>
        <v>0</v>
      </c>
      <c r="AL40" s="216"/>
      <c r="AM40" s="1" t="str">
        <f t="shared" si="11"/>
        <v>SCMs - Silica Fume</v>
      </c>
      <c r="AN40" t="s">
        <v>127</v>
      </c>
      <c r="AO40">
        <f t="shared" si="12"/>
        <v>0</v>
      </c>
      <c r="AP40" s="1">
        <f t="shared" si="24"/>
        <v>0</v>
      </c>
      <c r="AQ40" s="1" t="str">
        <f t="shared" si="13"/>
        <v>short ton</v>
      </c>
      <c r="AR40" s="1">
        <f t="shared" si="14"/>
        <v>0.90718499588591606</v>
      </c>
      <c r="AS40" s="87" t="str">
        <f t="shared" si="15"/>
        <v>tonne/short ton</v>
      </c>
      <c r="AT40" s="87">
        <f t="shared" si="16"/>
        <v>0</v>
      </c>
      <c r="AU40" s="87">
        <f t="shared" si="17"/>
        <v>0</v>
      </c>
      <c r="AV40" s="87">
        <f t="shared" si="18"/>
        <v>0</v>
      </c>
      <c r="AW40" t="str">
        <f t="shared" si="19"/>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IFERROR(INDEX(LCIA_Data,MATCH($AO$15&amp;CM$27,LCIA_Rows_B&amp;LCIA_Rows_C,0),MATCH(CM$26,LCIA_Columns,0)),0)*$AT40*$AJ40*$BN$23</f>
        <v>0</v>
      </c>
      <c r="CN40" s="1">
        <f t="array" ref="CN40">IFERROR(INDEX(LCIA_Data,MATCH($AO$15&amp;CN$27,LCIA_Rows_B&amp;LCIA_Rows_C,0),MATCH(CN$26,LCIA_Columns,0)),0)*$AT40*$AJ40*$BN$23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IFERROR(INDEX(LCIA_Data,MATCH($AO$15&amp;DA$27,LCIA_Rows_B&amp;LCIA_Rows_C,0),MATCH(DA$26,LCIA_Columns,0)),0)*$AT40*$AK40*$BN$23</f>
        <v>0</v>
      </c>
      <c r="DB40" s="1">
        <f t="array" ref="DB40">IFERROR(INDEX(LCIA_Data,MATCH($AO$15&amp;DB$27,LCIA_Rows_B&amp;LCIA_Rows_C,0),MATCH(DB$26,LCIA_Columns,0)),0)*$AT40*$AK40*$BN$23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f t="shared" si="20"/>
        <v>0</v>
      </c>
      <c r="DP40">
        <f t="shared" si="20"/>
        <v>0</v>
      </c>
      <c r="DQ40">
        <f t="shared" si="20"/>
        <v>0</v>
      </c>
      <c r="DR40">
        <f t="shared" si="20"/>
        <v>0</v>
      </c>
      <c r="DS40">
        <f t="shared" si="20"/>
        <v>0</v>
      </c>
      <c r="DT40">
        <f t="shared" si="20"/>
        <v>0</v>
      </c>
      <c r="DU40">
        <f t="shared" si="20"/>
        <v>0</v>
      </c>
      <c r="DV40">
        <f t="shared" si="20"/>
        <v>0</v>
      </c>
      <c r="DW40">
        <f t="shared" si="20"/>
        <v>0</v>
      </c>
      <c r="DX40">
        <f t="shared" si="20"/>
        <v>0</v>
      </c>
      <c r="DY40">
        <f t="shared" si="20"/>
        <v>0</v>
      </c>
      <c r="DZ40">
        <f t="shared" si="20"/>
        <v>0</v>
      </c>
      <c r="EA40">
        <f t="shared" si="20"/>
        <v>0</v>
      </c>
      <c r="EB40">
        <f t="shared" si="21"/>
        <v>0</v>
      </c>
      <c r="EC40"/>
      <c r="ED40"/>
      <c r="EE40"/>
      <c r="EF40"/>
      <c r="EG40"/>
    </row>
    <row r="41" spans="2:137" ht="15" customHeight="1" thickBot="1">
      <c r="B41" s="53">
        <f t="shared" si="25"/>
        <v>0</v>
      </c>
      <c r="C41" s="32">
        <f t="shared" si="22"/>
        <v>12</v>
      </c>
      <c r="D41" s="47" t="str">
        <f>'Plant Inputs'!$D41</f>
        <v>Slag Cement</v>
      </c>
      <c r="E41" s="102"/>
      <c r="F41" s="231" t="str">
        <f t="shared" si="6"/>
        <v>short ton</v>
      </c>
      <c r="G41" s="228">
        <f t="shared" si="26"/>
        <v>0</v>
      </c>
      <c r="H41" s="227" t="str">
        <f t="shared" si="7"/>
        <v>short ton</v>
      </c>
      <c r="I41" s="397">
        <f t="shared" si="8"/>
        <v>0</v>
      </c>
      <c r="J41"/>
      <c r="K41"/>
      <c r="L41"/>
      <c r="M41"/>
      <c r="N41"/>
      <c r="O41"/>
      <c r="P41"/>
      <c r="Q41"/>
      <c r="R41"/>
      <c r="S41"/>
      <c r="T41"/>
      <c r="X41" s="67">
        <f t="shared" si="27"/>
        <v>0</v>
      </c>
      <c r="Y41" s="216">
        <f>IF(AND($X41=1,'Plant Inputs'!$Y41=1),1,0)</f>
        <v>0</v>
      </c>
      <c r="Z41" s="216"/>
      <c r="AA41" s="216">
        <f>IF($Y41=0,0,IF('Plant Inputs'!J41="",0,'Plant Inputs'!J41))</f>
        <v>0</v>
      </c>
      <c r="AB41" s="216">
        <f>IF($Y41=0,0,IF('Plant Inputs'!K41="",0,'Plant Inputs'!K41))</f>
        <v>0</v>
      </c>
      <c r="AC41" s="216">
        <f>IF($Y41=0,0,IF('Plant Inputs'!L41="",0,'Plant Inputs'!L41))</f>
        <v>0</v>
      </c>
      <c r="AD41" s="216">
        <f>IF($Y41=0,0,IF('Plant Inputs'!M41="",0,'Plant Inputs'!M41))</f>
        <v>0</v>
      </c>
      <c r="AE41" s="217" t="str">
        <f>'Plant Inputs'!$O41</f>
        <v>mile</v>
      </c>
      <c r="AF41" s="217">
        <f t="shared" si="9"/>
        <v>1.6093473468862911</v>
      </c>
      <c r="AG41" s="216" t="str">
        <f t="shared" si="23"/>
        <v>km/mile</v>
      </c>
      <c r="AH41" s="216">
        <f t="shared" si="10"/>
        <v>0</v>
      </c>
      <c r="AI41" s="216">
        <f t="shared" si="10"/>
        <v>0</v>
      </c>
      <c r="AJ41" s="216">
        <f t="shared" si="10"/>
        <v>0</v>
      </c>
      <c r="AK41" s="216">
        <f t="shared" si="10"/>
        <v>0</v>
      </c>
      <c r="AL41" s="216"/>
      <c r="AM41" s="1" t="str">
        <f t="shared" si="11"/>
        <v>Slag Cement</v>
      </c>
      <c r="AN41" t="s">
        <v>127</v>
      </c>
      <c r="AO41">
        <f t="shared" si="12"/>
        <v>0</v>
      </c>
      <c r="AP41" s="1">
        <f t="shared" si="24"/>
        <v>0</v>
      </c>
      <c r="AQ41" s="1" t="str">
        <f t="shared" si="13"/>
        <v>short ton</v>
      </c>
      <c r="AR41" s="1">
        <f t="shared" si="14"/>
        <v>0.90718499588591606</v>
      </c>
      <c r="AS41" s="87" t="str">
        <f t="shared" si="15"/>
        <v>tonne/short ton</v>
      </c>
      <c r="AT41" s="87">
        <f t="shared" si="16"/>
        <v>0</v>
      </c>
      <c r="AU41" s="87">
        <f t="shared" si="17"/>
        <v>0</v>
      </c>
      <c r="AV41" s="87">
        <f t="shared" si="18"/>
        <v>0</v>
      </c>
      <c r="AW41" t="str">
        <f t="shared" si="19"/>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IFERROR(INDEX(LCIA_Data,MATCH($AO$15&amp;CM$27,LCIA_Rows_B&amp;LCIA_Rows_C,0),MATCH(CM$26,LCIA_Columns,0)),0)*$AT41*$AJ41*$BN$23</f>
        <v>0</v>
      </c>
      <c r="CN41" s="1">
        <f t="array" ref="CN41">IFERROR(INDEX(LCIA_Data,MATCH($AO$15&amp;CN$27,LCIA_Rows_B&amp;LCIA_Rows_C,0),MATCH(CN$26,LCIA_Columns,0)),0)*$AT41*$AJ41*$BN$23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IFERROR(INDEX(LCIA_Data,MATCH($AO$15&amp;DA$27,LCIA_Rows_B&amp;LCIA_Rows_C,0),MATCH(DA$26,LCIA_Columns,0)),0)*$AT41*$AK41*$BN$23</f>
        <v>0</v>
      </c>
      <c r="DB41" s="1">
        <f t="array" ref="DB41">IFERROR(INDEX(LCIA_Data,MATCH($AO$15&amp;DB$27,LCIA_Rows_B&amp;LCIA_Rows_C,0),MATCH(DB$26,LCIA_Columns,0)),0)*$AT41*$AK41*$BN$23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f t="shared" si="20"/>
        <v>0</v>
      </c>
      <c r="DP41">
        <f t="shared" si="20"/>
        <v>0</v>
      </c>
      <c r="DQ41">
        <f t="shared" si="20"/>
        <v>0</v>
      </c>
      <c r="DR41">
        <f t="shared" si="20"/>
        <v>0</v>
      </c>
      <c r="DS41">
        <f t="shared" si="20"/>
        <v>0</v>
      </c>
      <c r="DT41">
        <f t="shared" si="20"/>
        <v>0</v>
      </c>
      <c r="DU41">
        <f t="shared" si="20"/>
        <v>0</v>
      </c>
      <c r="DV41">
        <f t="shared" si="20"/>
        <v>0</v>
      </c>
      <c r="DW41">
        <f t="shared" si="20"/>
        <v>0</v>
      </c>
      <c r="DX41">
        <f t="shared" si="20"/>
        <v>0</v>
      </c>
      <c r="DY41">
        <f t="shared" si="20"/>
        <v>0</v>
      </c>
      <c r="DZ41">
        <f t="shared" si="20"/>
        <v>0</v>
      </c>
      <c r="EA41">
        <f t="shared" si="20"/>
        <v>0</v>
      </c>
      <c r="EB41">
        <f t="shared" si="21"/>
        <v>0</v>
      </c>
      <c r="EC41"/>
      <c r="ED41"/>
      <c r="EE41"/>
      <c r="EF41"/>
      <c r="EG41"/>
    </row>
    <row r="42" spans="2:137" ht="15" customHeight="1">
      <c r="B42" s="53">
        <f t="shared" si="25"/>
        <v>0</v>
      </c>
      <c r="C42" s="221">
        <f t="shared" si="22"/>
        <v>13</v>
      </c>
      <c r="D42" s="222" t="str">
        <f>'Plant Inputs'!$D42</f>
        <v>Chemical Admixture - Air Entraining Agent</v>
      </c>
      <c r="E42" s="154"/>
      <c r="F42" s="240" t="str">
        <f t="shared" ref="F42:F48" si="28">VolumeDisplayUnit</f>
        <v>gallon</v>
      </c>
      <c r="G42" s="224">
        <f t="shared" si="26"/>
        <v>0</v>
      </c>
      <c r="H42" s="225" t="str">
        <f t="shared" si="7"/>
        <v>short ton</v>
      </c>
      <c r="I42" s="156">
        <f t="shared" si="8"/>
        <v>0</v>
      </c>
      <c r="J42"/>
      <c r="K42"/>
      <c r="L42"/>
      <c r="M42"/>
      <c r="N42"/>
      <c r="O42"/>
      <c r="P42"/>
      <c r="Q42"/>
      <c r="R42"/>
      <c r="S42"/>
      <c r="T42"/>
      <c r="X42" s="67">
        <f t="shared" si="27"/>
        <v>0</v>
      </c>
      <c r="Y42" s="216">
        <f>IF(AND($X42=1,'Plant Inputs'!$Y42=1),1,0)</f>
        <v>0</v>
      </c>
      <c r="Z42" s="216"/>
      <c r="AA42" s="216">
        <f>IF($Y42=0,0,IF('Plant Inputs'!J42="",0,'Plant Inputs'!J42))</f>
        <v>0</v>
      </c>
      <c r="AB42" s="216">
        <f>IF($Y42=0,0,IF('Plant Inputs'!K42="",0,'Plant Inputs'!K42))</f>
        <v>0</v>
      </c>
      <c r="AC42" s="216">
        <f>IF($Y42=0,0,IF('Plant Inputs'!L42="",0,'Plant Inputs'!L42))</f>
        <v>0</v>
      </c>
      <c r="AD42" s="216">
        <f>IF($Y42=0,0,IF('Plant Inputs'!M42="",0,'Plant Inputs'!M42))</f>
        <v>0</v>
      </c>
      <c r="AE42" s="217" t="str">
        <f>'Plant Inputs'!$O42</f>
        <v>mile</v>
      </c>
      <c r="AF42" s="217">
        <f t="shared" si="9"/>
        <v>1.6093473468862911</v>
      </c>
      <c r="AG42" s="216" t="str">
        <f t="shared" si="23"/>
        <v>km/mile</v>
      </c>
      <c r="AH42" s="216">
        <f t="shared" si="10"/>
        <v>0</v>
      </c>
      <c r="AI42" s="216">
        <f t="shared" si="10"/>
        <v>0</v>
      </c>
      <c r="AJ42" s="216">
        <f t="shared" si="10"/>
        <v>0</v>
      </c>
      <c r="AK42" s="216">
        <f t="shared" si="10"/>
        <v>0</v>
      </c>
      <c r="AL42" s="216"/>
      <c r="AM42" s="1" t="str">
        <f t="shared" si="11"/>
        <v>Chemical Admixture - Air Entraining Agent</v>
      </c>
      <c r="AN42" s="12" t="s">
        <v>128</v>
      </c>
      <c r="AO42">
        <f t="shared" si="12"/>
        <v>1.1982656298327359</v>
      </c>
      <c r="AP42" s="1">
        <f t="shared" si="24"/>
        <v>0</v>
      </c>
      <c r="AQ42" s="1" t="str">
        <f t="shared" si="13"/>
        <v>gallon</v>
      </c>
      <c r="AR42" s="1">
        <f t="shared" si="14"/>
        <v>4.535929094356397E-3</v>
      </c>
      <c r="AS42" s="87" t="str">
        <f t="shared" si="15"/>
        <v>tonne/gallon</v>
      </c>
      <c r="AT42" s="87">
        <f t="shared" si="16"/>
        <v>0</v>
      </c>
      <c r="AU42" s="87">
        <f t="shared" si="17"/>
        <v>0</v>
      </c>
      <c r="AV42" s="87">
        <f t="shared" si="18"/>
        <v>0</v>
      </c>
      <c r="AW42" t="str">
        <f t="shared" si="19"/>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IFERROR(INDEX(LCIA_Data,MATCH($AO$15&amp;CM$27,LCIA_Rows_B&amp;LCIA_Rows_C,0),MATCH(CM$26,LCIA_Columns,0)),0)*$AT42*$AJ42*$BN$23</f>
        <v>0</v>
      </c>
      <c r="CN42" s="1">
        <f t="array" ref="CN42">IFERROR(INDEX(LCIA_Data,MATCH($AO$15&amp;CN$27,LCIA_Rows_B&amp;LCIA_Rows_C,0),MATCH(CN$26,LCIA_Columns,0)),0)*$AT42*$AJ42*$BN$23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IFERROR(INDEX(LCIA_Data,MATCH($AO$15&amp;DA$27,LCIA_Rows_B&amp;LCIA_Rows_C,0),MATCH(DA$26,LCIA_Columns,0)),0)*$AT42*$AK42*$BN$23</f>
        <v>0</v>
      </c>
      <c r="DB42" s="1">
        <f t="array" ref="DB42">IFERROR(INDEX(LCIA_Data,MATCH($AO$15&amp;DB$27,LCIA_Rows_B&amp;LCIA_Rows_C,0),MATCH(DB$26,LCIA_Columns,0)),0)*$AT42*$AK42*$BN$23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f t="shared" si="20"/>
        <v>0</v>
      </c>
      <c r="DP42">
        <f t="shared" si="20"/>
        <v>0</v>
      </c>
      <c r="DQ42">
        <f t="shared" si="20"/>
        <v>0</v>
      </c>
      <c r="DR42">
        <f t="shared" si="20"/>
        <v>0</v>
      </c>
      <c r="DS42">
        <f t="shared" si="20"/>
        <v>0</v>
      </c>
      <c r="DT42">
        <f t="shared" si="20"/>
        <v>0</v>
      </c>
      <c r="DU42">
        <f t="shared" si="20"/>
        <v>0</v>
      </c>
      <c r="DV42">
        <f t="shared" si="20"/>
        <v>0</v>
      </c>
      <c r="DW42">
        <f t="shared" si="20"/>
        <v>0</v>
      </c>
      <c r="DX42">
        <f t="shared" si="20"/>
        <v>0</v>
      </c>
      <c r="DY42">
        <f t="shared" si="20"/>
        <v>0</v>
      </c>
      <c r="DZ42">
        <f t="shared" si="20"/>
        <v>0</v>
      </c>
      <c r="EA42">
        <f t="shared" si="20"/>
        <v>0</v>
      </c>
      <c r="EB42">
        <f t="shared" si="21"/>
        <v>0</v>
      </c>
      <c r="EC42"/>
      <c r="ED42"/>
      <c r="EE42"/>
      <c r="EF42"/>
      <c r="EG42"/>
    </row>
    <row r="43" spans="2:137" ht="15" customHeight="1">
      <c r="B43" s="53">
        <f t="shared" si="25"/>
        <v>0</v>
      </c>
      <c r="C43" s="26">
        <f t="shared" si="22"/>
        <v>14</v>
      </c>
      <c r="D43" s="46" t="str">
        <f>'Plant Inputs'!$D43</f>
        <v>Chemical Admixture - Water Reducer/Plasticizer</v>
      </c>
      <c r="E43" s="99"/>
      <c r="F43" s="106" t="str">
        <f t="shared" si="28"/>
        <v>gallon</v>
      </c>
      <c r="G43" s="158">
        <f t="shared" si="26"/>
        <v>0</v>
      </c>
      <c r="H43" s="204" t="str">
        <f t="shared" si="7"/>
        <v>short ton</v>
      </c>
      <c r="I43" s="156">
        <f t="shared" si="8"/>
        <v>0</v>
      </c>
      <c r="J43"/>
      <c r="K43"/>
      <c r="L43"/>
      <c r="M43"/>
      <c r="N43"/>
      <c r="O43"/>
      <c r="P43"/>
      <c r="Q43"/>
      <c r="R43"/>
      <c r="S43"/>
      <c r="T43"/>
      <c r="X43" s="67">
        <f t="shared" si="27"/>
        <v>0</v>
      </c>
      <c r="Y43" s="216">
        <f>IF(AND($X43=1,'Plant Inputs'!$Y43=1),1,0)</f>
        <v>0</v>
      </c>
      <c r="Z43" s="216"/>
      <c r="AA43" s="216">
        <f>IF($Y43=0,0,IF('Plant Inputs'!J43="",0,'Plant Inputs'!J43))</f>
        <v>0</v>
      </c>
      <c r="AB43" s="216">
        <f>IF($Y43=0,0,IF('Plant Inputs'!K43="",0,'Plant Inputs'!K43))</f>
        <v>0</v>
      </c>
      <c r="AC43" s="216">
        <f>IF($Y43=0,0,IF('Plant Inputs'!L43="",0,'Plant Inputs'!L43))</f>
        <v>0</v>
      </c>
      <c r="AD43" s="216">
        <f>IF($Y43=0,0,IF('Plant Inputs'!M43="",0,'Plant Inputs'!M43))</f>
        <v>0</v>
      </c>
      <c r="AE43" s="217" t="str">
        <f>'Plant Inputs'!$O43</f>
        <v>mile</v>
      </c>
      <c r="AF43" s="217">
        <f t="shared" si="9"/>
        <v>1.6093473468862911</v>
      </c>
      <c r="AG43" s="216" t="str">
        <f t="shared" si="23"/>
        <v>km/mile</v>
      </c>
      <c r="AH43" s="216">
        <f t="shared" si="10"/>
        <v>0</v>
      </c>
      <c r="AI43" s="216">
        <f t="shared" si="10"/>
        <v>0</v>
      </c>
      <c r="AJ43" s="216">
        <f t="shared" si="10"/>
        <v>0</v>
      </c>
      <c r="AK43" s="216">
        <f t="shared" si="10"/>
        <v>0</v>
      </c>
      <c r="AL43" s="216"/>
      <c r="AM43" s="1" t="str">
        <f t="shared" si="11"/>
        <v>Chemical Admixture - Water Reducer/Plasticizer</v>
      </c>
      <c r="AN43" s="12" t="s">
        <v>128</v>
      </c>
      <c r="AO43">
        <f t="shared" si="12"/>
        <v>1.1982656298327359</v>
      </c>
      <c r="AP43" s="1">
        <f t="shared" si="24"/>
        <v>0</v>
      </c>
      <c r="AQ43" s="1" t="str">
        <f t="shared" si="13"/>
        <v>gallon</v>
      </c>
      <c r="AR43" s="1">
        <f t="shared" si="14"/>
        <v>4.535929094356397E-3</v>
      </c>
      <c r="AS43" s="87" t="str">
        <f t="shared" si="15"/>
        <v>tonne/gallon</v>
      </c>
      <c r="AT43" s="87">
        <f t="shared" si="16"/>
        <v>0</v>
      </c>
      <c r="AU43" s="87">
        <f t="shared" si="17"/>
        <v>0</v>
      </c>
      <c r="AV43" s="87">
        <f t="shared" si="18"/>
        <v>0</v>
      </c>
      <c r="AW43" t="str">
        <f t="shared" si="19"/>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IFERROR(INDEX(LCIA_Data,MATCH($AO$15&amp;CM$27,LCIA_Rows_B&amp;LCIA_Rows_C,0),MATCH(CM$26,LCIA_Columns,0)),0)*$AT43*$AJ43*$BN$23</f>
        <v>0</v>
      </c>
      <c r="CN43" s="1">
        <f t="array" ref="CN43">IFERROR(INDEX(LCIA_Data,MATCH($AO$15&amp;CN$27,LCIA_Rows_B&amp;LCIA_Rows_C,0),MATCH(CN$26,LCIA_Columns,0)),0)*$AT43*$AJ43*$BN$23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IFERROR(INDEX(LCIA_Data,MATCH($AO$15&amp;DA$27,LCIA_Rows_B&amp;LCIA_Rows_C,0),MATCH(DA$26,LCIA_Columns,0)),0)*$AT43*$AK43*$BN$23</f>
        <v>0</v>
      </c>
      <c r="DB43" s="1">
        <f t="array" ref="DB43">IFERROR(INDEX(LCIA_Data,MATCH($AO$15&amp;DB$27,LCIA_Rows_B&amp;LCIA_Rows_C,0),MATCH(DB$26,LCIA_Columns,0)),0)*$AT43*$AK43*$BN$23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f t="shared" si="20"/>
        <v>0</v>
      </c>
      <c r="DP43">
        <f t="shared" si="20"/>
        <v>0</v>
      </c>
      <c r="DQ43">
        <f t="shared" si="20"/>
        <v>0</v>
      </c>
      <c r="DR43">
        <f t="shared" si="20"/>
        <v>0</v>
      </c>
      <c r="DS43">
        <f t="shared" si="20"/>
        <v>0</v>
      </c>
      <c r="DT43">
        <f t="shared" si="20"/>
        <v>0</v>
      </c>
      <c r="DU43">
        <f t="shared" si="20"/>
        <v>0</v>
      </c>
      <c r="DV43">
        <f t="shared" si="20"/>
        <v>0</v>
      </c>
      <c r="DW43">
        <f t="shared" si="20"/>
        <v>0</v>
      </c>
      <c r="DX43">
        <f t="shared" si="20"/>
        <v>0</v>
      </c>
      <c r="DY43">
        <f t="shared" si="20"/>
        <v>0</v>
      </c>
      <c r="DZ43">
        <f t="shared" si="20"/>
        <v>0</v>
      </c>
      <c r="EA43">
        <f t="shared" si="20"/>
        <v>0</v>
      </c>
      <c r="EB43">
        <f t="shared" si="21"/>
        <v>0</v>
      </c>
      <c r="EC43"/>
      <c r="ED43"/>
      <c r="EE43"/>
      <c r="EF43"/>
      <c r="EG43"/>
    </row>
    <row r="44" spans="2:137" ht="15" customHeight="1">
      <c r="B44" s="53">
        <f t="shared" si="25"/>
        <v>0</v>
      </c>
      <c r="C44" s="26">
        <f t="shared" si="22"/>
        <v>15</v>
      </c>
      <c r="D44" s="46" t="str">
        <f>'Plant Inputs'!$D44</f>
        <v>Chemical Admixture - Accelerator</v>
      </c>
      <c r="E44" s="99"/>
      <c r="F44" s="106" t="str">
        <f t="shared" si="28"/>
        <v>gallon</v>
      </c>
      <c r="G44" s="158">
        <f t="shared" si="26"/>
        <v>0</v>
      </c>
      <c r="H44" s="204" t="str">
        <f t="shared" si="7"/>
        <v>short ton</v>
      </c>
      <c r="I44" s="156">
        <f t="shared" si="8"/>
        <v>0</v>
      </c>
      <c r="J44"/>
      <c r="K44"/>
      <c r="L44"/>
      <c r="M44"/>
      <c r="N44"/>
      <c r="O44"/>
      <c r="P44"/>
      <c r="Q44"/>
      <c r="R44"/>
      <c r="S44"/>
      <c r="T44"/>
      <c r="X44" s="67">
        <f t="shared" si="27"/>
        <v>0</v>
      </c>
      <c r="Y44" s="216">
        <f>IF(AND($X44=1,'Plant Inputs'!$Y44=1),1,0)</f>
        <v>0</v>
      </c>
      <c r="Z44" s="216"/>
      <c r="AA44" s="216">
        <f>IF($Y44=0,0,IF('Plant Inputs'!J44="",0,'Plant Inputs'!J44))</f>
        <v>0</v>
      </c>
      <c r="AB44" s="216">
        <f>IF($Y44=0,0,IF('Plant Inputs'!K44="",0,'Plant Inputs'!K44))</f>
        <v>0</v>
      </c>
      <c r="AC44" s="216">
        <f>IF($Y44=0,0,IF('Plant Inputs'!L44="",0,'Plant Inputs'!L44))</f>
        <v>0</v>
      </c>
      <c r="AD44" s="216">
        <f>IF($Y44=0,0,IF('Plant Inputs'!M44="",0,'Plant Inputs'!M44))</f>
        <v>0</v>
      </c>
      <c r="AE44" s="217" t="str">
        <f>'Plant Inputs'!$O44</f>
        <v>mile</v>
      </c>
      <c r="AF44" s="217">
        <f t="shared" si="9"/>
        <v>1.6093473468862911</v>
      </c>
      <c r="AG44" s="216" t="str">
        <f t="shared" si="23"/>
        <v>km/mile</v>
      </c>
      <c r="AH44" s="216">
        <f t="shared" si="10"/>
        <v>0</v>
      </c>
      <c r="AI44" s="216">
        <f t="shared" si="10"/>
        <v>0</v>
      </c>
      <c r="AJ44" s="216">
        <f t="shared" si="10"/>
        <v>0</v>
      </c>
      <c r="AK44" s="216">
        <f t="shared" si="10"/>
        <v>0</v>
      </c>
      <c r="AL44" s="216"/>
      <c r="AM44" s="1" t="str">
        <f t="shared" si="11"/>
        <v>Chemical Admixture - Accelerator</v>
      </c>
      <c r="AN44" s="12" t="s">
        <v>128</v>
      </c>
      <c r="AO44">
        <f t="shared" si="12"/>
        <v>1.1982656298327359</v>
      </c>
      <c r="AP44" s="1">
        <f t="shared" si="24"/>
        <v>0</v>
      </c>
      <c r="AQ44" s="1" t="str">
        <f t="shared" si="13"/>
        <v>gallon</v>
      </c>
      <c r="AR44" s="1">
        <f t="shared" si="14"/>
        <v>4.535929094356397E-3</v>
      </c>
      <c r="AS44" s="87" t="str">
        <f t="shared" si="15"/>
        <v>tonne/gallon</v>
      </c>
      <c r="AT44" s="87">
        <f t="shared" si="16"/>
        <v>0</v>
      </c>
      <c r="AU44" s="87">
        <f t="shared" si="17"/>
        <v>0</v>
      </c>
      <c r="AV44" s="87">
        <f t="shared" si="18"/>
        <v>0</v>
      </c>
      <c r="AW44" t="str">
        <f t="shared" si="19"/>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IFERROR(INDEX(LCIA_Data,MATCH($AO$15&amp;CM$27,LCIA_Rows_B&amp;LCIA_Rows_C,0),MATCH(CM$26,LCIA_Columns,0)),0)*$AT44*$AJ44*$BN$23</f>
        <v>0</v>
      </c>
      <c r="CN44" s="1">
        <f t="array" ref="CN44">IFERROR(INDEX(LCIA_Data,MATCH($AO$15&amp;CN$27,LCIA_Rows_B&amp;LCIA_Rows_C,0),MATCH(CN$26,LCIA_Columns,0)),0)*$AT44*$AJ44*$BN$23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IFERROR(INDEX(LCIA_Data,MATCH($AO$15&amp;DA$27,LCIA_Rows_B&amp;LCIA_Rows_C,0),MATCH(DA$26,LCIA_Columns,0)),0)*$AT44*$AK44*$BN$23</f>
        <v>0</v>
      </c>
      <c r="DB44" s="1">
        <f t="array" ref="DB44">IFERROR(INDEX(LCIA_Data,MATCH($AO$15&amp;DB$27,LCIA_Rows_B&amp;LCIA_Rows_C,0),MATCH(DB$26,LCIA_Columns,0)),0)*$AT44*$AK44*$BN$23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f t="shared" si="20"/>
        <v>0</v>
      </c>
      <c r="DP44">
        <f t="shared" si="20"/>
        <v>0</v>
      </c>
      <c r="DQ44">
        <f t="shared" si="20"/>
        <v>0</v>
      </c>
      <c r="DR44">
        <f t="shared" si="20"/>
        <v>0</v>
      </c>
      <c r="DS44">
        <f t="shared" si="20"/>
        <v>0</v>
      </c>
      <c r="DT44">
        <f t="shared" si="20"/>
        <v>0</v>
      </c>
      <c r="DU44">
        <f t="shared" si="20"/>
        <v>0</v>
      </c>
      <c r="DV44">
        <f t="shared" si="20"/>
        <v>0</v>
      </c>
      <c r="DW44">
        <f t="shared" si="20"/>
        <v>0</v>
      </c>
      <c r="DX44">
        <f t="shared" si="20"/>
        <v>0</v>
      </c>
      <c r="DY44">
        <f t="shared" si="20"/>
        <v>0</v>
      </c>
      <c r="DZ44">
        <f t="shared" si="20"/>
        <v>0</v>
      </c>
      <c r="EA44">
        <f t="shared" si="20"/>
        <v>0</v>
      </c>
      <c r="EB44">
        <f t="shared" si="21"/>
        <v>0</v>
      </c>
      <c r="EC44"/>
      <c r="ED44"/>
      <c r="EE44"/>
      <c r="EF44"/>
      <c r="EG44"/>
    </row>
    <row r="45" spans="2:137" ht="26.25" customHeight="1">
      <c r="B45" s="53">
        <f t="shared" si="25"/>
        <v>0</v>
      </c>
      <c r="C45" s="26">
        <f t="shared" si="22"/>
        <v>16</v>
      </c>
      <c r="D45" s="46" t="str">
        <f>'Plant Inputs'!$D45</f>
        <v>Chemical Admixture - High Range Water Reducer (HRWR)/Super Plasticizer</v>
      </c>
      <c r="E45" s="99"/>
      <c r="F45" s="106" t="str">
        <f t="shared" si="28"/>
        <v>gallon</v>
      </c>
      <c r="G45" s="158">
        <f t="shared" si="26"/>
        <v>0</v>
      </c>
      <c r="H45" s="204" t="str">
        <f t="shared" si="7"/>
        <v>short ton</v>
      </c>
      <c r="I45" s="156">
        <f t="shared" si="8"/>
        <v>0</v>
      </c>
      <c r="J45"/>
      <c r="K45"/>
      <c r="L45"/>
      <c r="M45"/>
      <c r="N45"/>
      <c r="O45"/>
      <c r="P45"/>
      <c r="Q45"/>
      <c r="R45"/>
      <c r="S45"/>
      <c r="T45"/>
      <c r="X45" s="67">
        <f t="shared" si="27"/>
        <v>0</v>
      </c>
      <c r="Y45" s="216">
        <f>IF(AND($X45=1,'Plant Inputs'!$Y45=1),1,0)</f>
        <v>0</v>
      </c>
      <c r="Z45" s="216"/>
      <c r="AA45" s="216">
        <f>IF($Y45=0,0,IF('Plant Inputs'!J45="",0,'Plant Inputs'!J45))</f>
        <v>0</v>
      </c>
      <c r="AB45" s="216">
        <f>IF($Y45=0,0,IF('Plant Inputs'!K45="",0,'Plant Inputs'!K45))</f>
        <v>0</v>
      </c>
      <c r="AC45" s="216">
        <f>IF($Y45=0,0,IF('Plant Inputs'!L45="",0,'Plant Inputs'!L45))</f>
        <v>0</v>
      </c>
      <c r="AD45" s="216">
        <f>IF($Y45=0,0,IF('Plant Inputs'!M45="",0,'Plant Inputs'!M45))</f>
        <v>0</v>
      </c>
      <c r="AE45" s="217" t="str">
        <f>'Plant Inputs'!$O45</f>
        <v>mile</v>
      </c>
      <c r="AF45" s="217">
        <f t="shared" si="9"/>
        <v>1.6093473468862911</v>
      </c>
      <c r="AG45" s="216" t="str">
        <f t="shared" si="23"/>
        <v>km/mile</v>
      </c>
      <c r="AH45" s="216">
        <f t="shared" si="10"/>
        <v>0</v>
      </c>
      <c r="AI45" s="216">
        <f t="shared" si="10"/>
        <v>0</v>
      </c>
      <c r="AJ45" s="216">
        <f t="shared" si="10"/>
        <v>0</v>
      </c>
      <c r="AK45" s="216">
        <f t="shared" si="10"/>
        <v>0</v>
      </c>
      <c r="AL45" s="216"/>
      <c r="AM45" s="1" t="str">
        <f t="shared" si="11"/>
        <v>Chemical Admixture - High Range Water Reducer (HRWR)/Super Plasticizer</v>
      </c>
      <c r="AN45" s="12" t="s">
        <v>128</v>
      </c>
      <c r="AO45">
        <f t="shared" si="12"/>
        <v>1.1982656298327359</v>
      </c>
      <c r="AP45" s="1">
        <f t="shared" si="24"/>
        <v>0</v>
      </c>
      <c r="AQ45" s="1" t="str">
        <f t="shared" si="13"/>
        <v>gallon</v>
      </c>
      <c r="AR45" s="1">
        <f t="shared" si="14"/>
        <v>4.535929094356397E-3</v>
      </c>
      <c r="AS45" s="87" t="str">
        <f t="shared" si="15"/>
        <v>tonne/gallon</v>
      </c>
      <c r="AT45" s="87">
        <f t="shared" si="16"/>
        <v>0</v>
      </c>
      <c r="AU45" s="87">
        <f t="shared" si="17"/>
        <v>0</v>
      </c>
      <c r="AV45" s="87">
        <f t="shared" si="18"/>
        <v>0</v>
      </c>
      <c r="AW45" t="str">
        <f t="shared" si="19"/>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IFERROR(INDEX(LCIA_Data,MATCH($AO$15&amp;CM$27,LCIA_Rows_B&amp;LCIA_Rows_C,0),MATCH(CM$26,LCIA_Columns,0)),0)*$AT45*$AJ45*$BN$23</f>
        <v>0</v>
      </c>
      <c r="CN45" s="1">
        <f t="array" ref="CN45">IFERROR(INDEX(LCIA_Data,MATCH($AO$15&amp;CN$27,LCIA_Rows_B&amp;LCIA_Rows_C,0),MATCH(CN$26,LCIA_Columns,0)),0)*$AT45*$AJ45*$BN$23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IFERROR(INDEX(LCIA_Data,MATCH($AO$15&amp;DA$27,LCIA_Rows_B&amp;LCIA_Rows_C,0),MATCH(DA$26,LCIA_Columns,0)),0)*$AT45*$AK45*$BN$23</f>
        <v>0</v>
      </c>
      <c r="DB45" s="1">
        <f t="array" ref="DB45">IFERROR(INDEX(LCIA_Data,MATCH($AO$15&amp;DB$27,LCIA_Rows_B&amp;LCIA_Rows_C,0),MATCH(DB$26,LCIA_Columns,0)),0)*$AT45*$AK45*$BN$23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f t="shared" si="20"/>
        <v>0</v>
      </c>
      <c r="DP45">
        <f t="shared" si="20"/>
        <v>0</v>
      </c>
      <c r="DQ45">
        <f t="shared" si="20"/>
        <v>0</v>
      </c>
      <c r="DR45">
        <f t="shared" si="20"/>
        <v>0</v>
      </c>
      <c r="DS45">
        <f t="shared" si="20"/>
        <v>0</v>
      </c>
      <c r="DT45">
        <f t="shared" si="20"/>
        <v>0</v>
      </c>
      <c r="DU45">
        <f t="shared" si="20"/>
        <v>0</v>
      </c>
      <c r="DV45">
        <f t="shared" si="20"/>
        <v>0</v>
      </c>
      <c r="DW45">
        <f t="shared" si="20"/>
        <v>0</v>
      </c>
      <c r="DX45">
        <f t="shared" si="20"/>
        <v>0</v>
      </c>
      <c r="DY45">
        <f t="shared" si="20"/>
        <v>0</v>
      </c>
      <c r="DZ45">
        <f t="shared" si="20"/>
        <v>0</v>
      </c>
      <c r="EA45">
        <f t="shared" si="20"/>
        <v>0</v>
      </c>
      <c r="EB45">
        <f t="shared" si="21"/>
        <v>0</v>
      </c>
      <c r="EC45"/>
      <c r="ED45"/>
      <c r="EE45"/>
      <c r="EF45"/>
      <c r="EG45"/>
    </row>
    <row r="46" spans="2:137" ht="15" customHeight="1">
      <c r="B46" s="53">
        <f>X46</f>
        <v>0</v>
      </c>
      <c r="C46" s="26">
        <f t="shared" si="22"/>
        <v>17</v>
      </c>
      <c r="D46" s="46" t="str">
        <f>'Plant Inputs'!$D46</f>
        <v>Chemical Admixture - Corrosion Inhibiting</v>
      </c>
      <c r="E46" s="99"/>
      <c r="F46" s="106" t="str">
        <f t="shared" si="28"/>
        <v>gallon</v>
      </c>
      <c r="G46" s="158">
        <f t="shared" si="26"/>
        <v>0</v>
      </c>
      <c r="H46" s="204" t="str">
        <f t="shared" si="7"/>
        <v>short ton</v>
      </c>
      <c r="I46" s="156">
        <f t="shared" si="8"/>
        <v>0</v>
      </c>
      <c r="J46"/>
      <c r="K46"/>
      <c r="L46"/>
      <c r="M46"/>
      <c r="N46"/>
      <c r="O46"/>
      <c r="P46"/>
      <c r="Q46"/>
      <c r="R46"/>
      <c r="S46"/>
      <c r="T46"/>
      <c r="X46" s="67">
        <f>IF(ISBLANK(E46),0,1)</f>
        <v>0</v>
      </c>
      <c r="Y46" s="216">
        <f>IF(AND($X46=1,'Plant Inputs'!$Y46=1),1,0)</f>
        <v>0</v>
      </c>
      <c r="Z46" s="216"/>
      <c r="AA46" s="216">
        <f>IF($Y46=0,0,IF('Plant Inputs'!J46="",0,'Plant Inputs'!J46))</f>
        <v>0</v>
      </c>
      <c r="AB46" s="216">
        <f>IF($Y46=0,0,IF('Plant Inputs'!K46="",0,'Plant Inputs'!K46))</f>
        <v>0</v>
      </c>
      <c r="AC46" s="216">
        <f>IF($Y46=0,0,IF('Plant Inputs'!L46="",0,'Plant Inputs'!L46))</f>
        <v>0</v>
      </c>
      <c r="AD46" s="216">
        <f>IF($Y46=0,0,IF('Plant Inputs'!M46="",0,'Plant Inputs'!M46))</f>
        <v>0</v>
      </c>
      <c r="AE46" s="217" t="str">
        <f>'Plant Inputs'!$O46</f>
        <v>mile</v>
      </c>
      <c r="AF46" s="217">
        <f t="shared" si="9"/>
        <v>1.6093473468862911</v>
      </c>
      <c r="AG46" s="216" t="str">
        <f t="shared" si="23"/>
        <v>km/mile</v>
      </c>
      <c r="AH46" s="216">
        <f>AA46*$AF46</f>
        <v>0</v>
      </c>
      <c r="AI46" s="216">
        <f>AB46*$AF46</f>
        <v>0</v>
      </c>
      <c r="AJ46" s="216">
        <f>AC46*$AF46</f>
        <v>0</v>
      </c>
      <c r="AK46" s="216">
        <f>AD46*$AF46</f>
        <v>0</v>
      </c>
      <c r="AL46" s="216"/>
      <c r="AM46" s="1" t="str">
        <f>D46</f>
        <v>Chemical Admixture - Corrosion Inhibiting</v>
      </c>
      <c r="AN46" s="12" t="s">
        <v>128</v>
      </c>
      <c r="AO46">
        <f>VLOOKUP(AM46,Material_Densities,2,FALSE)</f>
        <v>1.1982656298327359</v>
      </c>
      <c r="AP46" s="1">
        <f t="shared" si="24"/>
        <v>0</v>
      </c>
      <c r="AQ46" s="1" t="str">
        <f>F46</f>
        <v>gallon</v>
      </c>
      <c r="AR46" s="1">
        <f t="shared" si="14"/>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IFERROR(INDEX(LCIA_Data,MATCH($AO$15&amp;CM$27,LCIA_Rows_B&amp;LCIA_Rows_C,0),MATCH(CM$26,LCIA_Columns,0)),0)*$AT46*$AJ46*$BN$23</f>
        <v>0</v>
      </c>
      <c r="CN46" s="1">
        <f t="array" ref="CN46">IFERROR(INDEX(LCIA_Data,MATCH($AO$15&amp;CN$27,LCIA_Rows_B&amp;LCIA_Rows_C,0),MATCH(CN$26,LCIA_Columns,0)),0)*$AT46*$AJ46*$BN$23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IFERROR(INDEX(LCIA_Data,MATCH($AO$15&amp;DA$27,LCIA_Rows_B&amp;LCIA_Rows_C,0),MATCH(DA$26,LCIA_Columns,0)),0)*$AT46*$AK46*$BN$23</f>
        <v>0</v>
      </c>
      <c r="DB46" s="1">
        <f t="array" ref="DB46">IFERROR(INDEX(LCIA_Data,MATCH($AO$15&amp;DB$27,LCIA_Rows_B&amp;LCIA_Rows_C,0),MATCH(DB$26,LCIA_Columns,0)),0)*$AT46*$AK46*$BN$23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f t="shared" si="20"/>
        <v>0</v>
      </c>
      <c r="DP46">
        <f t="shared" si="20"/>
        <v>0</v>
      </c>
      <c r="DQ46">
        <f t="shared" si="20"/>
        <v>0</v>
      </c>
      <c r="DR46">
        <f t="shared" si="20"/>
        <v>0</v>
      </c>
      <c r="DS46">
        <f t="shared" si="20"/>
        <v>0</v>
      </c>
      <c r="DT46">
        <f t="shared" si="20"/>
        <v>0</v>
      </c>
      <c r="DU46">
        <f t="shared" si="20"/>
        <v>0</v>
      </c>
      <c r="DV46">
        <f t="shared" si="20"/>
        <v>0</v>
      </c>
      <c r="DW46">
        <f t="shared" si="20"/>
        <v>0</v>
      </c>
      <c r="DX46">
        <f t="shared" si="20"/>
        <v>0</v>
      </c>
      <c r="DY46">
        <f t="shared" si="20"/>
        <v>0</v>
      </c>
      <c r="DZ46">
        <f t="shared" si="20"/>
        <v>0</v>
      </c>
      <c r="EA46">
        <f t="shared" si="20"/>
        <v>0</v>
      </c>
      <c r="EB46">
        <f t="shared" si="21"/>
        <v>0</v>
      </c>
      <c r="EC46"/>
      <c r="ED46"/>
      <c r="EE46"/>
      <c r="EF46"/>
      <c r="EG46"/>
    </row>
    <row r="47" spans="2:137" ht="15" customHeight="1">
      <c r="B47" s="53">
        <f t="shared" ref="B47:B64" si="29">X47</f>
        <v>0</v>
      </c>
      <c r="C47" s="26">
        <f t="shared" si="22"/>
        <v>18</v>
      </c>
      <c r="D47" s="46" t="str">
        <f>'Plant Inputs'!$D47</f>
        <v>Chemical Admixture - Viscosity Modifying Admixture (VMA)</v>
      </c>
      <c r="E47" s="99"/>
      <c r="F47" s="106" t="str">
        <f t="shared" si="28"/>
        <v>gallon</v>
      </c>
      <c r="G47" s="158">
        <f t="shared" si="26"/>
        <v>0</v>
      </c>
      <c r="H47" s="204" t="str">
        <f t="shared" si="7"/>
        <v>short ton</v>
      </c>
      <c r="I47" s="156">
        <f t="shared" si="8"/>
        <v>0</v>
      </c>
      <c r="J47"/>
      <c r="K47"/>
      <c r="L47"/>
      <c r="M47"/>
      <c r="N47"/>
      <c r="O47"/>
      <c r="P47"/>
      <c r="Q47"/>
      <c r="R47"/>
      <c r="S47"/>
      <c r="T47"/>
      <c r="X47" s="67">
        <f t="shared" ref="X47:X65" si="30">IF(ISBLANK(E47),0,1)</f>
        <v>0</v>
      </c>
      <c r="Y47" s="216">
        <f>IF(AND($X47=1,'Plant Inputs'!$Y47=1),1,0)</f>
        <v>0</v>
      </c>
      <c r="Z47" s="216"/>
      <c r="AA47" s="216">
        <f>IF($Y47=0,0,IF('Plant Inputs'!J47="",0,'Plant Inputs'!J47))</f>
        <v>0</v>
      </c>
      <c r="AB47" s="216">
        <f>IF($Y47=0,0,IF('Plant Inputs'!K47="",0,'Plant Inputs'!K47))</f>
        <v>0</v>
      </c>
      <c r="AC47" s="216">
        <f>IF($Y47=0,0,IF('Plant Inputs'!L47="",0,'Plant Inputs'!L47))</f>
        <v>0</v>
      </c>
      <c r="AD47" s="216">
        <f>IF($Y47=0,0,IF('Plant Inputs'!M47="",0,'Plant Inputs'!M47))</f>
        <v>0</v>
      </c>
      <c r="AE47" s="217" t="str">
        <f>'Plant Inputs'!$O47</f>
        <v>mile</v>
      </c>
      <c r="AF47" s="217">
        <f t="shared" si="9"/>
        <v>1.6093473468862911</v>
      </c>
      <c r="AG47" s="216" t="str">
        <f t="shared" si="23"/>
        <v>km/mile</v>
      </c>
      <c r="AH47" s="216">
        <f t="shared" ref="AH47:AK52" si="31">AA47*$AF47</f>
        <v>0</v>
      </c>
      <c r="AI47" s="216">
        <f t="shared" si="31"/>
        <v>0</v>
      </c>
      <c r="AJ47" s="216">
        <f t="shared" si="31"/>
        <v>0</v>
      </c>
      <c r="AK47" s="216">
        <f t="shared" si="31"/>
        <v>0</v>
      </c>
      <c r="AL47" s="216"/>
      <c r="AM47" s="1" t="str">
        <f t="shared" ref="AM47:AM64" si="32">D47</f>
        <v>Chemical Admixture - Viscosity Modifying Admixture (VMA)</v>
      </c>
      <c r="AN47" s="12" t="s">
        <v>128</v>
      </c>
      <c r="AO47">
        <f t="shared" ref="AO47:AO65" si="33">VLOOKUP(AM47,Material_Densities,2,FALSE)</f>
        <v>1.1982656298327359</v>
      </c>
      <c r="AP47" s="1">
        <f t="shared" si="24"/>
        <v>0</v>
      </c>
      <c r="AQ47" s="1" t="str">
        <f t="shared" ref="AQ47:AQ65" si="34">F47</f>
        <v>gallon</v>
      </c>
      <c r="AR47" s="1">
        <f t="shared" si="14"/>
        <v>4.535929094356397E-3</v>
      </c>
      <c r="AS47" s="87" t="str">
        <f t="shared" ref="AS47:AS65" si="35">$AT$29&amp;"/"&amp;AQ47</f>
        <v>tonne/gallon</v>
      </c>
      <c r="AT47" s="87">
        <f t="shared" ref="AT47:AT65" si="36">AP47*AR47</f>
        <v>0</v>
      </c>
      <c r="AU47" s="87">
        <f t="shared" ref="AU47:AU65" si="37">INDEX(Conversion_Table,MATCH($AT$29,Conversion_Rows,0),MATCH($AU$29,Conversion_Columns,0))*AT47</f>
        <v>0</v>
      </c>
      <c r="AV47" s="87">
        <f t="shared" si="18"/>
        <v>0</v>
      </c>
      <c r="AW47" t="str">
        <f t="shared" ref="AW47:AW65" si="38">AM47</f>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IFERROR(INDEX(LCIA_Data,MATCH($AO$15&amp;CM$27,LCIA_Rows_B&amp;LCIA_Rows_C,0),MATCH(CM$26,LCIA_Columns,0)),0)*$AT47*$AJ47*$BN$23</f>
        <v>0</v>
      </c>
      <c r="CN47" s="1">
        <f t="array" ref="CN47">IFERROR(INDEX(LCIA_Data,MATCH($AO$15&amp;CN$27,LCIA_Rows_B&amp;LCIA_Rows_C,0),MATCH(CN$26,LCIA_Columns,0)),0)*$AT47*$AJ47*$BN$23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IFERROR(INDEX(LCIA_Data,MATCH($AO$15&amp;DA$27,LCIA_Rows_B&amp;LCIA_Rows_C,0),MATCH(DA$26,LCIA_Columns,0)),0)*$AT47*$AK47*$BN$23</f>
        <v>0</v>
      </c>
      <c r="DB47" s="1">
        <f t="array" ref="DB47">IFERROR(INDEX(LCIA_Data,MATCH($AO$15&amp;DB$27,LCIA_Rows_B&amp;LCIA_Rows_C,0),MATCH(DB$26,LCIA_Columns,0)),0)*$AT47*$AK47*$BN$23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f t="shared" si="20"/>
        <v>0</v>
      </c>
      <c r="DP47">
        <f t="shared" si="20"/>
        <v>0</v>
      </c>
      <c r="DQ47">
        <f t="shared" si="20"/>
        <v>0</v>
      </c>
      <c r="DR47">
        <f t="shared" si="20"/>
        <v>0</v>
      </c>
      <c r="DS47">
        <f t="shared" si="20"/>
        <v>0</v>
      </c>
      <c r="DT47">
        <f t="shared" si="20"/>
        <v>0</v>
      </c>
      <c r="DU47">
        <f t="shared" si="20"/>
        <v>0</v>
      </c>
      <c r="DV47">
        <f t="shared" si="20"/>
        <v>0</v>
      </c>
      <c r="DW47">
        <f t="shared" si="20"/>
        <v>0</v>
      </c>
      <c r="DX47">
        <f t="shared" si="20"/>
        <v>0</v>
      </c>
      <c r="DY47">
        <f t="shared" si="20"/>
        <v>0</v>
      </c>
      <c r="DZ47">
        <f t="shared" si="20"/>
        <v>0</v>
      </c>
      <c r="EA47">
        <f t="shared" si="20"/>
        <v>0</v>
      </c>
      <c r="EB47">
        <f t="shared" si="21"/>
        <v>0</v>
      </c>
      <c r="EC47"/>
      <c r="ED47"/>
      <c r="EE47"/>
      <c r="EF47"/>
      <c r="EG47"/>
    </row>
    <row r="48" spans="2:137" ht="15" customHeight="1" thickBot="1">
      <c r="B48" s="53">
        <f t="shared" si="29"/>
        <v>0</v>
      </c>
      <c r="C48" s="32">
        <f t="shared" si="22"/>
        <v>19</v>
      </c>
      <c r="D48" s="47" t="str">
        <f>'Plant Inputs'!$D48</f>
        <v>Form Release Agent</v>
      </c>
      <c r="E48" s="102"/>
      <c r="F48" s="247" t="str">
        <f t="shared" si="28"/>
        <v>gallon</v>
      </c>
      <c r="G48" s="228">
        <f t="shared" si="26"/>
        <v>0</v>
      </c>
      <c r="H48" s="227" t="str">
        <f t="shared" si="7"/>
        <v>short ton</v>
      </c>
      <c r="I48" s="157">
        <f t="shared" si="8"/>
        <v>0</v>
      </c>
      <c r="J48"/>
      <c r="K48"/>
      <c r="L48"/>
      <c r="M48"/>
      <c r="N48"/>
      <c r="O48"/>
      <c r="P48"/>
      <c r="Q48"/>
      <c r="R48"/>
      <c r="S48"/>
      <c r="T48"/>
      <c r="X48" s="67">
        <f t="shared" si="30"/>
        <v>0</v>
      </c>
      <c r="Y48" s="216">
        <f>IF(AND($X48=1,'Plant Inputs'!$Y48=1),1,0)</f>
        <v>0</v>
      </c>
      <c r="Z48" s="216"/>
      <c r="AA48" s="216">
        <f>IF($Y48=0,0,IF('Plant Inputs'!J48="",0,'Plant Inputs'!J48))</f>
        <v>0</v>
      </c>
      <c r="AB48" s="216">
        <f>IF($Y48=0,0,IF('Plant Inputs'!K48="",0,'Plant Inputs'!K48))</f>
        <v>0</v>
      </c>
      <c r="AC48" s="216">
        <f>IF($Y48=0,0,IF('Plant Inputs'!L48="",0,'Plant Inputs'!L48))</f>
        <v>0</v>
      </c>
      <c r="AD48" s="216">
        <f>IF($Y48=0,0,IF('Plant Inputs'!M48="",0,'Plant Inputs'!M48))</f>
        <v>0</v>
      </c>
      <c r="AE48" s="217" t="str">
        <f>'Plant Inputs'!$O48</f>
        <v>mile</v>
      </c>
      <c r="AF48" s="217">
        <f t="shared" si="9"/>
        <v>1.6093473468862911</v>
      </c>
      <c r="AG48" s="216" t="str">
        <f t="shared" si="23"/>
        <v>km/mile</v>
      </c>
      <c r="AH48" s="216">
        <f t="shared" si="31"/>
        <v>0</v>
      </c>
      <c r="AI48" s="216">
        <f t="shared" si="31"/>
        <v>0</v>
      </c>
      <c r="AJ48" s="216">
        <f t="shared" si="31"/>
        <v>0</v>
      </c>
      <c r="AK48" s="216">
        <f t="shared" si="31"/>
        <v>0</v>
      </c>
      <c r="AL48" s="216"/>
      <c r="AM48" s="1" t="str">
        <f t="shared" si="32"/>
        <v>Form Release Agent</v>
      </c>
      <c r="AN48" s="12" t="s">
        <v>128</v>
      </c>
      <c r="AO48">
        <f t="shared" si="33"/>
        <v>0.86599999999999999</v>
      </c>
      <c r="AP48" s="1">
        <f t="shared" si="24"/>
        <v>0</v>
      </c>
      <c r="AQ48" s="1" t="str">
        <f t="shared" si="34"/>
        <v>gallon</v>
      </c>
      <c r="AR48" s="1">
        <f t="shared" si="14"/>
        <v>3.2781667920000006E-3</v>
      </c>
      <c r="AS48" s="87" t="str">
        <f t="shared" si="35"/>
        <v>tonne/gallon</v>
      </c>
      <c r="AT48" s="87">
        <f t="shared" si="36"/>
        <v>0</v>
      </c>
      <c r="AU48" s="87">
        <f t="shared" si="37"/>
        <v>0</v>
      </c>
      <c r="AV48" s="87">
        <f t="shared" si="18"/>
        <v>0</v>
      </c>
      <c r="AW48" t="str">
        <f t="shared" si="38"/>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IFERROR(INDEX(LCIA_Data,MATCH($AO$15&amp;CM$27,LCIA_Rows_B&amp;LCIA_Rows_C,0),MATCH(CM$26,LCIA_Columns,0)),0)*$AT48*$AJ48*$BN$23</f>
        <v>0</v>
      </c>
      <c r="CN48" s="1">
        <f t="array" ref="CN48">IFERROR(INDEX(LCIA_Data,MATCH($AO$15&amp;CN$27,LCIA_Rows_B&amp;LCIA_Rows_C,0),MATCH(CN$26,LCIA_Columns,0)),0)*$AT48*$AJ48*$BN$23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IFERROR(INDEX(LCIA_Data,MATCH($AO$15&amp;DA$27,LCIA_Rows_B&amp;LCIA_Rows_C,0),MATCH(DA$26,LCIA_Columns,0)),0)*$AT48*$AK48*$BN$23</f>
        <v>0</v>
      </c>
      <c r="DB48" s="1">
        <f t="array" ref="DB48">IFERROR(INDEX(LCIA_Data,MATCH($AO$15&amp;DB$27,LCIA_Rows_B&amp;LCIA_Rows_C,0),MATCH(DB$26,LCIA_Columns,0)),0)*$AT48*$AK48*$BN$23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f t="shared" si="20"/>
        <v>0</v>
      </c>
      <c r="DP48">
        <f t="shared" si="20"/>
        <v>0</v>
      </c>
      <c r="DQ48">
        <f t="shared" si="20"/>
        <v>0</v>
      </c>
      <c r="DR48">
        <f t="shared" si="20"/>
        <v>0</v>
      </c>
      <c r="DS48">
        <f t="shared" si="20"/>
        <v>0</v>
      </c>
      <c r="DT48">
        <f t="shared" si="20"/>
        <v>0</v>
      </c>
      <c r="DU48">
        <f t="shared" si="20"/>
        <v>0</v>
      </c>
      <c r="DV48">
        <f t="shared" si="20"/>
        <v>0</v>
      </c>
      <c r="DW48">
        <f t="shared" si="20"/>
        <v>0</v>
      </c>
      <c r="DX48">
        <f t="shared" si="20"/>
        <v>0</v>
      </c>
      <c r="DY48">
        <f t="shared" si="20"/>
        <v>0</v>
      </c>
      <c r="DZ48">
        <f t="shared" si="20"/>
        <v>0</v>
      </c>
      <c r="EA48">
        <f t="shared" si="20"/>
        <v>0</v>
      </c>
      <c r="EB48">
        <f t="shared" si="21"/>
        <v>0</v>
      </c>
      <c r="EC48"/>
      <c r="ED48"/>
      <c r="EE48"/>
      <c r="EF48"/>
      <c r="EG48"/>
    </row>
    <row r="49" spans="2:137" ht="15" customHeight="1">
      <c r="B49" s="53">
        <f t="shared" si="29"/>
        <v>0</v>
      </c>
      <c r="C49" s="221">
        <f t="shared" si="22"/>
        <v>20</v>
      </c>
      <c r="D49" s="222" t="str">
        <f>'Plant Inputs'!$D49</f>
        <v>Rebar</v>
      </c>
      <c r="E49" s="154"/>
      <c r="F49" s="223" t="str">
        <f t="shared" ref="F49:F58" si="39">MassDisplayUnit</f>
        <v>short ton</v>
      </c>
      <c r="G49" s="224">
        <f t="shared" si="26"/>
        <v>0</v>
      </c>
      <c r="H49" s="225" t="str">
        <f t="shared" si="7"/>
        <v>short ton</v>
      </c>
      <c r="I49" s="156">
        <f t="shared" si="8"/>
        <v>0</v>
      </c>
      <c r="J49"/>
      <c r="K49"/>
      <c r="L49"/>
      <c r="M49"/>
      <c r="N49"/>
      <c r="O49"/>
      <c r="P49"/>
      <c r="Q49"/>
      <c r="R49"/>
      <c r="S49"/>
      <c r="T49"/>
      <c r="X49" s="67">
        <f t="shared" si="30"/>
        <v>0</v>
      </c>
      <c r="Y49" s="216">
        <f>IF(AND($X49=1,'Plant Inputs'!$Y49=1),1,0)</f>
        <v>0</v>
      </c>
      <c r="Z49" s="216"/>
      <c r="AA49" s="216">
        <f>IF($Y49=0,0,IF('Plant Inputs'!J49="",0,'Plant Inputs'!J49))</f>
        <v>0</v>
      </c>
      <c r="AB49" s="216">
        <f>IF($Y49=0,0,IF('Plant Inputs'!K49="",0,'Plant Inputs'!K49))</f>
        <v>0</v>
      </c>
      <c r="AC49" s="216">
        <f>IF($Y49=0,0,IF('Plant Inputs'!L49="",0,'Plant Inputs'!L49))</f>
        <v>0</v>
      </c>
      <c r="AD49" s="216">
        <f>IF($Y49=0,0,IF('Plant Inputs'!M49="",0,'Plant Inputs'!M49))</f>
        <v>0</v>
      </c>
      <c r="AE49" s="217" t="str">
        <f>'Plant Inputs'!$O49</f>
        <v>mile</v>
      </c>
      <c r="AF49" s="217">
        <f t="shared" si="9"/>
        <v>1.6093473468862911</v>
      </c>
      <c r="AG49" s="216" t="str">
        <f t="shared" si="23"/>
        <v>km/mile</v>
      </c>
      <c r="AH49" s="216">
        <f t="shared" si="31"/>
        <v>0</v>
      </c>
      <c r="AI49" s="216">
        <f t="shared" si="31"/>
        <v>0</v>
      </c>
      <c r="AJ49" s="216">
        <f t="shared" si="31"/>
        <v>0</v>
      </c>
      <c r="AK49" s="216">
        <f t="shared" si="31"/>
        <v>0</v>
      </c>
      <c r="AL49" s="216"/>
      <c r="AM49" s="1" t="str">
        <f t="shared" si="32"/>
        <v>Rebar</v>
      </c>
      <c r="AN49" t="s">
        <v>127</v>
      </c>
      <c r="AO49">
        <f t="shared" si="33"/>
        <v>0</v>
      </c>
      <c r="AP49" s="1">
        <f t="shared" si="24"/>
        <v>0</v>
      </c>
      <c r="AQ49" s="1" t="str">
        <f t="shared" si="34"/>
        <v>short ton</v>
      </c>
      <c r="AR49" s="1">
        <f t="shared" si="14"/>
        <v>0.90718499588591606</v>
      </c>
      <c r="AS49" s="87" t="str">
        <f t="shared" si="35"/>
        <v>tonne/short ton</v>
      </c>
      <c r="AT49" s="87">
        <f t="shared" si="36"/>
        <v>0</v>
      </c>
      <c r="AU49" s="87">
        <f t="shared" si="37"/>
        <v>0</v>
      </c>
      <c r="AV49" s="87">
        <f t="shared" si="18"/>
        <v>0</v>
      </c>
      <c r="AW49" t="str">
        <f t="shared" si="38"/>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IFERROR(INDEX(LCIA_Data,MATCH($AO$15&amp;CM$27,LCIA_Rows_B&amp;LCIA_Rows_C,0),MATCH(CM$26,LCIA_Columns,0)),0)*$AT49*$AJ49*$BN$23</f>
        <v>0</v>
      </c>
      <c r="CN49" s="1">
        <f t="array" ref="CN49">IFERROR(INDEX(LCIA_Data,MATCH($AO$15&amp;CN$27,LCIA_Rows_B&amp;LCIA_Rows_C,0),MATCH(CN$26,LCIA_Columns,0)),0)*$AT49*$AJ49*$BN$23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IFERROR(INDEX(LCIA_Data,MATCH($AO$15&amp;DA$27,LCIA_Rows_B&amp;LCIA_Rows_C,0),MATCH(DA$26,LCIA_Columns,0)),0)*$AT49*$AK49*$BN$23</f>
        <v>0</v>
      </c>
      <c r="DB49" s="1">
        <f t="array" ref="DB49">IFERROR(INDEX(LCIA_Data,MATCH($AO$15&amp;DB$27,LCIA_Rows_B&amp;LCIA_Rows_C,0),MATCH(DB$26,LCIA_Columns,0)),0)*$AT49*$AK49*$BN$23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f t="shared" si="20"/>
        <v>0</v>
      </c>
      <c r="DP49">
        <f t="shared" si="20"/>
        <v>0</v>
      </c>
      <c r="DQ49">
        <f t="shared" si="20"/>
        <v>0</v>
      </c>
      <c r="DR49">
        <f t="shared" si="20"/>
        <v>0</v>
      </c>
      <c r="DS49">
        <f t="shared" si="20"/>
        <v>0</v>
      </c>
      <c r="DT49">
        <f t="shared" si="20"/>
        <v>0</v>
      </c>
      <c r="DU49">
        <f t="shared" si="20"/>
        <v>0</v>
      </c>
      <c r="DV49">
        <f t="shared" si="20"/>
        <v>0</v>
      </c>
      <c r="DW49">
        <f t="shared" ref="DW49:EA64" si="40">BU49+CI49+CU49+DI49</f>
        <v>0</v>
      </c>
      <c r="DX49">
        <f t="shared" si="40"/>
        <v>0</v>
      </c>
      <c r="DY49">
        <f t="shared" si="40"/>
        <v>0</v>
      </c>
      <c r="DZ49">
        <f t="shared" si="40"/>
        <v>0</v>
      </c>
      <c r="EA49">
        <f t="shared" si="40"/>
        <v>0</v>
      </c>
      <c r="EB49">
        <f t="shared" si="21"/>
        <v>0</v>
      </c>
      <c r="EC49"/>
      <c r="ED49"/>
      <c r="EE49"/>
      <c r="EF49"/>
      <c r="EG49"/>
    </row>
    <row r="50" spans="2:137" ht="15" customHeight="1">
      <c r="B50" s="53">
        <f t="shared" si="29"/>
        <v>0</v>
      </c>
      <c r="C50" s="26">
        <f t="shared" si="22"/>
        <v>21</v>
      </c>
      <c r="D50" s="46" t="str">
        <f>'Plant Inputs'!$D50</f>
        <v>Welded Wire Reinforcement (WWR)</v>
      </c>
      <c r="E50" s="99"/>
      <c r="F50" s="119" t="str">
        <f t="shared" si="39"/>
        <v>short ton</v>
      </c>
      <c r="G50" s="158">
        <f t="shared" si="26"/>
        <v>0</v>
      </c>
      <c r="H50" s="204" t="str">
        <f t="shared" si="7"/>
        <v>short ton</v>
      </c>
      <c r="I50" s="156">
        <f t="shared" si="8"/>
        <v>0</v>
      </c>
      <c r="J50"/>
      <c r="K50"/>
      <c r="L50"/>
      <c r="M50"/>
      <c r="N50"/>
      <c r="O50"/>
      <c r="P50"/>
      <c r="Q50"/>
      <c r="R50"/>
      <c r="S50"/>
      <c r="T50"/>
      <c r="X50" s="67">
        <f t="shared" si="30"/>
        <v>0</v>
      </c>
      <c r="Y50" s="216">
        <f>IF(AND($X50=1,'Plant Inputs'!$Y50=1),1,0)</f>
        <v>0</v>
      </c>
      <c r="Z50" s="216"/>
      <c r="AA50" s="216">
        <f>IF($Y50=0,0,IF('Plant Inputs'!J50="",0,'Plant Inputs'!J50))</f>
        <v>0</v>
      </c>
      <c r="AB50" s="216">
        <f>IF($Y50=0,0,IF('Plant Inputs'!K50="",0,'Plant Inputs'!K50))</f>
        <v>0</v>
      </c>
      <c r="AC50" s="216">
        <f>IF($Y50=0,0,IF('Plant Inputs'!L50="",0,'Plant Inputs'!L50))</f>
        <v>0</v>
      </c>
      <c r="AD50" s="216">
        <f>IF($Y50=0,0,IF('Plant Inputs'!M50="",0,'Plant Inputs'!M50))</f>
        <v>0</v>
      </c>
      <c r="AE50" s="217" t="str">
        <f>'Plant Inputs'!$O50</f>
        <v>mile</v>
      </c>
      <c r="AF50" s="217">
        <f t="shared" si="9"/>
        <v>1.6093473468862911</v>
      </c>
      <c r="AG50" s="216" t="str">
        <f t="shared" si="23"/>
        <v>km/mile</v>
      </c>
      <c r="AH50" s="216">
        <f t="shared" si="31"/>
        <v>0</v>
      </c>
      <c r="AI50" s="216">
        <f t="shared" si="31"/>
        <v>0</v>
      </c>
      <c r="AJ50" s="216">
        <f t="shared" si="31"/>
        <v>0</v>
      </c>
      <c r="AK50" s="216">
        <f t="shared" si="31"/>
        <v>0</v>
      </c>
      <c r="AL50" s="216"/>
      <c r="AM50" s="1" t="str">
        <f t="shared" si="32"/>
        <v>Welded Wire Reinforcement (WWR)</v>
      </c>
      <c r="AN50" t="s">
        <v>127</v>
      </c>
      <c r="AO50">
        <f t="shared" si="33"/>
        <v>0</v>
      </c>
      <c r="AP50" s="1">
        <f t="shared" si="24"/>
        <v>0</v>
      </c>
      <c r="AQ50" s="1" t="str">
        <f t="shared" si="34"/>
        <v>short ton</v>
      </c>
      <c r="AR50" s="1">
        <f t="shared" si="14"/>
        <v>0.90718499588591606</v>
      </c>
      <c r="AS50" s="87" t="str">
        <f t="shared" si="35"/>
        <v>tonne/short ton</v>
      </c>
      <c r="AT50" s="87">
        <f t="shared" si="36"/>
        <v>0</v>
      </c>
      <c r="AU50" s="87">
        <f t="shared" si="37"/>
        <v>0</v>
      </c>
      <c r="AV50" s="87">
        <f t="shared" si="18"/>
        <v>0</v>
      </c>
      <c r="AW50" t="str">
        <f t="shared" si="38"/>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IFERROR(INDEX(LCIA_Data,MATCH($AO$15&amp;CM$27,LCIA_Rows_B&amp;LCIA_Rows_C,0),MATCH(CM$26,LCIA_Columns,0)),0)*$AT50*$AJ50*$BN$23</f>
        <v>0</v>
      </c>
      <c r="CN50" s="1">
        <f t="array" ref="CN50">IFERROR(INDEX(LCIA_Data,MATCH($AO$15&amp;CN$27,LCIA_Rows_B&amp;LCIA_Rows_C,0),MATCH(CN$26,LCIA_Columns,0)),0)*$AT50*$AJ50*$BN$23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IFERROR(INDEX(LCIA_Data,MATCH($AO$15&amp;DA$27,LCIA_Rows_B&amp;LCIA_Rows_C,0),MATCH(DA$26,LCIA_Columns,0)),0)*$AT50*$AK50*$BN$23</f>
        <v>0</v>
      </c>
      <c r="DB50" s="1">
        <f t="array" ref="DB50">IFERROR(INDEX(LCIA_Data,MATCH($AO$15&amp;DB$27,LCIA_Rows_B&amp;LCIA_Rows_C,0),MATCH(DB$26,LCIA_Columns,0)),0)*$AT50*$AK50*$BN$23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f t="shared" ref="DO50:DV64" si="41">BM50+CA50+CM50+DA50</f>
        <v>0</v>
      </c>
      <c r="DP50">
        <f t="shared" si="41"/>
        <v>0</v>
      </c>
      <c r="DQ50">
        <f t="shared" si="41"/>
        <v>0</v>
      </c>
      <c r="DR50">
        <f t="shared" si="41"/>
        <v>0</v>
      </c>
      <c r="DS50">
        <f t="shared" si="41"/>
        <v>0</v>
      </c>
      <c r="DT50">
        <f t="shared" si="41"/>
        <v>0</v>
      </c>
      <c r="DU50">
        <f t="shared" si="41"/>
        <v>0</v>
      </c>
      <c r="DV50">
        <f t="shared" si="41"/>
        <v>0</v>
      </c>
      <c r="DW50">
        <f t="shared" si="40"/>
        <v>0</v>
      </c>
      <c r="DX50">
        <f t="shared" si="40"/>
        <v>0</v>
      </c>
      <c r="DY50">
        <f t="shared" si="40"/>
        <v>0</v>
      </c>
      <c r="DZ50">
        <f t="shared" si="40"/>
        <v>0</v>
      </c>
      <c r="EA50">
        <f t="shared" si="40"/>
        <v>0</v>
      </c>
      <c r="EB50">
        <f t="shared" si="21"/>
        <v>0</v>
      </c>
      <c r="EC50"/>
      <c r="ED50"/>
      <c r="EE50"/>
      <c r="EF50"/>
      <c r="EG50"/>
    </row>
    <row r="51" spans="2:137" ht="15" customHeight="1" thickBot="1">
      <c r="B51" s="53">
        <f t="shared" si="29"/>
        <v>0</v>
      </c>
      <c r="C51" s="32">
        <f t="shared" si="22"/>
        <v>22</v>
      </c>
      <c r="D51" s="47" t="str">
        <f>'Plant Inputs'!$D51</f>
        <v>Steel Anchors</v>
      </c>
      <c r="E51" s="102"/>
      <c r="F51" s="231" t="str">
        <f t="shared" si="39"/>
        <v>short ton</v>
      </c>
      <c r="G51" s="228">
        <f t="shared" si="26"/>
        <v>0</v>
      </c>
      <c r="H51" s="227" t="str">
        <f t="shared" si="7"/>
        <v>short ton</v>
      </c>
      <c r="I51" s="397">
        <f t="shared" si="8"/>
        <v>0</v>
      </c>
      <c r="J51"/>
      <c r="K51"/>
      <c r="L51"/>
      <c r="M51"/>
      <c r="N51"/>
      <c r="O51"/>
      <c r="P51"/>
      <c r="Q51"/>
      <c r="R51"/>
      <c r="S51"/>
      <c r="T51"/>
      <c r="X51" s="67">
        <f t="shared" si="30"/>
        <v>0</v>
      </c>
      <c r="Y51" s="216">
        <f>IF(AND($X51=1,'Plant Inputs'!$Y51=1),1,0)</f>
        <v>0</v>
      </c>
      <c r="Z51" s="216"/>
      <c r="AA51" s="216">
        <f>IF($Y51=0,0,IF('Plant Inputs'!J51="",0,'Plant Inputs'!J51))</f>
        <v>0</v>
      </c>
      <c r="AB51" s="216">
        <f>IF($Y51=0,0,IF('Plant Inputs'!K51="",0,'Plant Inputs'!K51))</f>
        <v>0</v>
      </c>
      <c r="AC51" s="216">
        <f>IF($Y51=0,0,IF('Plant Inputs'!L51="",0,'Plant Inputs'!L51))</f>
        <v>0</v>
      </c>
      <c r="AD51" s="216">
        <f>IF($Y51=0,0,IF('Plant Inputs'!M51="",0,'Plant Inputs'!M51))</f>
        <v>0</v>
      </c>
      <c r="AE51" s="217" t="str">
        <f>'Plant Inputs'!$O51</f>
        <v>mile</v>
      </c>
      <c r="AF51" s="217">
        <f t="shared" si="9"/>
        <v>1.6093473468862911</v>
      </c>
      <c r="AG51" s="216" t="str">
        <f t="shared" si="23"/>
        <v>km/mile</v>
      </c>
      <c r="AH51" s="216">
        <f t="shared" si="31"/>
        <v>0</v>
      </c>
      <c r="AI51" s="216">
        <f t="shared" si="31"/>
        <v>0</v>
      </c>
      <c r="AJ51" s="216">
        <f t="shared" si="31"/>
        <v>0</v>
      </c>
      <c r="AK51" s="216">
        <f t="shared" si="31"/>
        <v>0</v>
      </c>
      <c r="AL51" s="216"/>
      <c r="AM51" s="1" t="str">
        <f t="shared" si="32"/>
        <v>Steel Anchors</v>
      </c>
      <c r="AN51" t="s">
        <v>127</v>
      </c>
      <c r="AO51">
        <f t="shared" si="33"/>
        <v>0</v>
      </c>
      <c r="AP51" s="1">
        <f t="shared" si="24"/>
        <v>0</v>
      </c>
      <c r="AQ51" s="1" t="str">
        <f t="shared" si="34"/>
        <v>short ton</v>
      </c>
      <c r="AR51" s="1">
        <f t="shared" si="14"/>
        <v>0.90718499588591606</v>
      </c>
      <c r="AS51" s="87" t="str">
        <f t="shared" si="35"/>
        <v>tonne/short ton</v>
      </c>
      <c r="AT51" s="87">
        <f t="shared" si="36"/>
        <v>0</v>
      </c>
      <c r="AU51" s="87">
        <f t="shared" si="37"/>
        <v>0</v>
      </c>
      <c r="AV51" s="87">
        <f t="shared" si="18"/>
        <v>0</v>
      </c>
      <c r="AW51" t="str">
        <f t="shared" si="38"/>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IFERROR(INDEX(LCIA_Data,MATCH($AO$15&amp;CM$27,LCIA_Rows_B&amp;LCIA_Rows_C,0),MATCH(CM$26,LCIA_Columns,0)),0)*$AT51*$AJ51*$BN$23</f>
        <v>0</v>
      </c>
      <c r="CN51" s="1">
        <f t="array" ref="CN51">IFERROR(INDEX(LCIA_Data,MATCH($AO$15&amp;CN$27,LCIA_Rows_B&amp;LCIA_Rows_C,0),MATCH(CN$26,LCIA_Columns,0)),0)*$AT51*$AJ51*$BN$23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IFERROR(INDEX(LCIA_Data,MATCH($AO$15&amp;DA$27,LCIA_Rows_B&amp;LCIA_Rows_C,0),MATCH(DA$26,LCIA_Columns,0)),0)*$AT51*$AK51*$BN$23</f>
        <v>0</v>
      </c>
      <c r="DB51" s="1">
        <f t="array" ref="DB51">IFERROR(INDEX(LCIA_Data,MATCH($AO$15&amp;DB$27,LCIA_Rows_B&amp;LCIA_Rows_C,0),MATCH(DB$26,LCIA_Columns,0)),0)*$AT51*$AK51*$BN$23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f t="shared" si="41"/>
        <v>0</v>
      </c>
      <c r="DP51">
        <f t="shared" si="41"/>
        <v>0</v>
      </c>
      <c r="DQ51">
        <f t="shared" si="41"/>
        <v>0</v>
      </c>
      <c r="DR51">
        <f t="shared" si="41"/>
        <v>0</v>
      </c>
      <c r="DS51">
        <f t="shared" si="41"/>
        <v>0</v>
      </c>
      <c r="DT51">
        <f t="shared" si="41"/>
        <v>0</v>
      </c>
      <c r="DU51">
        <f t="shared" si="41"/>
        <v>0</v>
      </c>
      <c r="DV51">
        <f t="shared" si="41"/>
        <v>0</v>
      </c>
      <c r="DW51">
        <f t="shared" si="40"/>
        <v>0</v>
      </c>
      <c r="DX51">
        <f t="shared" si="40"/>
        <v>0</v>
      </c>
      <c r="DY51">
        <f t="shared" si="40"/>
        <v>0</v>
      </c>
      <c r="DZ51">
        <f t="shared" si="40"/>
        <v>0</v>
      </c>
      <c r="EA51">
        <f t="shared" si="40"/>
        <v>0</v>
      </c>
      <c r="EB51">
        <f t="shared" si="21"/>
        <v>0</v>
      </c>
      <c r="EC51"/>
      <c r="ED51"/>
      <c r="EE51"/>
      <c r="EF51"/>
      <c r="EG51"/>
    </row>
    <row r="52" spans="2:137" ht="15" customHeight="1">
      <c r="B52" s="53">
        <f t="shared" si="29"/>
        <v>0</v>
      </c>
      <c r="C52" s="221">
        <f t="shared" si="22"/>
        <v>23</v>
      </c>
      <c r="D52" s="222" t="str">
        <f>'Plant Inputs'!$D52</f>
        <v>Steel Stressing Strand</v>
      </c>
      <c r="E52" s="154"/>
      <c r="F52" s="223" t="str">
        <f t="shared" si="39"/>
        <v>short ton</v>
      </c>
      <c r="G52" s="224">
        <f t="shared" si="26"/>
        <v>0</v>
      </c>
      <c r="H52" s="225" t="str">
        <f t="shared" si="7"/>
        <v>short ton</v>
      </c>
      <c r="I52" s="156">
        <f t="shared" si="8"/>
        <v>0</v>
      </c>
      <c r="J52"/>
      <c r="K52"/>
      <c r="L52"/>
      <c r="M52"/>
      <c r="N52"/>
      <c r="O52"/>
      <c r="P52"/>
      <c r="Q52"/>
      <c r="R52"/>
      <c r="S52"/>
      <c r="T52"/>
      <c r="X52" s="67">
        <f t="shared" si="30"/>
        <v>0</v>
      </c>
      <c r="Y52" s="216">
        <f>IF(AND($X52=1,'Plant Inputs'!$Y52=1),1,0)</f>
        <v>0</v>
      </c>
      <c r="Z52" s="216"/>
      <c r="AA52" s="216">
        <f>IF($Y52=0,0,IF('Plant Inputs'!J52="",0,'Plant Inputs'!J52))</f>
        <v>0</v>
      </c>
      <c r="AB52" s="216">
        <f>IF($Y52=0,0,IF('Plant Inputs'!K52="",0,'Plant Inputs'!K52))</f>
        <v>0</v>
      </c>
      <c r="AC52" s="216">
        <f>IF($Y52=0,0,IF('Plant Inputs'!L52="",0,'Plant Inputs'!L52))</f>
        <v>0</v>
      </c>
      <c r="AD52" s="216">
        <f>IF($Y52=0,0,IF('Plant Inputs'!M52="",0,'Plant Inputs'!M52))</f>
        <v>0</v>
      </c>
      <c r="AE52" s="217" t="str">
        <f>'Plant Inputs'!$O52</f>
        <v>mile</v>
      </c>
      <c r="AF52" s="217">
        <f t="shared" si="9"/>
        <v>1.6093473468862911</v>
      </c>
      <c r="AG52" s="216" t="str">
        <f t="shared" si="23"/>
        <v>km/mile</v>
      </c>
      <c r="AH52" s="216">
        <f t="shared" si="31"/>
        <v>0</v>
      </c>
      <c r="AI52" s="216">
        <f t="shared" si="31"/>
        <v>0</v>
      </c>
      <c r="AJ52" s="216">
        <f t="shared" si="31"/>
        <v>0</v>
      </c>
      <c r="AK52" s="216">
        <f t="shared" si="31"/>
        <v>0</v>
      </c>
      <c r="AL52" s="216"/>
      <c r="AM52" s="1" t="str">
        <f t="shared" si="32"/>
        <v>Steel Stressing Strand</v>
      </c>
      <c r="AN52" t="s">
        <v>127</v>
      </c>
      <c r="AO52">
        <f t="shared" si="33"/>
        <v>0</v>
      </c>
      <c r="AP52" s="1">
        <f t="shared" si="24"/>
        <v>0</v>
      </c>
      <c r="AQ52" s="1" t="str">
        <f t="shared" si="34"/>
        <v>short ton</v>
      </c>
      <c r="AR52" s="1">
        <f t="shared" si="14"/>
        <v>0.90718499588591606</v>
      </c>
      <c r="AS52" s="87" t="str">
        <f t="shared" si="35"/>
        <v>tonne/short ton</v>
      </c>
      <c r="AT52" s="87">
        <f t="shared" si="36"/>
        <v>0</v>
      </c>
      <c r="AU52" s="87">
        <f t="shared" si="37"/>
        <v>0</v>
      </c>
      <c r="AV52" s="87">
        <f t="shared" si="18"/>
        <v>0</v>
      </c>
      <c r="AW52" t="str">
        <f t="shared" si="38"/>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IFERROR(INDEX(LCIA_Data,MATCH($AO$15&amp;CM$27,LCIA_Rows_B&amp;LCIA_Rows_C,0),MATCH(CM$26,LCIA_Columns,0)),0)*$AT52*$AJ52*$BN$23</f>
        <v>0</v>
      </c>
      <c r="CN52" s="1">
        <f t="array" ref="CN52">IFERROR(INDEX(LCIA_Data,MATCH($AO$15&amp;CN$27,LCIA_Rows_B&amp;LCIA_Rows_C,0),MATCH(CN$26,LCIA_Columns,0)),0)*$AT52*$AJ52*$BN$23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IFERROR(INDEX(LCIA_Data,MATCH($AO$15&amp;DA$27,LCIA_Rows_B&amp;LCIA_Rows_C,0),MATCH(DA$26,LCIA_Columns,0)),0)*$AT52*$AK52*$BN$23</f>
        <v>0</v>
      </c>
      <c r="DB52" s="1">
        <f t="array" ref="DB52">IFERROR(INDEX(LCIA_Data,MATCH($AO$15&amp;DB$27,LCIA_Rows_B&amp;LCIA_Rows_C,0),MATCH(DB$26,LCIA_Columns,0)),0)*$AT52*$AK52*$BN$23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f t="shared" si="41"/>
        <v>0</v>
      </c>
      <c r="DP52">
        <f t="shared" si="41"/>
        <v>0</v>
      </c>
      <c r="DQ52">
        <f t="shared" si="41"/>
        <v>0</v>
      </c>
      <c r="DR52">
        <f t="shared" si="41"/>
        <v>0</v>
      </c>
      <c r="DS52">
        <f t="shared" si="41"/>
        <v>0</v>
      </c>
      <c r="DT52">
        <f t="shared" si="41"/>
        <v>0</v>
      </c>
      <c r="DU52">
        <f t="shared" si="41"/>
        <v>0</v>
      </c>
      <c r="DV52">
        <f t="shared" si="41"/>
        <v>0</v>
      </c>
      <c r="DW52">
        <f t="shared" si="40"/>
        <v>0</v>
      </c>
      <c r="DX52">
        <f t="shared" si="40"/>
        <v>0</v>
      </c>
      <c r="DY52">
        <f t="shared" si="40"/>
        <v>0</v>
      </c>
      <c r="DZ52">
        <f t="shared" si="40"/>
        <v>0</v>
      </c>
      <c r="EA52">
        <f t="shared" si="40"/>
        <v>0</v>
      </c>
      <c r="EB52">
        <f t="shared" si="21"/>
        <v>0</v>
      </c>
      <c r="EC52"/>
      <c r="ED52"/>
      <c r="EE52"/>
      <c r="EF52"/>
      <c r="EG52"/>
    </row>
    <row r="53" spans="2:137" ht="15" customHeight="1">
      <c r="B53" s="53">
        <f t="shared" si="29"/>
        <v>0</v>
      </c>
      <c r="C53" s="233">
        <f t="shared" si="22"/>
        <v>24</v>
      </c>
      <c r="D53" s="244" t="str">
        <f>'Plant Inputs'!$D53</f>
        <v>Carbon Fibre Reinforced Polymer (CFRP) strand</v>
      </c>
      <c r="E53" s="101"/>
      <c r="F53" s="235" t="str">
        <f t="shared" si="39"/>
        <v>short ton</v>
      </c>
      <c r="G53" s="236">
        <f t="shared" si="26"/>
        <v>0</v>
      </c>
      <c r="H53" s="237" t="str">
        <f t="shared" si="7"/>
        <v>short ton</v>
      </c>
      <c r="I53" s="398">
        <f t="shared" si="8"/>
        <v>0</v>
      </c>
      <c r="J53"/>
      <c r="K53"/>
      <c r="L53"/>
      <c r="M53"/>
      <c r="N53"/>
      <c r="O53"/>
      <c r="P53"/>
      <c r="Q53"/>
      <c r="R53"/>
      <c r="S53"/>
      <c r="T53"/>
      <c r="X53" s="67">
        <f t="shared" si="30"/>
        <v>0</v>
      </c>
      <c r="Y53" s="216">
        <f>IF(AND($X53=1,'Plant Inputs'!$Y53=1),1,0)</f>
        <v>0</v>
      </c>
      <c r="Z53" s="216"/>
      <c r="AA53" s="216">
        <f>IF($Y53=0,0,IF('Plant Inputs'!J53="",0,'Plant Inputs'!J53))</f>
        <v>0</v>
      </c>
      <c r="AB53" s="216">
        <f>IF($Y53=0,0,IF('Plant Inputs'!K53="",0,'Plant Inputs'!K53))</f>
        <v>0</v>
      </c>
      <c r="AC53" s="216">
        <f>IF($Y53=0,0,IF('Plant Inputs'!L53="",0,'Plant Inputs'!L53))</f>
        <v>0</v>
      </c>
      <c r="AD53" s="216">
        <f>IF($Y53=0,0,IF('Plant Inputs'!M53="",0,'Plant Inputs'!M53))</f>
        <v>0</v>
      </c>
      <c r="AE53" s="217" t="str">
        <f>'Plant Inputs'!$O53</f>
        <v>mile</v>
      </c>
      <c r="AF53" s="217">
        <f t="shared" si="9"/>
        <v>1.6093473468862911</v>
      </c>
      <c r="AG53" s="216" t="str">
        <f t="shared" si="23"/>
        <v>km/mile</v>
      </c>
      <c r="AH53" s="216">
        <f>AA53*$AF53</f>
        <v>0</v>
      </c>
      <c r="AI53" s="216">
        <f>AB53*$AF53</f>
        <v>0</v>
      </c>
      <c r="AJ53" s="216">
        <f>AC53*$AF53</f>
        <v>0</v>
      </c>
      <c r="AK53" s="216">
        <f>AD53*$AF53</f>
        <v>0</v>
      </c>
      <c r="AL53" s="216"/>
      <c r="AM53" s="1" t="str">
        <f t="shared" si="32"/>
        <v>Carbon Fibre Reinforced Polymer (CFRP) strand</v>
      </c>
      <c r="AN53" s="12" t="s">
        <v>127</v>
      </c>
      <c r="AO53">
        <f t="shared" si="33"/>
        <v>0</v>
      </c>
      <c r="AP53" s="1">
        <f t="shared" si="24"/>
        <v>0</v>
      </c>
      <c r="AQ53" s="1" t="str">
        <f t="shared" si="34"/>
        <v>short ton</v>
      </c>
      <c r="AR53" s="1">
        <f t="shared" si="14"/>
        <v>0.90718499588591606</v>
      </c>
      <c r="AS53" s="87" t="str">
        <f t="shared" si="35"/>
        <v>tonne/short ton</v>
      </c>
      <c r="AT53" s="87">
        <f t="shared" si="36"/>
        <v>0</v>
      </c>
      <c r="AU53" s="87">
        <f t="shared" si="37"/>
        <v>0</v>
      </c>
      <c r="AV53" s="87">
        <f t="shared" si="18"/>
        <v>0</v>
      </c>
      <c r="AW53" t="str">
        <f t="shared" si="38"/>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IFERROR(INDEX(LCIA_Data,MATCH($AO$15&amp;CM$27,LCIA_Rows_B&amp;LCIA_Rows_C,0),MATCH(CM$26,LCIA_Columns,0)),0)*$AT53*$AJ53*$BN$23</f>
        <v>0</v>
      </c>
      <c r="CN53" s="1">
        <f t="array" ref="CN53">IFERROR(INDEX(LCIA_Data,MATCH($AO$15&amp;CN$27,LCIA_Rows_B&amp;LCIA_Rows_C,0),MATCH(CN$26,LCIA_Columns,0)),0)*$AT53*$AJ53*$BN$23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IFERROR(INDEX(LCIA_Data,MATCH($AO$15&amp;DA$27,LCIA_Rows_B&amp;LCIA_Rows_C,0),MATCH(DA$26,LCIA_Columns,0)),0)*$AT53*$AK53*$BN$23</f>
        <v>0</v>
      </c>
      <c r="DB53" s="1">
        <f t="array" ref="DB53">IFERROR(INDEX(LCIA_Data,MATCH($AO$15&amp;DB$27,LCIA_Rows_B&amp;LCIA_Rows_C,0),MATCH(DB$26,LCIA_Columns,0)),0)*$AT53*$AK53*$BN$23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f t="shared" si="41"/>
        <v>0</v>
      </c>
      <c r="DP53">
        <f t="shared" si="41"/>
        <v>0</v>
      </c>
      <c r="DQ53">
        <f t="shared" si="41"/>
        <v>0</v>
      </c>
      <c r="DR53">
        <f t="shared" si="41"/>
        <v>0</v>
      </c>
      <c r="DS53">
        <f t="shared" si="41"/>
        <v>0</v>
      </c>
      <c r="DT53">
        <f t="shared" si="41"/>
        <v>0</v>
      </c>
      <c r="DU53">
        <f t="shared" si="41"/>
        <v>0</v>
      </c>
      <c r="DV53">
        <f t="shared" si="41"/>
        <v>0</v>
      </c>
      <c r="DW53">
        <f t="shared" si="40"/>
        <v>0</v>
      </c>
      <c r="DX53">
        <f t="shared" si="40"/>
        <v>0</v>
      </c>
      <c r="DY53">
        <f t="shared" si="40"/>
        <v>0</v>
      </c>
      <c r="DZ53">
        <f t="shared" si="40"/>
        <v>0</v>
      </c>
      <c r="EA53">
        <f t="shared" si="40"/>
        <v>0</v>
      </c>
      <c r="EB53">
        <f t="shared" si="21"/>
        <v>0</v>
      </c>
      <c r="EC53"/>
      <c r="ED53"/>
      <c r="EE53"/>
      <c r="EF53"/>
      <c r="EG53"/>
    </row>
    <row r="54" spans="2:137" ht="15" customHeight="1">
      <c r="B54" s="53">
        <f t="shared" si="29"/>
        <v>0</v>
      </c>
      <c r="C54" s="26">
        <f t="shared" si="22"/>
        <v>25</v>
      </c>
      <c r="D54" s="46" t="str">
        <f>'Plant Inputs'!$D54</f>
        <v>Polypropylene Fibers</v>
      </c>
      <c r="E54" s="99"/>
      <c r="F54" s="119" t="str">
        <f t="shared" si="39"/>
        <v>short ton</v>
      </c>
      <c r="G54" s="158">
        <f t="shared" si="26"/>
        <v>0</v>
      </c>
      <c r="H54" s="204" t="str">
        <f t="shared" si="7"/>
        <v>short ton</v>
      </c>
      <c r="I54" s="399">
        <f t="shared" si="8"/>
        <v>0</v>
      </c>
      <c r="J54"/>
      <c r="K54"/>
      <c r="L54"/>
      <c r="M54"/>
      <c r="N54"/>
      <c r="O54"/>
      <c r="P54"/>
      <c r="Q54"/>
      <c r="R54"/>
      <c r="S54"/>
      <c r="T54"/>
      <c r="X54" s="67">
        <f t="shared" si="30"/>
        <v>0</v>
      </c>
      <c r="Y54" s="216">
        <f>IF(AND($X54=1,'Plant Inputs'!$Y54=1),1,0)</f>
        <v>0</v>
      </c>
      <c r="Z54" s="216"/>
      <c r="AA54" s="216">
        <f>IF($Y54=0,0,IF('Plant Inputs'!J54="",0,'Plant Inputs'!J54))</f>
        <v>0</v>
      </c>
      <c r="AB54" s="216">
        <f>IF($Y54=0,0,IF('Plant Inputs'!K54="",0,'Plant Inputs'!K54))</f>
        <v>0</v>
      </c>
      <c r="AC54" s="216">
        <f>IF($Y54=0,0,IF('Plant Inputs'!L54="",0,'Plant Inputs'!L54))</f>
        <v>0</v>
      </c>
      <c r="AD54" s="216">
        <f>IF($Y54=0,0,IF('Plant Inputs'!M54="",0,'Plant Inputs'!M54))</f>
        <v>0</v>
      </c>
      <c r="AE54" s="217" t="str">
        <f>'Plant Inputs'!$O54</f>
        <v>mile</v>
      </c>
      <c r="AF54" s="217">
        <f t="shared" si="9"/>
        <v>1.6093473468862911</v>
      </c>
      <c r="AG54" s="216" t="str">
        <f t="shared" si="23"/>
        <v>km/mile</v>
      </c>
      <c r="AH54" s="216">
        <f t="shared" ref="AH54:AK64" si="42">AA54*$AF54</f>
        <v>0</v>
      </c>
      <c r="AI54" s="216">
        <f t="shared" si="42"/>
        <v>0</v>
      </c>
      <c r="AJ54" s="216">
        <f t="shared" si="42"/>
        <v>0</v>
      </c>
      <c r="AK54" s="216">
        <f t="shared" si="42"/>
        <v>0</v>
      </c>
      <c r="AL54" s="216"/>
      <c r="AM54" s="1" t="str">
        <f t="shared" si="32"/>
        <v>Polypropylene Fibers</v>
      </c>
      <c r="AN54" s="12" t="s">
        <v>127</v>
      </c>
      <c r="AO54">
        <f t="shared" si="33"/>
        <v>0</v>
      </c>
      <c r="AP54" s="1">
        <f t="shared" si="24"/>
        <v>0</v>
      </c>
      <c r="AQ54" s="1" t="str">
        <f t="shared" si="34"/>
        <v>short ton</v>
      </c>
      <c r="AR54" s="1">
        <f t="shared" si="14"/>
        <v>0.90718499588591606</v>
      </c>
      <c r="AS54" s="87" t="str">
        <f t="shared" si="35"/>
        <v>tonne/short ton</v>
      </c>
      <c r="AT54" s="87">
        <f t="shared" si="36"/>
        <v>0</v>
      </c>
      <c r="AU54" s="87">
        <f t="shared" si="37"/>
        <v>0</v>
      </c>
      <c r="AV54" s="87">
        <f t="shared" si="18"/>
        <v>0</v>
      </c>
      <c r="AW54" t="str">
        <f t="shared" si="38"/>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IFERROR(INDEX(LCIA_Data,MATCH($AO$15&amp;CM$27,LCIA_Rows_B&amp;LCIA_Rows_C,0),MATCH(CM$26,LCIA_Columns,0)),0)*$AT54*$AJ54*$BN$23</f>
        <v>0</v>
      </c>
      <c r="CN54" s="1">
        <f t="array" ref="CN54">IFERROR(INDEX(LCIA_Data,MATCH($AO$15&amp;CN$27,LCIA_Rows_B&amp;LCIA_Rows_C,0),MATCH(CN$26,LCIA_Columns,0)),0)*$AT54*$AJ54*$BN$23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IFERROR(INDEX(LCIA_Data,MATCH($AO$15&amp;DA$27,LCIA_Rows_B&amp;LCIA_Rows_C,0),MATCH(DA$26,LCIA_Columns,0)),0)*$AT54*$AK54*$BN$23</f>
        <v>0</v>
      </c>
      <c r="DB54" s="1">
        <f t="array" ref="DB54">IFERROR(INDEX(LCIA_Data,MATCH($AO$15&amp;DB$27,LCIA_Rows_B&amp;LCIA_Rows_C,0),MATCH(DB$26,LCIA_Columns,0)),0)*$AT54*$AK54*$BN$23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f t="shared" si="41"/>
        <v>0</v>
      </c>
      <c r="DP54">
        <f t="shared" si="41"/>
        <v>0</v>
      </c>
      <c r="DQ54">
        <f t="shared" si="41"/>
        <v>0</v>
      </c>
      <c r="DR54">
        <f t="shared" si="41"/>
        <v>0</v>
      </c>
      <c r="DS54">
        <f t="shared" si="41"/>
        <v>0</v>
      </c>
      <c r="DT54">
        <f t="shared" si="41"/>
        <v>0</v>
      </c>
      <c r="DU54">
        <f t="shared" si="41"/>
        <v>0</v>
      </c>
      <c r="DV54">
        <f t="shared" si="41"/>
        <v>0</v>
      </c>
      <c r="DW54">
        <f t="shared" si="40"/>
        <v>0</v>
      </c>
      <c r="DX54">
        <f t="shared" si="40"/>
        <v>0</v>
      </c>
      <c r="DY54">
        <f t="shared" si="40"/>
        <v>0</v>
      </c>
      <c r="DZ54">
        <f t="shared" si="40"/>
        <v>0</v>
      </c>
      <c r="EA54">
        <f t="shared" si="40"/>
        <v>0</v>
      </c>
      <c r="EB54">
        <f t="shared" si="21"/>
        <v>0</v>
      </c>
      <c r="EC54"/>
      <c r="ED54"/>
      <c r="EE54"/>
      <c r="EF54"/>
      <c r="EG54"/>
    </row>
    <row r="55" spans="2:137" ht="15" customHeight="1">
      <c r="B55" s="53">
        <f t="shared" si="29"/>
        <v>0</v>
      </c>
      <c r="C55" s="26">
        <f t="shared" si="22"/>
        <v>26</v>
      </c>
      <c r="D55" s="46" t="str">
        <f>'Plant Inputs'!$D55</f>
        <v>Steel Fibers</v>
      </c>
      <c r="E55" s="99"/>
      <c r="F55" s="119" t="str">
        <f t="shared" si="39"/>
        <v>short ton</v>
      </c>
      <c r="G55" s="158">
        <f t="shared" si="26"/>
        <v>0</v>
      </c>
      <c r="H55" s="204" t="str">
        <f t="shared" si="7"/>
        <v>short ton</v>
      </c>
      <c r="I55" s="156">
        <f t="shared" si="8"/>
        <v>0</v>
      </c>
      <c r="J55"/>
      <c r="K55"/>
      <c r="L55"/>
      <c r="M55"/>
      <c r="N55"/>
      <c r="O55"/>
      <c r="P55"/>
      <c r="Q55"/>
      <c r="R55"/>
      <c r="S55"/>
      <c r="T55"/>
      <c r="X55" s="67">
        <f t="shared" si="30"/>
        <v>0</v>
      </c>
      <c r="Y55" s="216">
        <f>IF(AND($X55=1,'Plant Inputs'!$Y55=1),1,0)</f>
        <v>0</v>
      </c>
      <c r="Z55" s="216"/>
      <c r="AA55" s="216">
        <f>IF($Y55=0,0,IF('Plant Inputs'!J55="",0,'Plant Inputs'!J55))</f>
        <v>0</v>
      </c>
      <c r="AB55" s="216">
        <f>IF($Y55=0,0,IF('Plant Inputs'!K55="",0,'Plant Inputs'!K55))</f>
        <v>0</v>
      </c>
      <c r="AC55" s="216">
        <f>IF($Y55=0,0,IF('Plant Inputs'!L55="",0,'Plant Inputs'!L55))</f>
        <v>0</v>
      </c>
      <c r="AD55" s="216">
        <f>IF($Y55=0,0,IF('Plant Inputs'!M55="",0,'Plant Inputs'!M55))</f>
        <v>0</v>
      </c>
      <c r="AE55" s="217" t="str">
        <f>'Plant Inputs'!$O55</f>
        <v>mile</v>
      </c>
      <c r="AF55" s="217">
        <f t="shared" si="9"/>
        <v>1.6093473468862911</v>
      </c>
      <c r="AG55" s="216" t="str">
        <f t="shared" si="23"/>
        <v>km/mile</v>
      </c>
      <c r="AH55" s="216">
        <f t="shared" si="42"/>
        <v>0</v>
      </c>
      <c r="AI55" s="216">
        <f t="shared" si="42"/>
        <v>0</v>
      </c>
      <c r="AJ55" s="216">
        <f t="shared" si="42"/>
        <v>0</v>
      </c>
      <c r="AK55" s="216">
        <f t="shared" si="42"/>
        <v>0</v>
      </c>
      <c r="AL55" s="216"/>
      <c r="AM55" s="1" t="str">
        <f t="shared" si="32"/>
        <v>Steel Fibers</v>
      </c>
      <c r="AN55" s="12" t="s">
        <v>127</v>
      </c>
      <c r="AO55">
        <f t="shared" si="33"/>
        <v>0</v>
      </c>
      <c r="AP55" s="1">
        <f t="shared" si="24"/>
        <v>0</v>
      </c>
      <c r="AQ55" s="1" t="str">
        <f t="shared" si="34"/>
        <v>short ton</v>
      </c>
      <c r="AR55" s="1">
        <f t="shared" si="14"/>
        <v>0.90718499588591606</v>
      </c>
      <c r="AS55" s="87" t="str">
        <f t="shared" si="35"/>
        <v>tonne/short ton</v>
      </c>
      <c r="AT55" s="87">
        <f t="shared" si="36"/>
        <v>0</v>
      </c>
      <c r="AU55" s="87">
        <f t="shared" si="37"/>
        <v>0</v>
      </c>
      <c r="AV55" s="87">
        <f t="shared" si="18"/>
        <v>0</v>
      </c>
      <c r="AW55" t="str">
        <f t="shared" si="38"/>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IFERROR(INDEX(LCIA_Data,MATCH($AO$15&amp;CM$27,LCIA_Rows_B&amp;LCIA_Rows_C,0),MATCH(CM$26,LCIA_Columns,0)),0)*$AT55*$AJ55*$BN$23</f>
        <v>0</v>
      </c>
      <c r="CN55" s="1">
        <f t="array" ref="CN55">IFERROR(INDEX(LCIA_Data,MATCH($AO$15&amp;CN$27,LCIA_Rows_B&amp;LCIA_Rows_C,0),MATCH(CN$26,LCIA_Columns,0)),0)*$AT55*$AJ55*$BN$23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IFERROR(INDEX(LCIA_Data,MATCH($AO$15&amp;DA$27,LCIA_Rows_B&amp;LCIA_Rows_C,0),MATCH(DA$26,LCIA_Columns,0)),0)*$AT55*$AK55*$BN$23</f>
        <v>0</v>
      </c>
      <c r="DB55" s="1">
        <f t="array" ref="DB55">IFERROR(INDEX(LCIA_Data,MATCH($AO$15&amp;DB$27,LCIA_Rows_B&amp;LCIA_Rows_C,0),MATCH(DB$26,LCIA_Columns,0)),0)*$AT55*$AK55*$BN$23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f t="shared" si="41"/>
        <v>0</v>
      </c>
      <c r="DP55">
        <f t="shared" si="41"/>
        <v>0</v>
      </c>
      <c r="DQ55">
        <f t="shared" si="41"/>
        <v>0</v>
      </c>
      <c r="DR55">
        <f t="shared" si="41"/>
        <v>0</v>
      </c>
      <c r="DS55">
        <f t="shared" si="41"/>
        <v>0</v>
      </c>
      <c r="DT55">
        <f t="shared" si="41"/>
        <v>0</v>
      </c>
      <c r="DU55">
        <f t="shared" si="41"/>
        <v>0</v>
      </c>
      <c r="DV55">
        <f t="shared" si="41"/>
        <v>0</v>
      </c>
      <c r="DW55">
        <f t="shared" si="40"/>
        <v>0</v>
      </c>
      <c r="DX55">
        <f t="shared" si="40"/>
        <v>0</v>
      </c>
      <c r="DY55">
        <f t="shared" si="40"/>
        <v>0</v>
      </c>
      <c r="DZ55">
        <f t="shared" si="40"/>
        <v>0</v>
      </c>
      <c r="EA55">
        <f t="shared" si="40"/>
        <v>0</v>
      </c>
      <c r="EB55">
        <f t="shared" si="21"/>
        <v>0</v>
      </c>
      <c r="EC55"/>
      <c r="ED55"/>
      <c r="EE55"/>
      <c r="EF55"/>
      <c r="EG55"/>
    </row>
    <row r="56" spans="2:137" ht="15" customHeight="1">
      <c r="B56" s="53">
        <f t="shared" si="29"/>
        <v>0</v>
      </c>
      <c r="C56" s="26">
        <f t="shared" si="22"/>
        <v>27</v>
      </c>
      <c r="D56" s="46" t="str">
        <f>'Plant Inputs'!$D56</f>
        <v>Glass Fibre Reinforced Polymer (GFRP) reinforcing bars</v>
      </c>
      <c r="E56" s="99"/>
      <c r="F56" s="119" t="str">
        <f t="shared" si="39"/>
        <v>short ton</v>
      </c>
      <c r="G56" s="158">
        <f t="shared" si="26"/>
        <v>0</v>
      </c>
      <c r="H56" s="204" t="str">
        <f t="shared" si="7"/>
        <v>short ton</v>
      </c>
      <c r="I56" s="156">
        <f t="shared" si="8"/>
        <v>0</v>
      </c>
      <c r="J56"/>
      <c r="K56"/>
      <c r="L56"/>
      <c r="M56"/>
      <c r="N56"/>
      <c r="O56"/>
      <c r="P56"/>
      <c r="Q56"/>
      <c r="R56"/>
      <c r="S56"/>
      <c r="T56"/>
      <c r="X56" s="67">
        <f t="shared" si="30"/>
        <v>0</v>
      </c>
      <c r="Y56" s="216">
        <f>IF(AND($X56=1,'Plant Inputs'!$Y56=1),1,0)</f>
        <v>0</v>
      </c>
      <c r="Z56" s="216"/>
      <c r="AA56" s="216">
        <f>IF($Y56=0,0,IF('Plant Inputs'!J56="",0,'Plant Inputs'!J56))</f>
        <v>0</v>
      </c>
      <c r="AB56" s="216">
        <f>IF($Y56=0,0,IF('Plant Inputs'!K56="",0,'Plant Inputs'!K56))</f>
        <v>0</v>
      </c>
      <c r="AC56" s="216">
        <f>IF($Y56=0,0,IF('Plant Inputs'!L56="",0,'Plant Inputs'!L56))</f>
        <v>0</v>
      </c>
      <c r="AD56" s="216">
        <f>IF($Y56=0,0,IF('Plant Inputs'!M56="",0,'Plant Inputs'!M56))</f>
        <v>0</v>
      </c>
      <c r="AE56" s="217" t="str">
        <f>'Plant Inputs'!$O56</f>
        <v>mile</v>
      </c>
      <c r="AF56" s="217">
        <f t="shared" si="9"/>
        <v>1.6093473468862911</v>
      </c>
      <c r="AG56" s="216" t="str">
        <f t="shared" si="23"/>
        <v>km/mile</v>
      </c>
      <c r="AH56" s="216">
        <f t="shared" si="42"/>
        <v>0</v>
      </c>
      <c r="AI56" s="216">
        <f t="shared" si="42"/>
        <v>0</v>
      </c>
      <c r="AJ56" s="216">
        <f t="shared" si="42"/>
        <v>0</v>
      </c>
      <c r="AK56" s="216">
        <f t="shared" si="42"/>
        <v>0</v>
      </c>
      <c r="AL56" s="216"/>
      <c r="AM56" s="1" t="str">
        <f t="shared" si="32"/>
        <v>Glass Fibre Reinforced Polymer (GFRP) reinforcing bars</v>
      </c>
      <c r="AN56" s="12" t="s">
        <v>127</v>
      </c>
      <c r="AO56">
        <f t="shared" si="33"/>
        <v>0</v>
      </c>
      <c r="AP56" s="1">
        <f t="shared" si="24"/>
        <v>0</v>
      </c>
      <c r="AQ56" s="1" t="str">
        <f t="shared" si="34"/>
        <v>short ton</v>
      </c>
      <c r="AR56" s="1">
        <f t="shared" si="14"/>
        <v>0.90718499588591606</v>
      </c>
      <c r="AS56" s="87" t="str">
        <f t="shared" si="35"/>
        <v>tonne/short ton</v>
      </c>
      <c r="AT56" s="87">
        <f t="shared" si="36"/>
        <v>0</v>
      </c>
      <c r="AU56" s="87">
        <f t="shared" si="37"/>
        <v>0</v>
      </c>
      <c r="AV56" s="87">
        <f t="shared" si="18"/>
        <v>0</v>
      </c>
      <c r="AW56" t="str">
        <f t="shared" si="38"/>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IFERROR(INDEX(LCIA_Data,MATCH($AO$15&amp;CM$27,LCIA_Rows_B&amp;LCIA_Rows_C,0),MATCH(CM$26,LCIA_Columns,0)),0)*$AT56*$AJ56*$BN$23</f>
        <v>0</v>
      </c>
      <c r="CN56" s="1">
        <f t="array" ref="CN56">IFERROR(INDEX(LCIA_Data,MATCH($AO$15&amp;CN$27,LCIA_Rows_B&amp;LCIA_Rows_C,0),MATCH(CN$26,LCIA_Columns,0)),0)*$AT56*$AJ56*$BN$23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IFERROR(INDEX(LCIA_Data,MATCH($AO$15&amp;DA$27,LCIA_Rows_B&amp;LCIA_Rows_C,0),MATCH(DA$26,LCIA_Columns,0)),0)*$AT56*$AK56*$BN$23</f>
        <v>0</v>
      </c>
      <c r="DB56" s="1">
        <f t="array" ref="DB56">IFERROR(INDEX(LCIA_Data,MATCH($AO$15&amp;DB$27,LCIA_Rows_B&amp;LCIA_Rows_C,0),MATCH(DB$26,LCIA_Columns,0)),0)*$AT56*$AK56*$BN$23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f t="shared" si="41"/>
        <v>0</v>
      </c>
      <c r="DP56">
        <f t="shared" si="41"/>
        <v>0</v>
      </c>
      <c r="DQ56">
        <f t="shared" si="41"/>
        <v>0</v>
      </c>
      <c r="DR56">
        <f t="shared" si="41"/>
        <v>0</v>
      </c>
      <c r="DS56">
        <f t="shared" si="41"/>
        <v>0</v>
      </c>
      <c r="DT56">
        <f t="shared" si="41"/>
        <v>0</v>
      </c>
      <c r="DU56">
        <f t="shared" si="41"/>
        <v>0</v>
      </c>
      <c r="DV56">
        <f t="shared" si="41"/>
        <v>0</v>
      </c>
      <c r="DW56">
        <f t="shared" si="40"/>
        <v>0</v>
      </c>
      <c r="DX56">
        <f t="shared" si="40"/>
        <v>0</v>
      </c>
      <c r="DY56">
        <f t="shared" si="40"/>
        <v>0</v>
      </c>
      <c r="DZ56">
        <f t="shared" si="40"/>
        <v>0</v>
      </c>
      <c r="EA56">
        <f t="shared" si="40"/>
        <v>0</v>
      </c>
      <c r="EB56">
        <f t="shared" si="21"/>
        <v>0</v>
      </c>
      <c r="EC56"/>
      <c r="ED56"/>
      <c r="EE56"/>
      <c r="EF56"/>
      <c r="EG56"/>
    </row>
    <row r="57" spans="2:137" ht="15" customHeight="1">
      <c r="B57" s="53">
        <f t="shared" si="29"/>
        <v>0</v>
      </c>
      <c r="C57" s="26">
        <f t="shared" si="22"/>
        <v>28</v>
      </c>
      <c r="D57" s="46" t="str">
        <f>'Plant Inputs'!$D57</f>
        <v>Carbon Fibre Reinforced Polymer (CFRP) reinforcing bars</v>
      </c>
      <c r="E57" s="99"/>
      <c r="F57" s="119" t="str">
        <f t="shared" si="39"/>
        <v>short ton</v>
      </c>
      <c r="G57" s="158">
        <f t="shared" si="26"/>
        <v>0</v>
      </c>
      <c r="H57" s="204" t="str">
        <f t="shared" si="7"/>
        <v>short ton</v>
      </c>
      <c r="I57" s="156">
        <f t="shared" si="8"/>
        <v>0</v>
      </c>
      <c r="J57"/>
      <c r="K57"/>
      <c r="L57"/>
      <c r="M57"/>
      <c r="N57"/>
      <c r="O57"/>
      <c r="P57"/>
      <c r="Q57"/>
      <c r="R57"/>
      <c r="S57"/>
      <c r="T57"/>
      <c r="X57" s="67">
        <f t="shared" si="30"/>
        <v>0</v>
      </c>
      <c r="Y57" s="216">
        <f>IF(AND($X57=1,'Plant Inputs'!$Y57=1),1,0)</f>
        <v>0</v>
      </c>
      <c r="Z57" s="216"/>
      <c r="AA57" s="216">
        <f>IF($Y57=0,0,IF('Plant Inputs'!J57="",0,'Plant Inputs'!J57))</f>
        <v>0</v>
      </c>
      <c r="AB57" s="216">
        <f>IF($Y57=0,0,IF('Plant Inputs'!K57="",0,'Plant Inputs'!K57))</f>
        <v>0</v>
      </c>
      <c r="AC57" s="216">
        <f>IF($Y57=0,0,IF('Plant Inputs'!L57="",0,'Plant Inputs'!L57))</f>
        <v>0</v>
      </c>
      <c r="AD57" s="216">
        <f>IF($Y57=0,0,IF('Plant Inputs'!M57="",0,'Plant Inputs'!M57))</f>
        <v>0</v>
      </c>
      <c r="AE57" s="217" t="str">
        <f>'Plant Inputs'!$O57</f>
        <v>mile</v>
      </c>
      <c r="AF57" s="217">
        <f t="shared" si="9"/>
        <v>1.6093473468862911</v>
      </c>
      <c r="AG57" s="216" t="str">
        <f t="shared" si="23"/>
        <v>km/mile</v>
      </c>
      <c r="AH57" s="216">
        <f t="shared" si="42"/>
        <v>0</v>
      </c>
      <c r="AI57" s="216">
        <f t="shared" si="42"/>
        <v>0</v>
      </c>
      <c r="AJ57" s="216">
        <f t="shared" si="42"/>
        <v>0</v>
      </c>
      <c r="AK57" s="216">
        <f t="shared" si="42"/>
        <v>0</v>
      </c>
      <c r="AL57" s="216"/>
      <c r="AM57" s="1" t="str">
        <f t="shared" si="32"/>
        <v>Carbon Fibre Reinforced Polymer (CFRP) reinforcing bars</v>
      </c>
      <c r="AN57" s="12" t="s">
        <v>127</v>
      </c>
      <c r="AO57">
        <f t="shared" si="33"/>
        <v>0</v>
      </c>
      <c r="AP57" s="1">
        <f t="shared" si="24"/>
        <v>0</v>
      </c>
      <c r="AQ57" s="1" t="str">
        <f t="shared" si="34"/>
        <v>short ton</v>
      </c>
      <c r="AR57" s="1">
        <f t="shared" si="14"/>
        <v>0.90718499588591606</v>
      </c>
      <c r="AS57" s="87" t="str">
        <f t="shared" si="35"/>
        <v>tonne/short ton</v>
      </c>
      <c r="AT57" s="87">
        <f t="shared" si="36"/>
        <v>0</v>
      </c>
      <c r="AU57" s="87">
        <f t="shared" si="37"/>
        <v>0</v>
      </c>
      <c r="AV57" s="87">
        <f t="shared" si="18"/>
        <v>0</v>
      </c>
      <c r="AW57" t="str">
        <f t="shared" si="38"/>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IFERROR(INDEX(LCIA_Data,MATCH($AO$15&amp;CM$27,LCIA_Rows_B&amp;LCIA_Rows_C,0),MATCH(CM$26,LCIA_Columns,0)),0)*$AT57*$AJ57*$BN$23</f>
        <v>0</v>
      </c>
      <c r="CN57" s="1">
        <f t="array" ref="CN57">IFERROR(INDEX(LCIA_Data,MATCH($AO$15&amp;CN$27,LCIA_Rows_B&amp;LCIA_Rows_C,0),MATCH(CN$26,LCIA_Columns,0)),0)*$AT57*$AJ57*$BN$23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IFERROR(INDEX(LCIA_Data,MATCH($AO$15&amp;DA$27,LCIA_Rows_B&amp;LCIA_Rows_C,0),MATCH(DA$26,LCIA_Columns,0)),0)*$AT57*$AK57*$BN$23</f>
        <v>0</v>
      </c>
      <c r="DB57" s="1">
        <f t="array" ref="DB57">IFERROR(INDEX(LCIA_Data,MATCH($AO$15&amp;DB$27,LCIA_Rows_B&amp;LCIA_Rows_C,0),MATCH(DB$26,LCIA_Columns,0)),0)*$AT57*$AK57*$BN$23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f t="shared" si="41"/>
        <v>0</v>
      </c>
      <c r="DP57">
        <f t="shared" si="41"/>
        <v>0</v>
      </c>
      <c r="DQ57">
        <f t="shared" si="41"/>
        <v>0</v>
      </c>
      <c r="DR57">
        <f t="shared" si="41"/>
        <v>0</v>
      </c>
      <c r="DS57">
        <f t="shared" si="41"/>
        <v>0</v>
      </c>
      <c r="DT57">
        <f t="shared" si="41"/>
        <v>0</v>
      </c>
      <c r="DU57">
        <f t="shared" si="41"/>
        <v>0</v>
      </c>
      <c r="DV57">
        <f t="shared" si="41"/>
        <v>0</v>
      </c>
      <c r="DW57">
        <f t="shared" si="40"/>
        <v>0</v>
      </c>
      <c r="DX57">
        <f t="shared" si="40"/>
        <v>0</v>
      </c>
      <c r="DY57">
        <f t="shared" si="40"/>
        <v>0</v>
      </c>
      <c r="DZ57">
        <f t="shared" si="40"/>
        <v>0</v>
      </c>
      <c r="EA57">
        <f t="shared" si="40"/>
        <v>0</v>
      </c>
      <c r="EB57">
        <f t="shared" si="21"/>
        <v>0</v>
      </c>
      <c r="EC57"/>
      <c r="ED57"/>
      <c r="EE57"/>
      <c r="EF57"/>
      <c r="EG57"/>
    </row>
    <row r="58" spans="2:137" ht="15" customHeight="1">
      <c r="B58" s="53">
        <f t="shared" si="29"/>
        <v>0</v>
      </c>
      <c r="C58" s="233">
        <f t="shared" si="22"/>
        <v>29</v>
      </c>
      <c r="D58" s="244" t="str">
        <f>'Plant Inputs'!$D58</f>
        <v>Fibre Reinforced Polymer (FRP) wrap</v>
      </c>
      <c r="E58" s="101"/>
      <c r="F58" s="235" t="str">
        <f t="shared" si="39"/>
        <v>short ton</v>
      </c>
      <c r="G58" s="236">
        <f t="shared" si="26"/>
        <v>0</v>
      </c>
      <c r="H58" s="237" t="str">
        <f t="shared" si="7"/>
        <v>short ton</v>
      </c>
      <c r="I58" s="400">
        <f t="shared" si="8"/>
        <v>0</v>
      </c>
      <c r="J58"/>
      <c r="K58"/>
      <c r="L58"/>
      <c r="M58"/>
      <c r="N58"/>
      <c r="O58"/>
      <c r="P58"/>
      <c r="Q58"/>
      <c r="R58"/>
      <c r="S58"/>
      <c r="T58"/>
      <c r="X58" s="67">
        <f t="shared" si="30"/>
        <v>0</v>
      </c>
      <c r="Y58" s="216">
        <f>IF(AND($X58=1,'Plant Inputs'!$Y58=1),1,0)</f>
        <v>0</v>
      </c>
      <c r="Z58" s="216"/>
      <c r="AA58" s="216">
        <f>IF($Y58=0,0,IF('Plant Inputs'!J58="",0,'Plant Inputs'!J58))</f>
        <v>0</v>
      </c>
      <c r="AB58" s="216">
        <f>IF($Y58=0,0,IF('Plant Inputs'!K58="",0,'Plant Inputs'!K58))</f>
        <v>0</v>
      </c>
      <c r="AC58" s="216">
        <f>IF($Y58=0,0,IF('Plant Inputs'!L58="",0,'Plant Inputs'!L58))</f>
        <v>0</v>
      </c>
      <c r="AD58" s="216">
        <f>IF($Y58=0,0,IF('Plant Inputs'!M58="",0,'Plant Inputs'!M58))</f>
        <v>0</v>
      </c>
      <c r="AE58" s="217" t="str">
        <f>'Plant Inputs'!$O58</f>
        <v>mile</v>
      </c>
      <c r="AF58" s="217">
        <f t="shared" si="9"/>
        <v>1.6093473468862911</v>
      </c>
      <c r="AG58" s="216" t="str">
        <f t="shared" si="23"/>
        <v>km/mile</v>
      </c>
      <c r="AH58" s="216">
        <f t="shared" si="42"/>
        <v>0</v>
      </c>
      <c r="AI58" s="216">
        <f t="shared" si="42"/>
        <v>0</v>
      </c>
      <c r="AJ58" s="216">
        <f t="shared" si="42"/>
        <v>0</v>
      </c>
      <c r="AK58" s="216">
        <f t="shared" si="42"/>
        <v>0</v>
      </c>
      <c r="AL58" s="216"/>
      <c r="AM58" s="1" t="str">
        <f t="shared" si="32"/>
        <v>Fibre Reinforced Polymer (FRP) wrap</v>
      </c>
      <c r="AN58" s="12" t="s">
        <v>127</v>
      </c>
      <c r="AO58">
        <f t="shared" si="33"/>
        <v>0</v>
      </c>
      <c r="AP58" s="1">
        <f t="shared" si="24"/>
        <v>0</v>
      </c>
      <c r="AQ58" s="1" t="str">
        <f t="shared" si="34"/>
        <v>short ton</v>
      </c>
      <c r="AR58" s="1">
        <f t="shared" si="14"/>
        <v>0.90718499588591606</v>
      </c>
      <c r="AS58" s="87" t="str">
        <f t="shared" si="35"/>
        <v>tonne/short ton</v>
      </c>
      <c r="AT58" s="87">
        <f t="shared" si="36"/>
        <v>0</v>
      </c>
      <c r="AU58" s="87">
        <f t="shared" si="37"/>
        <v>0</v>
      </c>
      <c r="AV58" s="87">
        <f t="shared" si="18"/>
        <v>0</v>
      </c>
      <c r="AW58" t="str">
        <f t="shared" si="38"/>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IFERROR(INDEX(LCIA_Data,MATCH($AO$15&amp;CM$27,LCIA_Rows_B&amp;LCIA_Rows_C,0),MATCH(CM$26,LCIA_Columns,0)),0)*$AT58*$AJ58*$BN$23</f>
        <v>0</v>
      </c>
      <c r="CN58" s="1">
        <f t="array" ref="CN58">IFERROR(INDEX(LCIA_Data,MATCH($AO$15&amp;CN$27,LCIA_Rows_B&amp;LCIA_Rows_C,0),MATCH(CN$26,LCIA_Columns,0)),0)*$AT58*$AJ58*$BN$23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IFERROR(INDEX(LCIA_Data,MATCH($AO$15&amp;DA$27,LCIA_Rows_B&amp;LCIA_Rows_C,0),MATCH(DA$26,LCIA_Columns,0)),0)*$AT58*$AK58*$BN$23</f>
        <v>0</v>
      </c>
      <c r="DB58" s="1">
        <f t="array" ref="DB58">IFERROR(INDEX(LCIA_Data,MATCH($AO$15&amp;DB$27,LCIA_Rows_B&amp;LCIA_Rows_C,0),MATCH(DB$26,LCIA_Columns,0)),0)*$AT58*$AK58*$BN$23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f t="shared" si="41"/>
        <v>0</v>
      </c>
      <c r="DP58">
        <f t="shared" si="41"/>
        <v>0</v>
      </c>
      <c r="DQ58">
        <f t="shared" si="41"/>
        <v>0</v>
      </c>
      <c r="DR58">
        <f t="shared" si="41"/>
        <v>0</v>
      </c>
      <c r="DS58">
        <f t="shared" si="41"/>
        <v>0</v>
      </c>
      <c r="DT58">
        <f t="shared" si="41"/>
        <v>0</v>
      </c>
      <c r="DU58">
        <f t="shared" si="41"/>
        <v>0</v>
      </c>
      <c r="DV58">
        <f t="shared" si="41"/>
        <v>0</v>
      </c>
      <c r="DW58">
        <f t="shared" si="40"/>
        <v>0</v>
      </c>
      <c r="DX58">
        <f t="shared" si="40"/>
        <v>0</v>
      </c>
      <c r="DY58">
        <f t="shared" si="40"/>
        <v>0</v>
      </c>
      <c r="DZ58">
        <f t="shared" si="40"/>
        <v>0</v>
      </c>
      <c r="EA58">
        <f t="shared" si="40"/>
        <v>0</v>
      </c>
      <c r="EB58">
        <f t="shared" si="21"/>
        <v>0</v>
      </c>
      <c r="EC58"/>
      <c r="ED58"/>
      <c r="EE58"/>
      <c r="EF58"/>
      <c r="EG58"/>
    </row>
    <row r="59" spans="2:137" ht="15" customHeight="1">
      <c r="B59" s="53">
        <f t="shared" si="29"/>
        <v>0</v>
      </c>
      <c r="C59" s="26">
        <f t="shared" si="22"/>
        <v>30</v>
      </c>
      <c r="D59" s="46" t="str">
        <f>'Plant Inputs'!$D59</f>
        <v>Expanded Polystyrene</v>
      </c>
      <c r="E59" s="99"/>
      <c r="F59" s="106" t="s">
        <v>247</v>
      </c>
      <c r="G59" s="158">
        <f t="shared" si="26"/>
        <v>0</v>
      </c>
      <c r="H59" s="204" t="str">
        <f t="shared" si="7"/>
        <v>short ton</v>
      </c>
      <c r="I59" s="399">
        <f t="shared" si="8"/>
        <v>0</v>
      </c>
      <c r="J59"/>
      <c r="K59"/>
      <c r="L59"/>
      <c r="M59"/>
      <c r="N59"/>
      <c r="O59"/>
      <c r="P59"/>
      <c r="Q59"/>
      <c r="R59"/>
      <c r="S59"/>
      <c r="T59"/>
      <c r="X59" s="67">
        <f t="shared" si="30"/>
        <v>0</v>
      </c>
      <c r="Y59" s="216">
        <f>IF(AND($X59=1,'Plant Inputs'!$Y59=1),1,0)</f>
        <v>0</v>
      </c>
      <c r="Z59" s="216"/>
      <c r="AA59" s="216">
        <f>IF($Y59=0,0,IF('Plant Inputs'!J59="",0,'Plant Inputs'!J59))</f>
        <v>0</v>
      </c>
      <c r="AB59" s="216">
        <f>IF($Y59=0,0,IF('Plant Inputs'!K59="",0,'Plant Inputs'!K59))</f>
        <v>0</v>
      </c>
      <c r="AC59" s="216">
        <f>IF($Y59=0,0,IF('Plant Inputs'!L59="",0,'Plant Inputs'!L59))</f>
        <v>0</v>
      </c>
      <c r="AD59" s="216">
        <f>IF($Y59=0,0,IF('Plant Inputs'!M59="",0,'Plant Inputs'!M59))</f>
        <v>0</v>
      </c>
      <c r="AE59" s="217" t="str">
        <f>'Plant Inputs'!$O59</f>
        <v>mile</v>
      </c>
      <c r="AF59" s="217">
        <f t="shared" si="9"/>
        <v>1.6093473468862911</v>
      </c>
      <c r="AG59" s="216" t="str">
        <f t="shared" si="23"/>
        <v>km/mile</v>
      </c>
      <c r="AH59" s="216">
        <f t="shared" si="42"/>
        <v>0</v>
      </c>
      <c r="AI59" s="216">
        <f t="shared" si="42"/>
        <v>0</v>
      </c>
      <c r="AJ59" s="216">
        <f t="shared" si="42"/>
        <v>0</v>
      </c>
      <c r="AK59" s="216">
        <f t="shared" si="42"/>
        <v>0</v>
      </c>
      <c r="AL59" s="216"/>
      <c r="AM59" s="1" t="str">
        <f t="shared" si="32"/>
        <v>Expanded Polystyrene</v>
      </c>
      <c r="AN59" t="s">
        <v>128</v>
      </c>
      <c r="AO59">
        <f t="shared" si="33"/>
        <v>1.6E-2</v>
      </c>
      <c r="AP59" s="1">
        <f t="shared" si="24"/>
        <v>0</v>
      </c>
      <c r="AQ59" s="1" t="str">
        <f t="shared" si="34"/>
        <v>board feet</v>
      </c>
      <c r="AR59" s="1">
        <f t="shared" si="14"/>
        <v>3.7755795455999999E-5</v>
      </c>
      <c r="AS59" s="87" t="str">
        <f t="shared" si="35"/>
        <v>tonne/board feet</v>
      </c>
      <c r="AT59" s="87">
        <f t="shared" si="36"/>
        <v>0</v>
      </c>
      <c r="AU59" s="87">
        <f t="shared" si="37"/>
        <v>0</v>
      </c>
      <c r="AV59" s="87">
        <f t="shared" si="18"/>
        <v>0</v>
      </c>
      <c r="AW59" t="str">
        <f t="shared" si="38"/>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IFERROR(INDEX(LCIA_Data,MATCH($AO$15&amp;CM$27,LCIA_Rows_B&amp;LCIA_Rows_C,0),MATCH(CM$26,LCIA_Columns,0)),0)*$AT59*$AJ59*$BN$23</f>
        <v>0</v>
      </c>
      <c r="CN59" s="1">
        <f t="array" ref="CN59">IFERROR(INDEX(LCIA_Data,MATCH($AO$15&amp;CN$27,LCIA_Rows_B&amp;LCIA_Rows_C,0),MATCH(CN$26,LCIA_Columns,0)),0)*$AT59*$AJ59*$BN$23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IFERROR(INDEX(LCIA_Data,MATCH($AO$15&amp;DA$27,LCIA_Rows_B&amp;LCIA_Rows_C,0),MATCH(DA$26,LCIA_Columns,0)),0)*$AT59*$AK59*$BN$23</f>
        <v>0</v>
      </c>
      <c r="DB59" s="1">
        <f t="array" ref="DB59">IFERROR(INDEX(LCIA_Data,MATCH($AO$15&amp;DB$27,LCIA_Rows_B&amp;LCIA_Rows_C,0),MATCH(DB$26,LCIA_Columns,0)),0)*$AT59*$AK59*$BN$23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f t="shared" si="41"/>
        <v>0</v>
      </c>
      <c r="DP59">
        <f t="shared" si="41"/>
        <v>0</v>
      </c>
      <c r="DQ59">
        <f t="shared" si="41"/>
        <v>0</v>
      </c>
      <c r="DR59">
        <f t="shared" si="41"/>
        <v>0</v>
      </c>
      <c r="DS59">
        <f t="shared" si="41"/>
        <v>0</v>
      </c>
      <c r="DT59">
        <f t="shared" si="41"/>
        <v>0</v>
      </c>
      <c r="DU59">
        <f t="shared" si="41"/>
        <v>0</v>
      </c>
      <c r="DV59">
        <f t="shared" si="41"/>
        <v>0</v>
      </c>
      <c r="DW59">
        <f t="shared" si="40"/>
        <v>0</v>
      </c>
      <c r="DX59">
        <f t="shared" si="40"/>
        <v>0</v>
      </c>
      <c r="DY59">
        <f t="shared" si="40"/>
        <v>0</v>
      </c>
      <c r="DZ59">
        <f t="shared" si="40"/>
        <v>0</v>
      </c>
      <c r="EA59">
        <f t="shared" si="40"/>
        <v>0</v>
      </c>
      <c r="EB59">
        <f t="shared" si="21"/>
        <v>0</v>
      </c>
      <c r="EC59"/>
      <c r="ED59"/>
      <c r="EE59"/>
      <c r="EF59"/>
      <c r="EG59"/>
    </row>
    <row r="60" spans="2:137" ht="15" customHeight="1">
      <c r="B60" s="53">
        <f t="shared" si="29"/>
        <v>0</v>
      </c>
      <c r="C60" s="233">
        <f t="shared" si="22"/>
        <v>31</v>
      </c>
      <c r="D60" s="244" t="str">
        <f>'Plant Inputs'!$D60</f>
        <v>Extruded Polystyrene</v>
      </c>
      <c r="E60" s="101"/>
      <c r="F60" s="248" t="s">
        <v>247</v>
      </c>
      <c r="G60" s="236">
        <f t="shared" si="26"/>
        <v>0</v>
      </c>
      <c r="H60" s="237" t="str">
        <f t="shared" si="7"/>
        <v>short ton</v>
      </c>
      <c r="I60" s="400">
        <f t="shared" si="8"/>
        <v>0</v>
      </c>
      <c r="J60"/>
      <c r="K60"/>
      <c r="L60"/>
      <c r="M60"/>
      <c r="N60"/>
      <c r="O60"/>
      <c r="P60"/>
      <c r="Q60"/>
      <c r="R60"/>
      <c r="S60"/>
      <c r="T60"/>
      <c r="X60" s="67">
        <f t="shared" si="30"/>
        <v>0</v>
      </c>
      <c r="Y60" s="216">
        <f>IF(AND($X60=1,'Plant Inputs'!$Y60=1),1,0)</f>
        <v>0</v>
      </c>
      <c r="Z60" s="216"/>
      <c r="AA60" s="216">
        <f>IF($Y60=0,0,IF('Plant Inputs'!J60="",0,'Plant Inputs'!J60))</f>
        <v>0</v>
      </c>
      <c r="AB60" s="216">
        <f>IF($Y60=0,0,IF('Plant Inputs'!K60="",0,'Plant Inputs'!K60))</f>
        <v>0</v>
      </c>
      <c r="AC60" s="216">
        <f>IF($Y60=0,0,IF('Plant Inputs'!L60="",0,'Plant Inputs'!L60))</f>
        <v>0</v>
      </c>
      <c r="AD60" s="216">
        <f>IF($Y60=0,0,IF('Plant Inputs'!M60="",0,'Plant Inputs'!M60))</f>
        <v>0</v>
      </c>
      <c r="AE60" s="217" t="str">
        <f>'Plant Inputs'!$O60</f>
        <v>mile</v>
      </c>
      <c r="AF60" s="217">
        <f t="shared" si="9"/>
        <v>1.6093473468862911</v>
      </c>
      <c r="AG60" s="216" t="str">
        <f t="shared" si="23"/>
        <v>km/mile</v>
      </c>
      <c r="AH60" s="216">
        <f t="shared" si="42"/>
        <v>0</v>
      </c>
      <c r="AI60" s="216">
        <f t="shared" si="42"/>
        <v>0</v>
      </c>
      <c r="AJ60" s="216">
        <f t="shared" si="42"/>
        <v>0</v>
      </c>
      <c r="AK60" s="216">
        <f t="shared" si="42"/>
        <v>0</v>
      </c>
      <c r="AL60" s="216"/>
      <c r="AM60" s="1" t="str">
        <f t="shared" si="32"/>
        <v>Extruded Polystyrene</v>
      </c>
      <c r="AN60" t="s">
        <v>128</v>
      </c>
      <c r="AO60">
        <f t="shared" si="33"/>
        <v>3.2000000000000001E-2</v>
      </c>
      <c r="AP60" s="1">
        <f t="shared" si="24"/>
        <v>0</v>
      </c>
      <c r="AQ60" s="1" t="str">
        <f t="shared" si="34"/>
        <v>board feet</v>
      </c>
      <c r="AR60" s="1">
        <f t="shared" si="14"/>
        <v>7.5511590911999998E-5</v>
      </c>
      <c r="AS60" s="87" t="str">
        <f t="shared" si="35"/>
        <v>tonne/board feet</v>
      </c>
      <c r="AT60" s="87">
        <f t="shared" si="36"/>
        <v>0</v>
      </c>
      <c r="AU60" s="87">
        <f t="shared" si="37"/>
        <v>0</v>
      </c>
      <c r="AV60" s="87">
        <f t="shared" si="18"/>
        <v>0</v>
      </c>
      <c r="AW60" t="str">
        <f t="shared" si="38"/>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IFERROR(INDEX(LCIA_Data,MATCH($AO$15&amp;CM$27,LCIA_Rows_B&amp;LCIA_Rows_C,0),MATCH(CM$26,LCIA_Columns,0)),0)*$AT60*$AJ60*$BN$23</f>
        <v>0</v>
      </c>
      <c r="CN60" s="1">
        <f t="array" ref="CN60">IFERROR(INDEX(LCIA_Data,MATCH($AO$15&amp;CN$27,LCIA_Rows_B&amp;LCIA_Rows_C,0),MATCH(CN$26,LCIA_Columns,0)),0)*$AT60*$AJ60*$BN$23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IFERROR(INDEX(LCIA_Data,MATCH($AO$15&amp;DA$27,LCIA_Rows_B&amp;LCIA_Rows_C,0),MATCH(DA$26,LCIA_Columns,0)),0)*$AT60*$AK60*$BN$23</f>
        <v>0</v>
      </c>
      <c r="DB60" s="1">
        <f t="array" ref="DB60">IFERROR(INDEX(LCIA_Data,MATCH($AO$15&amp;DB$27,LCIA_Rows_B&amp;LCIA_Rows_C,0),MATCH(DB$26,LCIA_Columns,0)),0)*$AT60*$AK60*$BN$23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f t="shared" si="41"/>
        <v>0</v>
      </c>
      <c r="DP60">
        <f t="shared" si="41"/>
        <v>0</v>
      </c>
      <c r="DQ60">
        <f t="shared" si="41"/>
        <v>0</v>
      </c>
      <c r="DR60">
        <f t="shared" si="41"/>
        <v>0</v>
      </c>
      <c r="DS60">
        <f t="shared" si="41"/>
        <v>0</v>
      </c>
      <c r="DT60">
        <f t="shared" si="41"/>
        <v>0</v>
      </c>
      <c r="DU60">
        <f t="shared" si="41"/>
        <v>0</v>
      </c>
      <c r="DV60">
        <f t="shared" si="41"/>
        <v>0</v>
      </c>
      <c r="DW60">
        <f t="shared" si="40"/>
        <v>0</v>
      </c>
      <c r="DX60">
        <f t="shared" si="40"/>
        <v>0</v>
      </c>
      <c r="DY60">
        <f t="shared" si="40"/>
        <v>0</v>
      </c>
      <c r="DZ60">
        <f t="shared" si="40"/>
        <v>0</v>
      </c>
      <c r="EA60">
        <f t="shared" si="40"/>
        <v>0</v>
      </c>
      <c r="EB60">
        <f t="shared" si="21"/>
        <v>0</v>
      </c>
      <c r="EC60"/>
      <c r="ED60"/>
      <c r="EE60"/>
      <c r="EF60"/>
      <c r="EG60"/>
    </row>
    <row r="61" spans="2:137" ht="15" customHeight="1">
      <c r="B61" s="53">
        <f t="shared" si="29"/>
        <v>0</v>
      </c>
      <c r="C61" s="26">
        <f t="shared" si="22"/>
        <v>32</v>
      </c>
      <c r="D61" s="46" t="str">
        <f>'Plant Inputs'!$D61</f>
        <v>Brick</v>
      </c>
      <c r="E61" s="99"/>
      <c r="F61" s="119" t="str">
        <f>MassDisplayUnit</f>
        <v>short ton</v>
      </c>
      <c r="G61" s="158">
        <f t="shared" si="26"/>
        <v>0</v>
      </c>
      <c r="H61" s="204" t="str">
        <f t="shared" si="7"/>
        <v>short ton</v>
      </c>
      <c r="I61" s="399">
        <f t="shared" si="8"/>
        <v>0</v>
      </c>
      <c r="J61"/>
      <c r="K61"/>
      <c r="L61"/>
      <c r="M61"/>
      <c r="N61"/>
      <c r="O61"/>
      <c r="P61"/>
      <c r="Q61"/>
      <c r="R61"/>
      <c r="S61"/>
      <c r="T61"/>
      <c r="X61" s="67">
        <f t="shared" si="30"/>
        <v>0</v>
      </c>
      <c r="Y61" s="216">
        <f>IF(AND($X61=1,'Plant Inputs'!$Y61=1),1,0)</f>
        <v>0</v>
      </c>
      <c r="Z61" s="216"/>
      <c r="AA61" s="216">
        <f>IF($Y61=0,0,IF('Plant Inputs'!J61="",0,'Plant Inputs'!J61))</f>
        <v>0</v>
      </c>
      <c r="AB61" s="216">
        <f>IF($Y61=0,0,IF('Plant Inputs'!K61="",0,'Plant Inputs'!K61))</f>
        <v>0</v>
      </c>
      <c r="AC61" s="216">
        <f>IF($Y61=0,0,IF('Plant Inputs'!L61="",0,'Plant Inputs'!L61))</f>
        <v>0</v>
      </c>
      <c r="AD61" s="216">
        <f>IF($Y61=0,0,IF('Plant Inputs'!M61="",0,'Plant Inputs'!M61))</f>
        <v>0</v>
      </c>
      <c r="AE61" s="217" t="str">
        <f>'Plant Inputs'!$O61</f>
        <v>mile</v>
      </c>
      <c r="AF61" s="217">
        <f t="shared" si="9"/>
        <v>1.6093473468862911</v>
      </c>
      <c r="AG61" s="216" t="str">
        <f t="shared" si="23"/>
        <v>km/mile</v>
      </c>
      <c r="AH61" s="216">
        <f t="shared" si="42"/>
        <v>0</v>
      </c>
      <c r="AI61" s="216">
        <f t="shared" si="42"/>
        <v>0</v>
      </c>
      <c r="AJ61" s="216">
        <f t="shared" si="42"/>
        <v>0</v>
      </c>
      <c r="AK61" s="216">
        <f t="shared" si="42"/>
        <v>0</v>
      </c>
      <c r="AL61" s="216"/>
      <c r="AM61" s="1" t="str">
        <f t="shared" si="32"/>
        <v>Brick</v>
      </c>
      <c r="AN61" t="s">
        <v>127</v>
      </c>
      <c r="AO61">
        <f t="shared" si="33"/>
        <v>0</v>
      </c>
      <c r="AP61" s="1">
        <f t="shared" si="24"/>
        <v>0</v>
      </c>
      <c r="AQ61" s="1" t="str">
        <f t="shared" si="34"/>
        <v>short ton</v>
      </c>
      <c r="AR61" s="1">
        <f t="shared" si="14"/>
        <v>0.90718499588591606</v>
      </c>
      <c r="AS61" s="87" t="str">
        <f t="shared" si="35"/>
        <v>tonne/short ton</v>
      </c>
      <c r="AT61" s="87">
        <f t="shared" si="36"/>
        <v>0</v>
      </c>
      <c r="AU61" s="87">
        <f t="shared" si="37"/>
        <v>0</v>
      </c>
      <c r="AV61" s="87">
        <f t="shared" si="18"/>
        <v>0</v>
      </c>
      <c r="AW61" t="str">
        <f t="shared" si="38"/>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IFERROR(INDEX(LCIA_Data,MATCH($AO$15&amp;CM$27,LCIA_Rows_B&amp;LCIA_Rows_C,0),MATCH(CM$26,LCIA_Columns,0)),0)*$AT61*$AJ61*$BN$23</f>
        <v>0</v>
      </c>
      <c r="CN61" s="1">
        <f t="array" ref="CN61">IFERROR(INDEX(LCIA_Data,MATCH($AO$15&amp;CN$27,LCIA_Rows_B&amp;LCIA_Rows_C,0),MATCH(CN$26,LCIA_Columns,0)),0)*$AT61*$AJ61*$BN$23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IFERROR(INDEX(LCIA_Data,MATCH($AO$15&amp;DA$27,LCIA_Rows_B&amp;LCIA_Rows_C,0),MATCH(DA$26,LCIA_Columns,0)),0)*$AT61*$AK61*$BN$23</f>
        <v>0</v>
      </c>
      <c r="DB61" s="1">
        <f t="array" ref="DB61">IFERROR(INDEX(LCIA_Data,MATCH($AO$15&amp;DB$27,LCIA_Rows_B&amp;LCIA_Rows_C,0),MATCH(DB$26,LCIA_Columns,0)),0)*$AT61*$AK61*$BN$23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f t="shared" si="41"/>
        <v>0</v>
      </c>
      <c r="DP61">
        <f t="shared" si="41"/>
        <v>0</v>
      </c>
      <c r="DQ61">
        <f t="shared" si="41"/>
        <v>0</v>
      </c>
      <c r="DR61">
        <f t="shared" si="41"/>
        <v>0</v>
      </c>
      <c r="DS61">
        <f t="shared" si="41"/>
        <v>0</v>
      </c>
      <c r="DT61">
        <f t="shared" si="41"/>
        <v>0</v>
      </c>
      <c r="DU61">
        <f t="shared" si="41"/>
        <v>0</v>
      </c>
      <c r="DV61">
        <f t="shared" si="41"/>
        <v>0</v>
      </c>
      <c r="DW61">
        <f t="shared" si="40"/>
        <v>0</v>
      </c>
      <c r="DX61">
        <f t="shared" si="40"/>
        <v>0</v>
      </c>
      <c r="DY61">
        <f t="shared" si="40"/>
        <v>0</v>
      </c>
      <c r="DZ61">
        <f t="shared" si="40"/>
        <v>0</v>
      </c>
      <c r="EA61">
        <f t="shared" si="40"/>
        <v>0</v>
      </c>
      <c r="EB61">
        <f t="shared" si="21"/>
        <v>0</v>
      </c>
      <c r="EC61"/>
      <c r="ED61"/>
      <c r="EE61"/>
      <c r="EF61"/>
      <c r="EG61"/>
    </row>
    <row r="62" spans="2:137" ht="15" customHeight="1">
      <c r="B62" s="53">
        <f t="shared" si="29"/>
        <v>0</v>
      </c>
      <c r="C62" s="26">
        <f t="shared" si="22"/>
        <v>33</v>
      </c>
      <c r="D62" s="46" t="str">
        <f>'Plant Inputs'!$D62</f>
        <v>Natural Stone</v>
      </c>
      <c r="E62" s="99"/>
      <c r="F62" s="119" t="str">
        <f>MassDisplayUnit</f>
        <v>short ton</v>
      </c>
      <c r="G62" s="158">
        <f t="shared" si="26"/>
        <v>0</v>
      </c>
      <c r="H62" s="204" t="str">
        <f t="shared" si="7"/>
        <v>short ton</v>
      </c>
      <c r="I62" s="156">
        <f t="shared" si="8"/>
        <v>0</v>
      </c>
      <c r="J62"/>
      <c r="K62"/>
      <c r="L62"/>
      <c r="M62"/>
      <c r="N62"/>
      <c r="O62"/>
      <c r="P62"/>
      <c r="Q62"/>
      <c r="R62"/>
      <c r="S62"/>
      <c r="T62"/>
      <c r="X62" s="67">
        <f t="shared" si="30"/>
        <v>0</v>
      </c>
      <c r="Y62" s="216">
        <f>IF(AND($X62=1,'Plant Inputs'!$Y62=1),1,0)</f>
        <v>0</v>
      </c>
      <c r="Z62" s="216"/>
      <c r="AA62" s="216">
        <f>IF($Y62=0,0,IF('Plant Inputs'!J62="",0,'Plant Inputs'!J62))</f>
        <v>0</v>
      </c>
      <c r="AB62" s="216">
        <f>IF($Y62=0,0,IF('Plant Inputs'!K62="",0,'Plant Inputs'!K62))</f>
        <v>0</v>
      </c>
      <c r="AC62" s="216">
        <f>IF($Y62=0,0,IF('Plant Inputs'!L62="",0,'Plant Inputs'!L62))</f>
        <v>0</v>
      </c>
      <c r="AD62" s="216">
        <f>IF($Y62=0,0,IF('Plant Inputs'!M62="",0,'Plant Inputs'!M62))</f>
        <v>0</v>
      </c>
      <c r="AE62" s="217" t="str">
        <f>'Plant Inputs'!$O62</f>
        <v>mile</v>
      </c>
      <c r="AF62" s="217">
        <f t="shared" si="9"/>
        <v>1.6093473468862911</v>
      </c>
      <c r="AG62" s="216" t="str">
        <f t="shared" si="23"/>
        <v>km/mile</v>
      </c>
      <c r="AH62" s="216">
        <f t="shared" si="42"/>
        <v>0</v>
      </c>
      <c r="AI62" s="216">
        <f t="shared" si="42"/>
        <v>0</v>
      </c>
      <c r="AJ62" s="216">
        <f t="shared" si="42"/>
        <v>0</v>
      </c>
      <c r="AK62" s="216">
        <f t="shared" si="42"/>
        <v>0</v>
      </c>
      <c r="AL62" s="216"/>
      <c r="AM62" s="1" t="str">
        <f t="shared" si="32"/>
        <v>Natural Stone</v>
      </c>
      <c r="AN62" t="s">
        <v>127</v>
      </c>
      <c r="AO62">
        <f t="shared" si="33"/>
        <v>0</v>
      </c>
      <c r="AP62" s="1">
        <f t="shared" si="24"/>
        <v>0</v>
      </c>
      <c r="AQ62" s="1" t="str">
        <f t="shared" si="34"/>
        <v>short ton</v>
      </c>
      <c r="AR62" s="1">
        <f t="shared" si="14"/>
        <v>0.90718499588591606</v>
      </c>
      <c r="AS62" s="87" t="str">
        <f t="shared" si="35"/>
        <v>tonne/short ton</v>
      </c>
      <c r="AT62" s="87">
        <f t="shared" si="36"/>
        <v>0</v>
      </c>
      <c r="AU62" s="87">
        <f t="shared" si="37"/>
        <v>0</v>
      </c>
      <c r="AV62" s="87">
        <f t="shared" si="18"/>
        <v>0</v>
      </c>
      <c r="AW62" t="str">
        <f t="shared" si="38"/>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IFERROR(INDEX(LCIA_Data,MATCH($AO$15&amp;CM$27,LCIA_Rows_B&amp;LCIA_Rows_C,0),MATCH(CM$26,LCIA_Columns,0)),0)*$AT62*$AJ62*$BN$23</f>
        <v>0</v>
      </c>
      <c r="CN62" s="1">
        <f t="array" ref="CN62">IFERROR(INDEX(LCIA_Data,MATCH($AO$15&amp;CN$27,LCIA_Rows_B&amp;LCIA_Rows_C,0),MATCH(CN$26,LCIA_Columns,0)),0)*$AT62*$AJ62*$BN$23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IFERROR(INDEX(LCIA_Data,MATCH($AO$15&amp;DA$27,LCIA_Rows_B&amp;LCIA_Rows_C,0),MATCH(DA$26,LCIA_Columns,0)),0)*$AT62*$AK62*$BN$23</f>
        <v>0</v>
      </c>
      <c r="DB62" s="1">
        <f t="array" ref="DB62">IFERROR(INDEX(LCIA_Data,MATCH($AO$15&amp;DB$27,LCIA_Rows_B&amp;LCIA_Rows_C,0),MATCH(DB$26,LCIA_Columns,0)),0)*$AT62*$AK62*$BN$23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f t="shared" si="41"/>
        <v>0</v>
      </c>
      <c r="DP62">
        <f t="shared" si="41"/>
        <v>0</v>
      </c>
      <c r="DQ62">
        <f t="shared" si="41"/>
        <v>0</v>
      </c>
      <c r="DR62">
        <f t="shared" si="41"/>
        <v>0</v>
      </c>
      <c r="DS62">
        <f t="shared" si="41"/>
        <v>0</v>
      </c>
      <c r="DT62">
        <f t="shared" si="41"/>
        <v>0</v>
      </c>
      <c r="DU62">
        <f t="shared" si="41"/>
        <v>0</v>
      </c>
      <c r="DV62">
        <f t="shared" si="41"/>
        <v>0</v>
      </c>
      <c r="DW62">
        <f t="shared" si="40"/>
        <v>0</v>
      </c>
      <c r="DX62">
        <f t="shared" si="40"/>
        <v>0</v>
      </c>
      <c r="DY62">
        <f t="shared" si="40"/>
        <v>0</v>
      </c>
      <c r="DZ62">
        <f t="shared" si="40"/>
        <v>0</v>
      </c>
      <c r="EA62">
        <f t="shared" si="40"/>
        <v>0</v>
      </c>
      <c r="EB62">
        <f t="shared" si="21"/>
        <v>0</v>
      </c>
      <c r="EC62"/>
      <c r="ED62"/>
      <c r="EE62"/>
      <c r="EF62"/>
      <c r="EG62"/>
    </row>
    <row r="63" spans="2:137" ht="15" customHeight="1" thickBot="1">
      <c r="B63" s="53">
        <f t="shared" si="29"/>
        <v>0</v>
      </c>
      <c r="C63" s="32">
        <f t="shared" si="22"/>
        <v>34</v>
      </c>
      <c r="D63" s="47" t="str">
        <f>'Plant Inputs'!$D63</f>
        <v>Pigments</v>
      </c>
      <c r="E63" s="102"/>
      <c r="F63" s="231" t="str">
        <f>MassDisplayUnit</f>
        <v>short ton</v>
      </c>
      <c r="G63" s="228">
        <f t="shared" si="26"/>
        <v>0</v>
      </c>
      <c r="H63" s="227" t="str">
        <f t="shared" si="7"/>
        <v>short ton</v>
      </c>
      <c r="I63" s="157">
        <f t="shared" si="8"/>
        <v>0</v>
      </c>
      <c r="J63"/>
      <c r="K63"/>
      <c r="L63"/>
      <c r="M63"/>
      <c r="N63"/>
      <c r="O63"/>
      <c r="P63"/>
      <c r="Q63"/>
      <c r="R63"/>
      <c r="S63"/>
      <c r="T63"/>
      <c r="X63" s="67">
        <f t="shared" si="30"/>
        <v>0</v>
      </c>
      <c r="Y63" s="216">
        <f>IF(AND($X63=1,'Plant Inputs'!$Y63=1),1,0)</f>
        <v>0</v>
      </c>
      <c r="Z63" s="216"/>
      <c r="AA63" s="216">
        <f>IF($Y63=0,0,IF('Plant Inputs'!J63="",0,'Plant Inputs'!J63))</f>
        <v>0</v>
      </c>
      <c r="AB63" s="216">
        <f>IF($Y63=0,0,IF('Plant Inputs'!K63="",0,'Plant Inputs'!K63))</f>
        <v>0</v>
      </c>
      <c r="AC63" s="216">
        <f>IF($Y63=0,0,IF('Plant Inputs'!L63="",0,'Plant Inputs'!L63))</f>
        <v>0</v>
      </c>
      <c r="AD63" s="216">
        <f>IF($Y63=0,0,IF('Plant Inputs'!M63="",0,'Plant Inputs'!M63))</f>
        <v>0</v>
      </c>
      <c r="AE63" s="217" t="str">
        <f>'Plant Inputs'!$O63</f>
        <v>mile</v>
      </c>
      <c r="AF63" s="217">
        <f t="shared" si="9"/>
        <v>1.6093473468862911</v>
      </c>
      <c r="AG63" s="216" t="str">
        <f t="shared" si="23"/>
        <v>km/mile</v>
      </c>
      <c r="AH63" s="216">
        <f t="shared" si="42"/>
        <v>0</v>
      </c>
      <c r="AI63" s="216">
        <f t="shared" si="42"/>
        <v>0</v>
      </c>
      <c r="AJ63" s="216">
        <f t="shared" si="42"/>
        <v>0</v>
      </c>
      <c r="AK63" s="216">
        <f t="shared" si="42"/>
        <v>0</v>
      </c>
      <c r="AL63" s="216"/>
      <c r="AM63" s="1" t="str">
        <f t="shared" si="32"/>
        <v>Pigments</v>
      </c>
      <c r="AN63" t="s">
        <v>127</v>
      </c>
      <c r="AO63">
        <f t="shared" si="33"/>
        <v>0</v>
      </c>
      <c r="AP63" s="1">
        <f t="shared" si="24"/>
        <v>0</v>
      </c>
      <c r="AQ63" s="1" t="str">
        <f t="shared" si="34"/>
        <v>short ton</v>
      </c>
      <c r="AR63" s="1">
        <f t="shared" si="14"/>
        <v>0.90718499588591606</v>
      </c>
      <c r="AS63" s="87" t="str">
        <f t="shared" si="35"/>
        <v>tonne/short ton</v>
      </c>
      <c r="AT63" s="87">
        <f t="shared" si="36"/>
        <v>0</v>
      </c>
      <c r="AU63" s="87">
        <f t="shared" si="37"/>
        <v>0</v>
      </c>
      <c r="AV63" s="87">
        <f t="shared" si="18"/>
        <v>0</v>
      </c>
      <c r="AW63" t="str">
        <f t="shared" si="38"/>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IFERROR(INDEX(LCIA_Data,MATCH($AO$15&amp;CM$27,LCIA_Rows_B&amp;LCIA_Rows_C,0),MATCH(CM$26,LCIA_Columns,0)),0)*$AT63*$AJ63*$BN$23</f>
        <v>0</v>
      </c>
      <c r="CN63" s="1">
        <f t="array" ref="CN63">IFERROR(INDEX(LCIA_Data,MATCH($AO$15&amp;CN$27,LCIA_Rows_B&amp;LCIA_Rows_C,0),MATCH(CN$26,LCIA_Columns,0)),0)*$AT63*$AJ63*$BN$23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IFERROR(INDEX(LCIA_Data,MATCH($AO$15&amp;DA$27,LCIA_Rows_B&amp;LCIA_Rows_C,0),MATCH(DA$26,LCIA_Columns,0)),0)*$AT63*$AK63*$BN$23</f>
        <v>0</v>
      </c>
      <c r="DB63" s="1">
        <f t="array" ref="DB63">IFERROR(INDEX(LCIA_Data,MATCH($AO$15&amp;DB$27,LCIA_Rows_B&amp;LCIA_Rows_C,0),MATCH(DB$26,LCIA_Columns,0)),0)*$AT63*$AK63*$BN$23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f t="shared" si="41"/>
        <v>0</v>
      </c>
      <c r="DP63">
        <f t="shared" si="41"/>
        <v>0</v>
      </c>
      <c r="DQ63">
        <f t="shared" si="41"/>
        <v>0</v>
      </c>
      <c r="DR63">
        <f t="shared" si="41"/>
        <v>0</v>
      </c>
      <c r="DS63">
        <f t="shared" si="41"/>
        <v>0</v>
      </c>
      <c r="DT63">
        <f t="shared" si="41"/>
        <v>0</v>
      </c>
      <c r="DU63">
        <f t="shared" si="41"/>
        <v>0</v>
      </c>
      <c r="DV63">
        <f t="shared" si="41"/>
        <v>0</v>
      </c>
      <c r="DW63">
        <f t="shared" si="40"/>
        <v>0</v>
      </c>
      <c r="DX63">
        <f t="shared" si="40"/>
        <v>0</v>
      </c>
      <c r="DY63">
        <f t="shared" si="40"/>
        <v>0</v>
      </c>
      <c r="DZ63">
        <f t="shared" si="40"/>
        <v>0</v>
      </c>
      <c r="EA63">
        <f t="shared" si="40"/>
        <v>0</v>
      </c>
      <c r="EB63">
        <f t="shared" si="21"/>
        <v>0</v>
      </c>
      <c r="EC63"/>
      <c r="ED63"/>
      <c r="EE63"/>
      <c r="EF63"/>
      <c r="EG63"/>
    </row>
    <row r="64" spans="2:137" ht="15" customHeight="1" thickBot="1">
      <c r="B64" s="53">
        <f t="shared" si="29"/>
        <v>0</v>
      </c>
      <c r="C64" s="345">
        <f t="shared" si="22"/>
        <v>35</v>
      </c>
      <c r="D64" s="346" t="str">
        <f>'Plant Inputs'!$D64</f>
        <v>Net Consumables</v>
      </c>
      <c r="E64" s="347"/>
      <c r="F64" s="348" t="str">
        <f>VolumeDisplayUnit</f>
        <v>gallon</v>
      </c>
      <c r="G64" s="349">
        <f t="shared" si="26"/>
        <v>0</v>
      </c>
      <c r="H64" s="350" t="str">
        <f t="shared" si="7"/>
        <v>short ton</v>
      </c>
      <c r="I64" s="401">
        <f t="shared" si="8"/>
        <v>0</v>
      </c>
      <c r="J64"/>
      <c r="K64"/>
      <c r="L64"/>
      <c r="M64"/>
      <c r="N64"/>
      <c r="O64"/>
      <c r="P64"/>
      <c r="Q64"/>
      <c r="R64"/>
      <c r="S64"/>
      <c r="T64"/>
      <c r="X64" s="67">
        <f t="shared" si="30"/>
        <v>0</v>
      </c>
      <c r="Y64" s="216">
        <f>IF(AND($X64=1,'Plant Inputs'!$Y64=1),1,0)</f>
        <v>0</v>
      </c>
      <c r="Z64" s="216"/>
      <c r="AA64" s="216">
        <f>IF($Y64=0,0,IF('Plant Inputs'!J64="",0,'Plant Inputs'!J64))</f>
        <v>0</v>
      </c>
      <c r="AB64" s="216">
        <f>IF($Y64=0,0,IF('Plant Inputs'!K64="",0,'Plant Inputs'!K64))</f>
        <v>0</v>
      </c>
      <c r="AC64" s="216">
        <f>IF($Y64=0,0,IF('Plant Inputs'!L64="",0,'Plant Inputs'!L64))</f>
        <v>0</v>
      </c>
      <c r="AD64" s="216">
        <f>IF($Y64=0,0,IF('Plant Inputs'!M64="",0,'Plant Inputs'!M64))</f>
        <v>0</v>
      </c>
      <c r="AE64" s="217" t="str">
        <f>'Plant Inputs'!$O64</f>
        <v>mile</v>
      </c>
      <c r="AF64" s="217">
        <f t="shared" si="9"/>
        <v>1.6093473468862911</v>
      </c>
      <c r="AG64" s="216" t="str">
        <f t="shared" si="23"/>
        <v>km/mile</v>
      </c>
      <c r="AH64" s="216">
        <f t="shared" si="42"/>
        <v>0</v>
      </c>
      <c r="AI64" s="216">
        <f t="shared" si="42"/>
        <v>0</v>
      </c>
      <c r="AJ64" s="216">
        <f t="shared" si="42"/>
        <v>0</v>
      </c>
      <c r="AK64" s="216">
        <f t="shared" si="42"/>
        <v>0</v>
      </c>
      <c r="AL64" s="216"/>
      <c r="AM64" s="1" t="str">
        <f t="shared" si="32"/>
        <v>Net Consumables</v>
      </c>
      <c r="AN64" t="s">
        <v>128</v>
      </c>
      <c r="AO64">
        <f t="shared" si="33"/>
        <v>0.9</v>
      </c>
      <c r="AP64" s="1">
        <f t="shared" si="24"/>
        <v>0</v>
      </c>
      <c r="AQ64" s="1" t="str">
        <f t="shared" si="34"/>
        <v>gallon</v>
      </c>
      <c r="AR64" s="1">
        <f t="shared" si="14"/>
        <v>3.4068708000000005E-3</v>
      </c>
      <c r="AS64" s="87" t="str">
        <f t="shared" si="35"/>
        <v>tonne/gallon</v>
      </c>
      <c r="AT64" s="87">
        <f t="shared" si="36"/>
        <v>0</v>
      </c>
      <c r="AU64" s="87">
        <f t="shared" si="37"/>
        <v>0</v>
      </c>
      <c r="AV64" s="87">
        <f t="shared" si="18"/>
        <v>0</v>
      </c>
      <c r="AW64" t="str">
        <f t="shared" si="38"/>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IFERROR(INDEX(LCIA_Data,MATCH($AO$15&amp;CM$27,LCIA_Rows_B&amp;LCIA_Rows_C,0),MATCH(CM$26,LCIA_Columns,0)),0)*$AT64*$AJ64*$BN$23</f>
        <v>0</v>
      </c>
      <c r="CN64" s="1">
        <f t="array" ref="CN64">IFERROR(INDEX(LCIA_Data,MATCH($AO$15&amp;CN$27,LCIA_Rows_B&amp;LCIA_Rows_C,0),MATCH(CN$26,LCIA_Columns,0)),0)*$AT64*$AJ64*$BN$23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IFERROR(INDEX(LCIA_Data,MATCH($AO$15&amp;DA$27,LCIA_Rows_B&amp;LCIA_Rows_C,0),MATCH(DA$26,LCIA_Columns,0)),0)*$AT64*$AK64*$BN$23</f>
        <v>0</v>
      </c>
      <c r="DB64" s="1">
        <f t="array" ref="DB64">IFERROR(INDEX(LCIA_Data,MATCH($AO$15&amp;DB$27,LCIA_Rows_B&amp;LCIA_Rows_C,0),MATCH(DB$26,LCIA_Columns,0)),0)*$AT64*$AK64*$BN$23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f t="shared" si="41"/>
        <v>0</v>
      </c>
      <c r="DP64">
        <f t="shared" si="41"/>
        <v>0</v>
      </c>
      <c r="DQ64">
        <f t="shared" si="41"/>
        <v>0</v>
      </c>
      <c r="DR64">
        <f t="shared" si="41"/>
        <v>0</v>
      </c>
      <c r="DS64">
        <f t="shared" si="41"/>
        <v>0</v>
      </c>
      <c r="DT64">
        <f t="shared" si="41"/>
        <v>0</v>
      </c>
      <c r="DU64">
        <f t="shared" si="41"/>
        <v>0</v>
      </c>
      <c r="DV64">
        <f t="shared" si="41"/>
        <v>0</v>
      </c>
      <c r="DW64">
        <f t="shared" si="40"/>
        <v>0</v>
      </c>
      <c r="DX64">
        <f t="shared" si="40"/>
        <v>0</v>
      </c>
      <c r="DY64">
        <f t="shared" si="40"/>
        <v>0</v>
      </c>
      <c r="DZ64">
        <f t="shared" si="40"/>
        <v>0</v>
      </c>
      <c r="EA64">
        <f t="shared" si="40"/>
        <v>0</v>
      </c>
      <c r="EB64">
        <f t="shared" si="21"/>
        <v>0</v>
      </c>
      <c r="EC64"/>
      <c r="ED64"/>
      <c r="EE64"/>
      <c r="EF64"/>
      <c r="EG64"/>
    </row>
    <row r="65" spans="2:137" ht="15" customHeight="1" thickBot="1">
      <c r="B65" s="53">
        <f>X65</f>
        <v>0</v>
      </c>
      <c r="C65" s="221">
        <f t="shared" si="22"/>
        <v>36</v>
      </c>
      <c r="D65" s="222" t="str">
        <f>'Plant Inputs'!$D65</f>
        <v>Total Batch Water Use</v>
      </c>
      <c r="E65" s="343"/>
      <c r="F65" s="240" t="str">
        <f>WaterTotalDisplayUnit</f>
        <v>kgal</v>
      </c>
      <c r="G65" s="224">
        <f t="shared" si="26"/>
        <v>0</v>
      </c>
      <c r="H65" s="225" t="str">
        <f t="shared" si="7"/>
        <v>short ton</v>
      </c>
      <c r="I65" s="344">
        <f t="shared" si="8"/>
        <v>0</v>
      </c>
      <c r="J65"/>
      <c r="K65"/>
      <c r="L65"/>
      <c r="M65" s="50"/>
      <c r="N65" s="50"/>
      <c r="O65" s="50"/>
      <c r="P65" s="50"/>
      <c r="Q65" s="50"/>
      <c r="R65" s="50"/>
      <c r="S65" s="50"/>
      <c r="T65"/>
      <c r="X65" s="67">
        <f t="shared" si="30"/>
        <v>0</v>
      </c>
      <c r="Y65" s="216">
        <f>IF(AND($X65=1,'Plant Inputs'!$Y65=1),1,0)</f>
        <v>0</v>
      </c>
      <c r="Z65" s="216"/>
      <c r="AA65" s="216"/>
      <c r="AB65" s="216"/>
      <c r="AC65" s="216"/>
      <c r="AD65" s="216"/>
      <c r="AE65" s="217"/>
      <c r="AF65" s="217"/>
      <c r="AG65" s="216"/>
      <c r="AH65" s="216"/>
      <c r="AI65" s="216"/>
      <c r="AJ65" s="216"/>
      <c r="AK65" s="216"/>
      <c r="AL65" s="216"/>
      <c r="AM65" s="1" t="str">
        <f>D65</f>
        <v>Total Batch Water Use</v>
      </c>
      <c r="AN65" t="s">
        <v>128</v>
      </c>
      <c r="AO65">
        <f t="shared" si="33"/>
        <v>1</v>
      </c>
      <c r="AP65" s="1">
        <f t="shared" si="24"/>
        <v>0</v>
      </c>
      <c r="AQ65" s="1" t="str">
        <f t="shared" si="34"/>
        <v>kgal</v>
      </c>
      <c r="AR65" s="1">
        <f t="shared" si="14"/>
        <v>3.7854120000000004</v>
      </c>
      <c r="AS65" s="87" t="str">
        <f t="shared" si="35"/>
        <v>tonne/kgal</v>
      </c>
      <c r="AT65" s="87">
        <f t="shared" si="36"/>
        <v>0</v>
      </c>
      <c r="AU65" s="87">
        <f t="shared" si="37"/>
        <v>0</v>
      </c>
      <c r="AV65" s="87">
        <f t="shared" si="18"/>
        <v>0</v>
      </c>
      <c r="AW65" t="str">
        <f t="shared" si="38"/>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R65" s="1"/>
      <c r="BS65" s="1"/>
      <c r="BT65" s="1"/>
      <c r="BU65" s="1"/>
      <c r="BV65" s="1"/>
      <c r="BW65" s="1"/>
      <c r="BX65" s="1"/>
      <c r="BY65" s="1"/>
      <c r="BZ65" s="1"/>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row>
    <row r="66" spans="2:137" ht="15" customHeight="1">
      <c r="B66" s="53">
        <f>X66</f>
        <v>0</v>
      </c>
      <c r="C66" s="26">
        <f t="shared" si="22"/>
        <v>37</v>
      </c>
      <c r="D66" s="46" t="str">
        <f>'Plant Inputs'!$D66</f>
        <v>Total Plant Water Use</v>
      </c>
      <c r="E66" s="422">
        <f>'Plant Inputs'!$AY$12*$AR$18*INDEX(Conversion_Table,MATCH(WaterCalcUnit,Conversion_Rows,0),MATCH($F$66,Conversion_Columns,0))</f>
        <v>0</v>
      </c>
      <c r="F66" s="204" t="str">
        <f>'Plant Inputs'!F66</f>
        <v>kgal</v>
      </c>
      <c r="G66" s="158">
        <f t="shared" si="26"/>
        <v>0</v>
      </c>
      <c r="H66" s="213" t="str">
        <f t="shared" si="7"/>
        <v>short ton</v>
      </c>
      <c r="I66" s="219"/>
      <c r="J66"/>
      <c r="K66"/>
      <c r="L66"/>
      <c r="M66" s="50"/>
      <c r="N66" s="50"/>
      <c r="O66" s="50"/>
      <c r="P66" s="50"/>
      <c r="Q66" s="50"/>
      <c r="R66" s="50"/>
      <c r="S66" s="50"/>
      <c r="T66" s="51"/>
      <c r="X66" s="67">
        <f>'Plant Inputs'!X66</f>
        <v>0</v>
      </c>
      <c r="Y66" s="216">
        <f>IF(AND($X66=1,'Plant Inputs'!$Y66=1),1,0)</f>
        <v>0</v>
      </c>
      <c r="Z66" s="216"/>
      <c r="AA66" s="216"/>
      <c r="AB66" s="216"/>
      <c r="AC66" s="216"/>
      <c r="AD66" s="216"/>
      <c r="AE66" s="217"/>
      <c r="AF66" s="217"/>
      <c r="AG66" s="216"/>
      <c r="AH66" s="216"/>
      <c r="AI66" s="216"/>
      <c r="AJ66" s="216"/>
      <c r="AK66" s="216"/>
      <c r="AL66" s="216"/>
      <c r="AM66" s="1" t="str">
        <f>D66</f>
        <v>Total Plant Water Use</v>
      </c>
      <c r="AN66" t="s">
        <v>128</v>
      </c>
      <c r="AO66">
        <f>VLOOKUP(AM66,Material_Densities,2,FALSE)</f>
        <v>1</v>
      </c>
      <c r="AP66" s="1">
        <f t="shared" si="24"/>
        <v>0</v>
      </c>
      <c r="AQ66" s="1" t="str">
        <f>F66</f>
        <v>kgal</v>
      </c>
      <c r="AR66" s="1">
        <f t="shared" si="14"/>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 t="array" ref="AX66">IFERROR(INDEX(LCIA_Data,MATCH($AO$15&amp;AX$27,LCIA_Rows_B&amp;LCIA_Rows_C,0),MATCH($D66,LCIA_Columns,0)),0)*$AU66</f>
        <v>0</v>
      </c>
      <c r="AY66" s="148">
        <f t="array" ref="AY66">IFERROR(INDEX(LCIA_Data,MATCH($AO$15&amp;AY$27,LCIA_Rows_B&amp;LCIA_Rows_C,0),MATCH($D66,LCIA_Columns,0)),0)*$AU66</f>
        <v>0</v>
      </c>
      <c r="AZ66" s="148">
        <f t="array" ref="AZ66">IFERROR(INDEX(LCIA_Data,MATCH($AO$15&amp;AZ$27,LCIA_Rows_B&amp;LCIA_Rows_C,0),MATCH($D66,LCIA_Columns,0)),0)*$AU66</f>
        <v>0</v>
      </c>
      <c r="BA66" s="148">
        <f t="array" ref="BA66">IFERROR(INDEX(LCIA_Data,MATCH($AO$15&amp;BA$27,LCIA_Rows_B&amp;LCIA_Rows_C,0),MATCH($D66,LCIA_Columns,0)),0)*$AU66</f>
        <v>0</v>
      </c>
      <c r="BB66" s="148">
        <f t="array" ref="BB66">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R66" s="1"/>
      <c r="BS66" s="1"/>
      <c r="BT66" s="1"/>
      <c r="BU66" s="1"/>
      <c r="BV66" s="1"/>
      <c r="BW66" s="1"/>
      <c r="BX66" s="1"/>
      <c r="BY66" s="1"/>
      <c r="BZ66" s="1"/>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row>
    <row r="67" spans="2:137" ht="15" customHeight="1" thickBot="1">
      <c r="B67" s="53">
        <f>X67</f>
        <v>0</v>
      </c>
      <c r="C67" s="32">
        <f t="shared" si="22"/>
        <v>38</v>
      </c>
      <c r="D67" s="47" t="str">
        <f>'Plant Inputs'!$D67</f>
        <v>Percentage of Batch Water that is Recycled Water</v>
      </c>
      <c r="E67" s="423">
        <f>'Plant Inputs'!E67</f>
        <v>0</v>
      </c>
      <c r="F67" s="204" t="s">
        <v>153</v>
      </c>
      <c r="G67" s="158"/>
      <c r="H67" s="213"/>
      <c r="I67" s="218"/>
      <c r="J67"/>
      <c r="K67"/>
      <c r="L67"/>
      <c r="M67" s="50"/>
      <c r="N67" s="50"/>
      <c r="O67" s="50"/>
      <c r="P67" s="50"/>
      <c r="Q67" s="50"/>
      <c r="R67" s="50"/>
      <c r="S67" s="50"/>
      <c r="T67" s="51"/>
      <c r="X67" s="67">
        <f>'Plant Inputs'!X67</f>
        <v>0</v>
      </c>
      <c r="Y67" s="216">
        <f>IF(AND($X67=1,'Plant Inputs'!$Y67=1),1,0)</f>
        <v>0</v>
      </c>
      <c r="Z67" s="216"/>
      <c r="AA67" s="216"/>
      <c r="AB67" s="216"/>
      <c r="AC67" s="216"/>
      <c r="AD67" s="216"/>
      <c r="AE67" s="217"/>
      <c r="AF67" s="217"/>
      <c r="AG67" s="216"/>
      <c r="AH67" s="216"/>
      <c r="AI67" s="216"/>
      <c r="AJ67" s="216"/>
      <c r="AK67" s="216"/>
      <c r="AL67" s="216"/>
      <c r="AM67" s="89" t="str">
        <f>D67</f>
        <v>Percentage of Batch Water that is Recycled Water</v>
      </c>
      <c r="AN67" s="90" t="s">
        <v>128</v>
      </c>
      <c r="AO67" s="90">
        <f>VLOOKUP(AM67,Material_Densities,2,FALSE)</f>
        <v>0</v>
      </c>
      <c r="AP67" s="89">
        <f t="shared" si="24"/>
        <v>0</v>
      </c>
      <c r="AQ67" s="89" t="str">
        <f>F67</f>
        <v>%</v>
      </c>
      <c r="AR67" s="89">
        <f>IFERROR(IF($AN67="M",INDEX(Conversion_Table,MATCH($AQ67,Conversion_Rows,0),MATCH($AT$29,Conversion_Columns,0)),IF($AN67="V",INDEX(Conversion_Table,MATCH($AQ67,Conversion_Rows,0),MATCH("m3",Conversion_Columns,0))*$AO67)),0)</f>
        <v>0</v>
      </c>
      <c r="AS67" s="91" t="str">
        <f>$AT$29&amp;"/"&amp;AQ67</f>
        <v>tonne/%</v>
      </c>
      <c r="AT67" s="91">
        <f>AP67*AR67</f>
        <v>0</v>
      </c>
      <c r="AU67" s="91">
        <f>INDEX(Conversion_Table,MATCH($AT$29,Conversion_Rows,0),MATCH($AU$29,Conversion_Columns,0))*AT67</f>
        <v>0</v>
      </c>
      <c r="AV67" s="91"/>
      <c r="AW67" s="90" t="str">
        <f>AM67</f>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R67" s="1"/>
      <c r="BS67" s="1"/>
      <c r="BT67" s="1"/>
      <c r="BU67" s="1"/>
      <c r="BV67" s="1"/>
      <c r="BW67" s="1"/>
      <c r="BX67" s="1"/>
      <c r="BY67" s="1"/>
      <c r="BZ67" s="1"/>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row>
    <row r="68" spans="2:137" ht="15" customHeight="1" thickBot="1">
      <c r="F68" s="92" t="s">
        <v>209</v>
      </c>
      <c r="G68" s="159">
        <f>SUM(G30:G65)-G64-G48</f>
        <v>0</v>
      </c>
      <c r="H68" s="214" t="str">
        <f>MassDisplayUnit</f>
        <v>short ton</v>
      </c>
      <c r="J68"/>
      <c r="K68"/>
      <c r="L68"/>
      <c r="M68" s="38"/>
      <c r="N68" s="38"/>
      <c r="O68" s="38"/>
      <c r="P68" s="38"/>
      <c r="Q68" s="38"/>
      <c r="R68" s="38"/>
      <c r="S68" s="38"/>
      <c r="T68" s="71"/>
      <c r="AN68" s="1"/>
      <c r="AO68" s="1"/>
      <c r="AP68" s="1"/>
      <c r="AS68" t="s">
        <v>486</v>
      </c>
      <c r="AT68" s="87">
        <f>SUM(AT30:AT65)</f>
        <v>0</v>
      </c>
      <c r="AU68" s="87">
        <f>SUM(AU30:AU65)</f>
        <v>0</v>
      </c>
      <c r="AV68" s="87"/>
      <c r="AX68" s="146">
        <f>SUM(AX30:AX64)+AX66</f>
        <v>0</v>
      </c>
      <c r="AY68" s="146">
        <f t="shared" ref="AY68:BC68" si="43">SUM(AY30:AY64)+AY66</f>
        <v>0</v>
      </c>
      <c r="AZ68" s="146">
        <f t="shared" si="43"/>
        <v>0</v>
      </c>
      <c r="BA68" s="146">
        <f t="shared" si="43"/>
        <v>0</v>
      </c>
      <c r="BB68" s="146">
        <f t="shared" si="43"/>
        <v>0</v>
      </c>
      <c r="BC68" s="146">
        <f t="shared" si="43"/>
        <v>0</v>
      </c>
      <c r="BD68" s="146">
        <f>SUM(BD30:BD64)+BD66</f>
        <v>0</v>
      </c>
      <c r="BE68" s="146">
        <f t="shared" ref="BE68:BH68" si="44">SUM(BE30:BE64)+BE66</f>
        <v>0</v>
      </c>
      <c r="BF68" s="146">
        <f t="shared" si="44"/>
        <v>0</v>
      </c>
      <c r="BG68" s="146">
        <f t="shared" si="44"/>
        <v>0</v>
      </c>
      <c r="BH68" s="146">
        <f t="shared" si="44"/>
        <v>0</v>
      </c>
      <c r="BI68" s="146">
        <f t="shared" ref="BI68:BK68" si="45">SUM(BI30:BI64)+BI66</f>
        <v>0</v>
      </c>
      <c r="BJ68" s="146">
        <f t="shared" si="45"/>
        <v>0</v>
      </c>
      <c r="BK68" s="146">
        <f t="shared" si="45"/>
        <v>0</v>
      </c>
      <c r="BM68">
        <f>SUM(BM30:BM64)</f>
        <v>0</v>
      </c>
      <c r="BN68">
        <f t="shared" ref="BN68:BZ68" si="46">SUM(BN30:BN64)</f>
        <v>0</v>
      </c>
      <c r="BO68">
        <f t="shared" si="46"/>
        <v>0</v>
      </c>
      <c r="BP68">
        <f t="shared" si="46"/>
        <v>0</v>
      </c>
      <c r="BQ68">
        <f t="shared" si="46"/>
        <v>0</v>
      </c>
      <c r="BR68">
        <f t="shared" si="46"/>
        <v>0</v>
      </c>
      <c r="BS68">
        <f t="shared" si="46"/>
        <v>0</v>
      </c>
      <c r="BT68">
        <f t="shared" si="46"/>
        <v>0</v>
      </c>
      <c r="BU68">
        <f t="shared" si="46"/>
        <v>0</v>
      </c>
      <c r="BV68">
        <f t="shared" si="46"/>
        <v>0</v>
      </c>
      <c r="BW68">
        <f t="shared" si="46"/>
        <v>0</v>
      </c>
      <c r="BX68">
        <f t="shared" si="46"/>
        <v>0</v>
      </c>
      <c r="BY68">
        <f t="shared" si="46"/>
        <v>0</v>
      </c>
      <c r="BZ68">
        <f t="shared" si="46"/>
        <v>0</v>
      </c>
      <c r="CA68">
        <f>SUM(CA30:CA64)</f>
        <v>0</v>
      </c>
      <c r="CB68">
        <f t="shared" ref="CB68:CL68" si="47">SUM(CB30:CB64)</f>
        <v>0</v>
      </c>
      <c r="CC68">
        <f t="shared" si="47"/>
        <v>0</v>
      </c>
      <c r="CD68">
        <f t="shared" si="47"/>
        <v>0</v>
      </c>
      <c r="CE68">
        <f t="shared" si="47"/>
        <v>0</v>
      </c>
      <c r="CF68">
        <f t="shared" si="47"/>
        <v>0</v>
      </c>
      <c r="CG68">
        <f t="shared" si="47"/>
        <v>0</v>
      </c>
      <c r="CH68">
        <f t="shared" si="47"/>
        <v>0</v>
      </c>
      <c r="CI68">
        <f t="shared" si="47"/>
        <v>0</v>
      </c>
      <c r="CJ68">
        <f t="shared" si="47"/>
        <v>0</v>
      </c>
      <c r="CK68">
        <f t="shared" si="47"/>
        <v>0</v>
      </c>
      <c r="CL68">
        <f t="shared" si="47"/>
        <v>0</v>
      </c>
      <c r="CM68">
        <f>SUM(CM30:CM64)</f>
        <v>0</v>
      </c>
      <c r="CN68">
        <f t="shared" ref="CN68:CZ68" si="48">SUM(CN30:CN64)</f>
        <v>0</v>
      </c>
      <c r="CO68">
        <f t="shared" si="48"/>
        <v>0</v>
      </c>
      <c r="CP68">
        <f t="shared" si="48"/>
        <v>0</v>
      </c>
      <c r="CQ68">
        <f t="shared" si="48"/>
        <v>0</v>
      </c>
      <c r="CR68">
        <f t="shared" si="48"/>
        <v>0</v>
      </c>
      <c r="CS68">
        <f t="shared" si="48"/>
        <v>0</v>
      </c>
      <c r="CT68">
        <f t="shared" si="48"/>
        <v>0</v>
      </c>
      <c r="CU68">
        <f t="shared" si="48"/>
        <v>0</v>
      </c>
      <c r="CV68">
        <f t="shared" si="48"/>
        <v>0</v>
      </c>
      <c r="CW68">
        <f t="shared" si="48"/>
        <v>0</v>
      </c>
      <c r="CX68">
        <f t="shared" si="48"/>
        <v>0</v>
      </c>
      <c r="CY68">
        <f t="shared" si="48"/>
        <v>0</v>
      </c>
      <c r="CZ68">
        <f t="shared" si="48"/>
        <v>0</v>
      </c>
      <c r="DA68">
        <f>SUM(DA30:DA64)</f>
        <v>0</v>
      </c>
      <c r="DB68">
        <f t="shared" ref="DB68:DN68" si="49">SUM(DB30:DB64)</f>
        <v>0</v>
      </c>
      <c r="DC68">
        <f t="shared" si="49"/>
        <v>0</v>
      </c>
      <c r="DD68">
        <f t="shared" si="49"/>
        <v>0</v>
      </c>
      <c r="DE68">
        <f t="shared" si="49"/>
        <v>0</v>
      </c>
      <c r="DF68">
        <f t="shared" si="49"/>
        <v>0</v>
      </c>
      <c r="DG68">
        <f t="shared" si="49"/>
        <v>0</v>
      </c>
      <c r="DH68">
        <f t="shared" si="49"/>
        <v>0</v>
      </c>
      <c r="DI68">
        <f t="shared" si="49"/>
        <v>0</v>
      </c>
      <c r="DJ68">
        <f t="shared" si="49"/>
        <v>0</v>
      </c>
      <c r="DK68">
        <f t="shared" si="49"/>
        <v>0</v>
      </c>
      <c r="DL68">
        <f t="shared" si="49"/>
        <v>0</v>
      </c>
      <c r="DM68">
        <f t="shared" si="49"/>
        <v>0</v>
      </c>
      <c r="DN68">
        <f t="shared" si="49"/>
        <v>0</v>
      </c>
      <c r="DO68">
        <f>SUM(DO30:DO64)</f>
        <v>0</v>
      </c>
      <c r="DP68">
        <f t="shared" ref="DP68:DS68" si="50">SUM(DP30:DP64)</f>
        <v>0</v>
      </c>
      <c r="DQ68">
        <f t="shared" si="50"/>
        <v>0</v>
      </c>
      <c r="DR68">
        <f t="shared" si="50"/>
        <v>0</v>
      </c>
      <c r="DS68">
        <f t="shared" si="50"/>
        <v>0</v>
      </c>
      <c r="DT68">
        <f>SUM(DT30:DT64)</f>
        <v>0</v>
      </c>
      <c r="DU68">
        <f t="shared" ref="DU68:EA68" si="51">SUM(DU30:DU64)</f>
        <v>0</v>
      </c>
      <c r="DV68">
        <f t="shared" si="51"/>
        <v>0</v>
      </c>
      <c r="DW68">
        <f t="shared" si="51"/>
        <v>0</v>
      </c>
      <c r="DX68">
        <f t="shared" si="51"/>
        <v>0</v>
      </c>
      <c r="DY68">
        <f t="shared" si="51"/>
        <v>0</v>
      </c>
      <c r="DZ68">
        <f t="shared" si="51"/>
        <v>0</v>
      </c>
      <c r="EA68">
        <f t="shared" si="51"/>
        <v>0</v>
      </c>
      <c r="EB68">
        <f>SUM(EB30:EB64)</f>
        <v>0</v>
      </c>
      <c r="EC68"/>
      <c r="ED68"/>
      <c r="EE68"/>
      <c r="EF68"/>
      <c r="EG68"/>
    </row>
    <row r="69" spans="2:137" ht="15" customHeight="1">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c r="CB69"/>
      <c r="CC69"/>
      <c r="CD69"/>
      <c r="CE69"/>
      <c r="CF69"/>
      <c r="CG69"/>
      <c r="CH69"/>
      <c r="CI69"/>
      <c r="CJ69"/>
      <c r="CK69"/>
      <c r="CL69"/>
      <c r="CM69"/>
      <c r="CN69"/>
      <c r="CO69"/>
      <c r="CP69"/>
      <c r="CQ69"/>
      <c r="CR69"/>
      <c r="CS69" s="318">
        <f>DO68-$BM71</f>
        <v>0</v>
      </c>
      <c r="CT69" s="318">
        <f>DP68-$BM71</f>
        <v>0</v>
      </c>
      <c r="CU69" s="318">
        <f>DQ68-$BM71</f>
        <v>0</v>
      </c>
      <c r="CV69" s="318">
        <f>DR68-$BM71</f>
        <v>0</v>
      </c>
      <c r="CW69" s="318">
        <f>DS68-$BM71</f>
        <v>0</v>
      </c>
      <c r="CX69" s="318">
        <f t="shared" ref="CX69:CY69" si="52">DT68-$BM71</f>
        <v>0</v>
      </c>
      <c r="CY69" s="318">
        <f t="shared" si="52"/>
        <v>0</v>
      </c>
      <c r="CZ69" s="318">
        <f>DT68-$BM71</f>
        <v>0</v>
      </c>
      <c r="DA69" s="318"/>
      <c r="DB69" s="318"/>
      <c r="DC69" s="318"/>
      <c r="DD69" s="318"/>
      <c r="DE69" s="318"/>
      <c r="DF69" s="318">
        <f>EB68-$BZ71</f>
        <v>0</v>
      </c>
      <c r="DG69"/>
      <c r="DH69"/>
      <c r="DI69"/>
      <c r="DJ69"/>
      <c r="DK69"/>
    </row>
    <row r="70" spans="2:137" ht="15" hidden="1" customHeight="1"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7" ht="21" hidden="1" thickBot="1">
      <c r="C71" s="16" t="s">
        <v>244</v>
      </c>
      <c r="D71" s="17"/>
      <c r="E71" s="17"/>
      <c r="F71" s="17"/>
      <c r="G71" s="17"/>
      <c r="H71" s="17"/>
      <c r="I71" s="17"/>
      <c r="J71" s="18"/>
      <c r="K71"/>
      <c r="L71"/>
      <c r="AN71" s="1"/>
      <c r="AO71" s="1"/>
      <c r="AP71" s="1"/>
      <c r="BL71" s="143" t="s">
        <v>726</v>
      </c>
      <c r="BM71" s="144">
        <f t="shared" ref="BM71:BY71" si="53">BM$68+CA$68+CM$68+DA$68</f>
        <v>0</v>
      </c>
      <c r="BN71" s="144">
        <f t="shared" si="53"/>
        <v>0</v>
      </c>
      <c r="BO71" s="144">
        <f t="shared" si="53"/>
        <v>0</v>
      </c>
      <c r="BP71" s="144">
        <f t="shared" si="53"/>
        <v>0</v>
      </c>
      <c r="BQ71" s="144">
        <f t="shared" si="53"/>
        <v>0</v>
      </c>
      <c r="BR71" s="144">
        <f t="shared" si="53"/>
        <v>0</v>
      </c>
      <c r="BS71" s="144">
        <f t="shared" si="53"/>
        <v>0</v>
      </c>
      <c r="BT71" s="144">
        <f t="shared" si="53"/>
        <v>0</v>
      </c>
      <c r="BU71" s="144">
        <f t="shared" si="53"/>
        <v>0</v>
      </c>
      <c r="BV71" s="144">
        <f t="shared" si="53"/>
        <v>0</v>
      </c>
      <c r="BW71" s="144">
        <f t="shared" si="53"/>
        <v>0</v>
      </c>
      <c r="BX71" s="144">
        <f t="shared" si="53"/>
        <v>0</v>
      </c>
      <c r="BY71" s="144">
        <f t="shared" si="53"/>
        <v>0</v>
      </c>
      <c r="BZ71" s="144">
        <f>BZ$68+CL$68+CZ$68+DN$68</f>
        <v>0</v>
      </c>
      <c r="CA71"/>
      <c r="CB71"/>
      <c r="CC71"/>
      <c r="CD71"/>
      <c r="CE71"/>
      <c r="CF71"/>
      <c r="CG71"/>
      <c r="CH71"/>
    </row>
    <row r="72" spans="2:137" ht="15" hidden="1" customHeight="1" thickBot="1">
      <c r="C72" s="73" t="s">
        <v>245</v>
      </c>
      <c r="D72" s="74"/>
      <c r="E72" s="74"/>
      <c r="F72" s="74"/>
      <c r="G72" s="74"/>
      <c r="H72" s="74"/>
      <c r="I72" s="131"/>
      <c r="J72" s="165"/>
      <c r="K72"/>
      <c r="L72"/>
      <c r="AN72" s="1"/>
      <c r="AO72" s="1"/>
      <c r="AP72" s="1"/>
    </row>
    <row r="73" spans="2:137" ht="30" hidden="1" customHeight="1">
      <c r="C73" s="31"/>
      <c r="I73" s="663" t="s">
        <v>208</v>
      </c>
      <c r="J73" s="689" t="s">
        <v>262</v>
      </c>
      <c r="K73"/>
      <c r="L73"/>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7" ht="30" hidden="1" customHeight="1">
      <c r="C74" s="21"/>
      <c r="D74" s="30"/>
      <c r="E74" s="30"/>
      <c r="F74" s="30"/>
      <c r="G74" s="30"/>
      <c r="H74" s="30"/>
      <c r="I74" s="664"/>
      <c r="J74" s="690"/>
      <c r="K74"/>
      <c r="L74"/>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7" ht="33.75" hidden="1" customHeight="1">
      <c r="C75" s="355" t="s">
        <v>2</v>
      </c>
      <c r="D75" s="356" t="s">
        <v>10</v>
      </c>
      <c r="E75" s="402" t="s">
        <v>116</v>
      </c>
      <c r="F75" s="167" t="s">
        <v>6</v>
      </c>
      <c r="G75" s="168" t="str">
        <f>IF($Y$2="Custom","Custom Project Operating Energy","Operating Energy
 of Category "&amp;$Y$2)</f>
        <v>Operating Energy
 of Category C</v>
      </c>
      <c r="H75" s="167" t="s">
        <v>6</v>
      </c>
      <c r="I75" s="135" t="str">
        <f>TRACITotalDisplayUnit</f>
        <v>short ton</v>
      </c>
      <c r="J75" s="166" t="str">
        <f>EnergyTotalDisplayUnit</f>
        <v>MMBtu</v>
      </c>
      <c r="K75"/>
      <c r="L75"/>
      <c r="Y75"/>
      <c r="Z75"/>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7" ht="15" hidden="1" customHeight="1">
      <c r="B76" s="53">
        <f t="shared" ref="B76:B86" si="54">X76</f>
        <v>0</v>
      </c>
      <c r="C76" s="26">
        <v>1</v>
      </c>
      <c r="D76" s="46" t="s">
        <v>78</v>
      </c>
      <c r="E76" s="420">
        <f>'Plant Inputs'!$G76</f>
        <v>0</v>
      </c>
      <c r="F76" s="204" t="str">
        <f>'Plant Inputs'!$H76</f>
        <v>kWh/short ton</v>
      </c>
      <c r="G76" s="160">
        <f t="shared" ref="G76:G86" si="55">$E76*$E$18</f>
        <v>0</v>
      </c>
      <c r="H76" s="204" t="str">
        <f t="shared" ref="H76:H86" si="56">LEFT(F76,FIND("/",F76)-1)</f>
        <v>kWh</v>
      </c>
      <c r="I76" s="160">
        <f>$BI76</f>
        <v>0</v>
      </c>
      <c r="J76" s="177">
        <f>$BN76</f>
        <v>0</v>
      </c>
      <c r="K76"/>
      <c r="L76"/>
      <c r="X76" s="65">
        <f>'Plant Inputs'!$X76</f>
        <v>0</v>
      </c>
      <c r="Y76" s="216">
        <f>IF(AND($X76=1,'Plant Inputs'!$Y76=1),1,0)</f>
        <v>0</v>
      </c>
      <c r="Z76" s="216"/>
      <c r="AA76" s="216"/>
      <c r="AB76" s="216"/>
      <c r="AC76" s="216"/>
      <c r="AD76" s="216"/>
      <c r="AE76" s="216"/>
      <c r="AF76" s="216"/>
      <c r="AG76" s="216"/>
      <c r="AH76" s="216"/>
      <c r="AI76" s="216"/>
      <c r="AJ76" s="216"/>
      <c r="AK76" s="216"/>
      <c r="AL76" s="216"/>
      <c r="AM76" s="1" t="str">
        <f t="shared" ref="AM76:AM86" si="57">D76</f>
        <v>Purchased Electricity (from Regional Electricity Grid)</v>
      </c>
      <c r="AN76" s="403">
        <f>G76</f>
        <v>0</v>
      </c>
      <c r="AO76" s="164" t="str">
        <f>H76</f>
        <v>kWh</v>
      </c>
      <c r="AP76" s="1">
        <f t="shared" ref="AP76:AP86" si="58">INDEX(Conversion_Table,MATCH($AS76,Conversion_Rows,0),MATCH($AO76,Conversion_Columns,0))</f>
        <v>1</v>
      </c>
      <c r="AQ76" s="87" t="str">
        <f t="shared" ref="AQ76:AQ86" si="59">AO76&amp;"/"&amp;$AS76</f>
        <v>kWh/kWh</v>
      </c>
      <c r="AR76">
        <f t="shared" ref="AR76:AR86" si="60">AN76/AP76</f>
        <v>0</v>
      </c>
      <c r="AS76" s="87" t="str">
        <f>'CPCI Data'!$W$12</f>
        <v>kWh</v>
      </c>
      <c r="AT76">
        <f>$AO$15</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V87" si="61">IF($AR$18=0,0,AU76*INDEX(Conversion_Table,MATCH(AU$75,Conversion_Rows,0),MATCH(BI$75,Conversion_Columns,0)))</f>
        <v>0</v>
      </c>
      <c r="BJ76" s="360">
        <f t="shared" si="61"/>
        <v>0</v>
      </c>
      <c r="BK76" s="360">
        <f t="shared" si="61"/>
        <v>0</v>
      </c>
      <c r="BL76" s="360">
        <f t="shared" si="61"/>
        <v>0</v>
      </c>
      <c r="BM76" s="360">
        <f t="shared" si="61"/>
        <v>0</v>
      </c>
      <c r="BN76" s="360">
        <f t="shared" si="61"/>
        <v>0</v>
      </c>
      <c r="BO76" s="360">
        <f t="shared" si="61"/>
        <v>0</v>
      </c>
      <c r="BP76" s="360">
        <f t="shared" si="61"/>
        <v>0</v>
      </c>
      <c r="BQ76" s="360">
        <f t="shared" si="61"/>
        <v>0</v>
      </c>
      <c r="BR76" s="360">
        <f t="shared" si="61"/>
        <v>0</v>
      </c>
      <c r="BS76" s="360">
        <f t="shared" si="61"/>
        <v>0</v>
      </c>
      <c r="BT76" s="360">
        <f t="shared" si="61"/>
        <v>0</v>
      </c>
      <c r="BU76" s="360">
        <f t="shared" si="61"/>
        <v>0</v>
      </c>
      <c r="BV76" s="360">
        <f t="shared" si="61"/>
        <v>0</v>
      </c>
      <c r="BW76" s="362">
        <f t="shared" ref="BW76:CJ87" si="62">IF($AT$18=0,0,AU76*INDEX(Conversion_Table,MATCH(AU$75,Conversion_Rows,0),MATCH(BW$75,Conversion_Columns,0))/$AT$18)</f>
        <v>0</v>
      </c>
      <c r="BX76" s="362">
        <f t="shared" si="62"/>
        <v>0</v>
      </c>
      <c r="BY76" s="362">
        <f t="shared" si="62"/>
        <v>0</v>
      </c>
      <c r="BZ76" s="362">
        <f t="shared" si="62"/>
        <v>0</v>
      </c>
      <c r="CA76" s="362">
        <f t="shared" si="62"/>
        <v>0</v>
      </c>
      <c r="CB76" s="362">
        <f t="shared" si="62"/>
        <v>0</v>
      </c>
      <c r="CC76" s="362">
        <f t="shared" si="62"/>
        <v>0</v>
      </c>
      <c r="CD76" s="362">
        <f t="shared" si="62"/>
        <v>0</v>
      </c>
      <c r="CE76" s="362">
        <f t="shared" si="62"/>
        <v>0</v>
      </c>
      <c r="CF76" s="362">
        <f t="shared" si="62"/>
        <v>0</v>
      </c>
      <c r="CG76" s="362">
        <f t="shared" si="62"/>
        <v>0</v>
      </c>
      <c r="CH76" s="362">
        <f t="shared" si="62"/>
        <v>0</v>
      </c>
      <c r="CI76" s="362">
        <f t="shared" si="62"/>
        <v>0</v>
      </c>
      <c r="CJ76" s="362">
        <f t="shared" si="62"/>
        <v>0</v>
      </c>
      <c r="CK76"/>
      <c r="CL76"/>
      <c r="CM76"/>
      <c r="CN76"/>
      <c r="CO76"/>
      <c r="CP76"/>
      <c r="CQ76"/>
      <c r="CR76"/>
      <c r="CS76"/>
      <c r="CT76"/>
      <c r="CU76"/>
      <c r="CV76"/>
      <c r="CW76"/>
      <c r="CX76"/>
      <c r="CY76"/>
      <c r="CZ76"/>
      <c r="DA76"/>
      <c r="DB76"/>
    </row>
    <row r="77" spans="2:137" ht="15" hidden="1" customHeight="1">
      <c r="B77" s="53">
        <f t="shared" si="54"/>
        <v>0</v>
      </c>
      <c r="C77" s="26">
        <v>2</v>
      </c>
      <c r="D77" s="46" t="s">
        <v>470</v>
      </c>
      <c r="E77" s="420">
        <f>'Plant Inputs'!$G77</f>
        <v>0</v>
      </c>
      <c r="F77" s="204" t="str">
        <f>'Plant Inputs'!$H77</f>
        <v>kWh/short ton</v>
      </c>
      <c r="G77" s="160">
        <f t="shared" si="55"/>
        <v>0</v>
      </c>
      <c r="H77" s="204" t="str">
        <f t="shared" si="56"/>
        <v>kWh</v>
      </c>
      <c r="I77" s="160">
        <f t="shared" ref="I77:I87" si="63">$BI77</f>
        <v>0</v>
      </c>
      <c r="J77" s="177">
        <f t="shared" ref="J77:J87" si="64">$BN77</f>
        <v>0</v>
      </c>
      <c r="K77"/>
      <c r="L77"/>
      <c r="X77" s="65">
        <f>'Plant Inputs'!$X77</f>
        <v>0</v>
      </c>
      <c r="Y77" s="216">
        <f>IF(AND($X77=1,'Plant Inputs'!$Y77=1),1,0)</f>
        <v>0</v>
      </c>
      <c r="Z77" s="216"/>
      <c r="AA77" s="216"/>
      <c r="AB77" s="216"/>
      <c r="AC77" s="216"/>
      <c r="AD77" s="216"/>
      <c r="AE77" s="216"/>
      <c r="AF77" s="216"/>
      <c r="AG77" s="216"/>
      <c r="AH77" s="216"/>
      <c r="AI77" s="216"/>
      <c r="AJ77" s="216"/>
      <c r="AK77" s="216"/>
      <c r="AL77" s="216"/>
      <c r="AM77" s="1" t="str">
        <f t="shared" si="57"/>
        <v>On-Site Generated Electricity - Solar</v>
      </c>
      <c r="AN77" s="403">
        <f t="shared" ref="AN77:AO86" si="65">G77</f>
        <v>0</v>
      </c>
      <c r="AO77" s="164" t="str">
        <f t="shared" si="65"/>
        <v>kWh</v>
      </c>
      <c r="AP77" s="1">
        <f t="shared" si="58"/>
        <v>1</v>
      </c>
      <c r="AQ77" s="87" t="str">
        <f t="shared" si="59"/>
        <v>kWh/kWh</v>
      </c>
      <c r="AR77">
        <f t="shared" si="60"/>
        <v>0</v>
      </c>
      <c r="AS77" s="87" t="str">
        <f>'CPCI Data'!$W$12</f>
        <v>kWh</v>
      </c>
      <c r="AT77">
        <f t="shared" ref="AT77:AT86" si="66">$AO$15</f>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61"/>
        <v>0</v>
      </c>
      <c r="BJ77" s="360">
        <f t="shared" si="61"/>
        <v>0</v>
      </c>
      <c r="BK77" s="360">
        <f t="shared" si="61"/>
        <v>0</v>
      </c>
      <c r="BL77" s="360">
        <f t="shared" si="61"/>
        <v>0</v>
      </c>
      <c r="BM77" s="360">
        <f t="shared" si="61"/>
        <v>0</v>
      </c>
      <c r="BN77" s="360">
        <f t="shared" si="61"/>
        <v>0</v>
      </c>
      <c r="BO77" s="360">
        <f t="shared" si="61"/>
        <v>0</v>
      </c>
      <c r="BP77" s="360">
        <f t="shared" si="61"/>
        <v>0</v>
      </c>
      <c r="BQ77" s="360">
        <f t="shared" si="61"/>
        <v>0</v>
      </c>
      <c r="BR77" s="360">
        <f t="shared" si="61"/>
        <v>0</v>
      </c>
      <c r="BS77" s="360">
        <f t="shared" si="61"/>
        <v>0</v>
      </c>
      <c r="BT77" s="360">
        <f t="shared" si="61"/>
        <v>0</v>
      </c>
      <c r="BU77" s="360">
        <f t="shared" si="61"/>
        <v>0</v>
      </c>
      <c r="BV77" s="360">
        <f t="shared" si="61"/>
        <v>0</v>
      </c>
      <c r="BW77" s="362">
        <f t="shared" si="62"/>
        <v>0</v>
      </c>
      <c r="BX77" s="362">
        <f t="shared" si="62"/>
        <v>0</v>
      </c>
      <c r="BY77" s="362">
        <f t="shared" si="62"/>
        <v>0</v>
      </c>
      <c r="BZ77" s="362">
        <f t="shared" si="62"/>
        <v>0</v>
      </c>
      <c r="CA77" s="362">
        <f t="shared" si="62"/>
        <v>0</v>
      </c>
      <c r="CB77" s="362">
        <f t="shared" si="62"/>
        <v>0</v>
      </c>
      <c r="CC77" s="362">
        <f t="shared" si="62"/>
        <v>0</v>
      </c>
      <c r="CD77" s="362">
        <f t="shared" si="62"/>
        <v>0</v>
      </c>
      <c r="CE77" s="362">
        <f t="shared" si="62"/>
        <v>0</v>
      </c>
      <c r="CF77" s="362">
        <f t="shared" si="62"/>
        <v>0</v>
      </c>
      <c r="CG77" s="362">
        <f t="shared" si="62"/>
        <v>0</v>
      </c>
      <c r="CH77" s="362">
        <f t="shared" si="62"/>
        <v>0</v>
      </c>
      <c r="CI77" s="362">
        <f t="shared" si="62"/>
        <v>0</v>
      </c>
      <c r="CJ77" s="362">
        <f t="shared" si="62"/>
        <v>0</v>
      </c>
      <c r="CK77"/>
      <c r="CO77"/>
      <c r="CP77"/>
      <c r="CQ77"/>
      <c r="CR77"/>
      <c r="CS77"/>
      <c r="CT77"/>
      <c r="CU77"/>
      <c r="CV77"/>
      <c r="CW77"/>
      <c r="CX77"/>
      <c r="CY77"/>
      <c r="CZ77"/>
      <c r="DA77"/>
      <c r="DB77"/>
    </row>
    <row r="78" spans="2:137" ht="15" hidden="1" customHeight="1">
      <c r="B78" s="53">
        <f t="shared" si="54"/>
        <v>0</v>
      </c>
      <c r="C78" s="26">
        <v>3</v>
      </c>
      <c r="D78" s="46" t="s">
        <v>471</v>
      </c>
      <c r="E78" s="420">
        <f>'Plant Inputs'!$G78</f>
        <v>0</v>
      </c>
      <c r="F78" s="204" t="str">
        <f>'Plant Inputs'!$H78</f>
        <v>kWh/short ton</v>
      </c>
      <c r="G78" s="160">
        <f t="shared" si="55"/>
        <v>0</v>
      </c>
      <c r="H78" s="204" t="str">
        <f t="shared" si="56"/>
        <v>kWh</v>
      </c>
      <c r="I78" s="160">
        <f t="shared" si="63"/>
        <v>0</v>
      </c>
      <c r="J78" s="177">
        <f t="shared" si="64"/>
        <v>0</v>
      </c>
      <c r="K78"/>
      <c r="L78"/>
      <c r="X78" s="65">
        <f>'Plant Inputs'!$X78</f>
        <v>0</v>
      </c>
      <c r="Y78" s="216">
        <f>IF(AND($X78=1,'Plant Inputs'!$Y78=1),1,0)</f>
        <v>0</v>
      </c>
      <c r="Z78" s="216"/>
      <c r="AA78" s="216"/>
      <c r="AB78" s="216"/>
      <c r="AC78" s="216"/>
      <c r="AD78" s="216"/>
      <c r="AE78" s="216"/>
      <c r="AF78" s="216"/>
      <c r="AG78" s="216"/>
      <c r="AH78" s="216"/>
      <c r="AI78" s="216"/>
      <c r="AJ78" s="216"/>
      <c r="AK78" s="216"/>
      <c r="AL78" s="216"/>
      <c r="AM78" s="1" t="str">
        <f t="shared" si="57"/>
        <v>On-Site Generated Electricity - Wind</v>
      </c>
      <c r="AN78" s="403">
        <f t="shared" si="65"/>
        <v>0</v>
      </c>
      <c r="AO78" s="164" t="str">
        <f t="shared" si="65"/>
        <v>kWh</v>
      </c>
      <c r="AP78" s="1">
        <f t="shared" si="58"/>
        <v>1</v>
      </c>
      <c r="AQ78" s="87" t="str">
        <f t="shared" si="59"/>
        <v>kWh/kWh</v>
      </c>
      <c r="AR78">
        <f t="shared" si="60"/>
        <v>0</v>
      </c>
      <c r="AS78" s="87" t="str">
        <f>'CPCI Data'!$W$12</f>
        <v>kWh</v>
      </c>
      <c r="AT78">
        <f t="shared" si="66"/>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61"/>
        <v>0</v>
      </c>
      <c r="BJ78" s="360">
        <f t="shared" si="61"/>
        <v>0</v>
      </c>
      <c r="BK78" s="360">
        <f t="shared" si="61"/>
        <v>0</v>
      </c>
      <c r="BL78" s="360">
        <f t="shared" si="61"/>
        <v>0</v>
      </c>
      <c r="BM78" s="360">
        <f t="shared" si="61"/>
        <v>0</v>
      </c>
      <c r="BN78" s="360">
        <f t="shared" si="61"/>
        <v>0</v>
      </c>
      <c r="BO78" s="360">
        <f t="shared" si="61"/>
        <v>0</v>
      </c>
      <c r="BP78" s="360">
        <f t="shared" si="61"/>
        <v>0</v>
      </c>
      <c r="BQ78" s="360">
        <f t="shared" si="61"/>
        <v>0</v>
      </c>
      <c r="BR78" s="360">
        <f t="shared" si="61"/>
        <v>0</v>
      </c>
      <c r="BS78" s="360">
        <f t="shared" si="61"/>
        <v>0</v>
      </c>
      <c r="BT78" s="360">
        <f t="shared" si="61"/>
        <v>0</v>
      </c>
      <c r="BU78" s="360">
        <f t="shared" si="61"/>
        <v>0</v>
      </c>
      <c r="BV78" s="360">
        <f t="shared" si="61"/>
        <v>0</v>
      </c>
      <c r="BW78" s="362">
        <f t="shared" si="62"/>
        <v>0</v>
      </c>
      <c r="BX78" s="362">
        <f t="shared" si="62"/>
        <v>0</v>
      </c>
      <c r="BY78" s="362">
        <f t="shared" si="62"/>
        <v>0</v>
      </c>
      <c r="BZ78" s="362">
        <f t="shared" si="62"/>
        <v>0</v>
      </c>
      <c r="CA78" s="362">
        <f t="shared" si="62"/>
        <v>0</v>
      </c>
      <c r="CB78" s="362">
        <f t="shared" si="62"/>
        <v>0</v>
      </c>
      <c r="CC78" s="362">
        <f t="shared" si="62"/>
        <v>0</v>
      </c>
      <c r="CD78" s="362">
        <f t="shared" si="62"/>
        <v>0</v>
      </c>
      <c r="CE78" s="362">
        <f t="shared" si="62"/>
        <v>0</v>
      </c>
      <c r="CF78" s="362">
        <f t="shared" si="62"/>
        <v>0</v>
      </c>
      <c r="CG78" s="362">
        <f t="shared" si="62"/>
        <v>0</v>
      </c>
      <c r="CH78" s="362">
        <f t="shared" si="62"/>
        <v>0</v>
      </c>
      <c r="CI78" s="362">
        <f t="shared" si="62"/>
        <v>0</v>
      </c>
      <c r="CJ78" s="362">
        <f t="shared" si="62"/>
        <v>0</v>
      </c>
      <c r="CK78"/>
      <c r="CO78"/>
      <c r="CP78"/>
      <c r="CQ78"/>
      <c r="CR78"/>
      <c r="CS78"/>
      <c r="CT78"/>
      <c r="CU78"/>
      <c r="CV78"/>
      <c r="CW78"/>
      <c r="CX78"/>
      <c r="CY78"/>
      <c r="CZ78"/>
      <c r="DA78"/>
      <c r="DB78"/>
    </row>
    <row r="79" spans="2:137" ht="15" hidden="1" customHeight="1">
      <c r="B79" s="53">
        <f t="shared" si="54"/>
        <v>0</v>
      </c>
      <c r="C79" s="26">
        <v>4</v>
      </c>
      <c r="D79" s="46" t="s">
        <v>472</v>
      </c>
      <c r="E79" s="420">
        <f>'Plant Inputs'!$G79</f>
        <v>0</v>
      </c>
      <c r="F79" s="204" t="str">
        <f>'Plant Inputs'!$H79</f>
        <v>kWh/short ton</v>
      </c>
      <c r="G79" s="160">
        <f t="shared" si="55"/>
        <v>0</v>
      </c>
      <c r="H79" s="204" t="str">
        <f t="shared" si="56"/>
        <v>kWh</v>
      </c>
      <c r="I79" s="160">
        <f t="shared" si="63"/>
        <v>0</v>
      </c>
      <c r="J79" s="177">
        <f t="shared" si="64"/>
        <v>0</v>
      </c>
      <c r="K79"/>
      <c r="L79"/>
      <c r="X79" s="65">
        <f>'Plant Inputs'!$X79</f>
        <v>0</v>
      </c>
      <c r="Y79" s="216">
        <f>IF(AND($X79=1,'Plant Inputs'!$Y79=1),1,0)</f>
        <v>0</v>
      </c>
      <c r="Z79" s="216"/>
      <c r="AA79" s="216"/>
      <c r="AB79" s="216"/>
      <c r="AC79" s="216"/>
      <c r="AD79" s="216"/>
      <c r="AE79" s="216"/>
      <c r="AF79" s="216"/>
      <c r="AG79" s="216"/>
      <c r="AH79" s="216"/>
      <c r="AI79" s="216"/>
      <c r="AJ79" s="216"/>
      <c r="AK79" s="216"/>
      <c r="AL79" s="216"/>
      <c r="AM79" s="1" t="str">
        <f t="shared" si="57"/>
        <v>On-Site Generated Electricity - Hydroelectric</v>
      </c>
      <c r="AN79" s="403">
        <f t="shared" si="65"/>
        <v>0</v>
      </c>
      <c r="AO79" s="164" t="str">
        <f t="shared" si="65"/>
        <v>kWh</v>
      </c>
      <c r="AP79" s="1">
        <f t="shared" si="58"/>
        <v>1</v>
      </c>
      <c r="AQ79" s="87" t="str">
        <f t="shared" si="59"/>
        <v>kWh/kWh</v>
      </c>
      <c r="AR79">
        <f t="shared" si="60"/>
        <v>0</v>
      </c>
      <c r="AS79" s="87" t="str">
        <f>'CPCI Data'!$W$12</f>
        <v>kWh</v>
      </c>
      <c r="AT79">
        <f t="shared" si="66"/>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61"/>
        <v>0</v>
      </c>
      <c r="BJ79" s="360">
        <f t="shared" si="61"/>
        <v>0</v>
      </c>
      <c r="BK79" s="360">
        <f t="shared" si="61"/>
        <v>0</v>
      </c>
      <c r="BL79" s="360">
        <f t="shared" si="61"/>
        <v>0</v>
      </c>
      <c r="BM79" s="360">
        <f t="shared" si="61"/>
        <v>0</v>
      </c>
      <c r="BN79" s="360">
        <f t="shared" si="61"/>
        <v>0</v>
      </c>
      <c r="BO79" s="360">
        <f t="shared" si="61"/>
        <v>0</v>
      </c>
      <c r="BP79" s="360">
        <f t="shared" si="61"/>
        <v>0</v>
      </c>
      <c r="BQ79" s="360">
        <f t="shared" si="61"/>
        <v>0</v>
      </c>
      <c r="BR79" s="360">
        <f t="shared" si="61"/>
        <v>0</v>
      </c>
      <c r="BS79" s="360">
        <f t="shared" si="61"/>
        <v>0</v>
      </c>
      <c r="BT79" s="360">
        <f t="shared" si="61"/>
        <v>0</v>
      </c>
      <c r="BU79" s="360">
        <f t="shared" si="61"/>
        <v>0</v>
      </c>
      <c r="BV79" s="360">
        <f t="shared" si="61"/>
        <v>0</v>
      </c>
      <c r="BW79" s="362">
        <f t="shared" si="62"/>
        <v>0</v>
      </c>
      <c r="BX79" s="362">
        <f t="shared" si="62"/>
        <v>0</v>
      </c>
      <c r="BY79" s="362">
        <f t="shared" si="62"/>
        <v>0</v>
      </c>
      <c r="BZ79" s="362">
        <f t="shared" si="62"/>
        <v>0</v>
      </c>
      <c r="CA79" s="362">
        <f t="shared" si="62"/>
        <v>0</v>
      </c>
      <c r="CB79" s="362">
        <f t="shared" si="62"/>
        <v>0</v>
      </c>
      <c r="CC79" s="362">
        <f t="shared" si="62"/>
        <v>0</v>
      </c>
      <c r="CD79" s="362">
        <f t="shared" si="62"/>
        <v>0</v>
      </c>
      <c r="CE79" s="362">
        <f t="shared" si="62"/>
        <v>0</v>
      </c>
      <c r="CF79" s="362">
        <f t="shared" si="62"/>
        <v>0</v>
      </c>
      <c r="CG79" s="362">
        <f t="shared" si="62"/>
        <v>0</v>
      </c>
      <c r="CH79" s="362">
        <f t="shared" si="62"/>
        <v>0</v>
      </c>
      <c r="CI79" s="362">
        <f t="shared" si="62"/>
        <v>0</v>
      </c>
      <c r="CJ79" s="362">
        <f t="shared" si="62"/>
        <v>0</v>
      </c>
      <c r="CK79"/>
      <c r="CO79"/>
      <c r="CP79"/>
      <c r="CQ79"/>
      <c r="CR79"/>
      <c r="CS79"/>
      <c r="CT79"/>
      <c r="CU79"/>
      <c r="CV79"/>
      <c r="CW79"/>
      <c r="CX79"/>
      <c r="CY79"/>
      <c r="CZ79"/>
      <c r="DA79"/>
      <c r="DB79"/>
    </row>
    <row r="80" spans="2:137" ht="15" hidden="1" customHeight="1">
      <c r="B80" s="53">
        <f t="shared" si="54"/>
        <v>0</v>
      </c>
      <c r="C80" s="26">
        <v>5</v>
      </c>
      <c r="D80" s="46" t="s">
        <v>473</v>
      </c>
      <c r="E80" s="420">
        <f>'Plant Inputs'!$G80</f>
        <v>0</v>
      </c>
      <c r="F80" s="204" t="str">
        <f>'Plant Inputs'!$H80</f>
        <v>kWh/short ton</v>
      </c>
      <c r="G80" s="160">
        <f t="shared" si="55"/>
        <v>0</v>
      </c>
      <c r="H80" s="204" t="str">
        <f t="shared" si="56"/>
        <v>kWh</v>
      </c>
      <c r="I80" s="160">
        <f t="shared" si="63"/>
        <v>0</v>
      </c>
      <c r="J80" s="177">
        <f t="shared" si="64"/>
        <v>0</v>
      </c>
      <c r="K80"/>
      <c r="L80"/>
      <c r="X80" s="65">
        <f>'Plant Inputs'!$X80</f>
        <v>0</v>
      </c>
      <c r="Y80" s="216">
        <f>IF(AND($X80=1,'Plant Inputs'!$Y80=1),1,0)</f>
        <v>0</v>
      </c>
      <c r="Z80" s="216"/>
      <c r="AA80" s="216"/>
      <c r="AB80" s="216"/>
      <c r="AC80" s="216"/>
      <c r="AD80" s="216"/>
      <c r="AE80" s="216"/>
      <c r="AF80" s="216"/>
      <c r="AG80" s="216"/>
      <c r="AH80" s="216"/>
      <c r="AI80" s="216"/>
      <c r="AJ80" s="216"/>
      <c r="AK80" s="216"/>
      <c r="AL80" s="216"/>
      <c r="AM80" s="1" t="str">
        <f t="shared" si="57"/>
        <v>On-Site Generated Electricity - Geothermal</v>
      </c>
      <c r="AN80" s="403">
        <f t="shared" si="65"/>
        <v>0</v>
      </c>
      <c r="AO80" s="164" t="str">
        <f t="shared" si="65"/>
        <v>kWh</v>
      </c>
      <c r="AP80" s="1">
        <f t="shared" si="58"/>
        <v>1</v>
      </c>
      <c r="AQ80" s="87" t="str">
        <f t="shared" si="59"/>
        <v>kWh/kWh</v>
      </c>
      <c r="AR80">
        <f t="shared" si="60"/>
        <v>0</v>
      </c>
      <c r="AS80" s="87" t="str">
        <f>'CPCI Data'!$W$12</f>
        <v>kWh</v>
      </c>
      <c r="AT80">
        <f t="shared" si="66"/>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61"/>
        <v>0</v>
      </c>
      <c r="BJ80" s="360">
        <f t="shared" si="61"/>
        <v>0</v>
      </c>
      <c r="BK80" s="360">
        <f t="shared" si="61"/>
        <v>0</v>
      </c>
      <c r="BL80" s="360">
        <f t="shared" si="61"/>
        <v>0</v>
      </c>
      <c r="BM80" s="360">
        <f t="shared" si="61"/>
        <v>0</v>
      </c>
      <c r="BN80" s="360">
        <f t="shared" si="61"/>
        <v>0</v>
      </c>
      <c r="BO80" s="360">
        <f t="shared" si="61"/>
        <v>0</v>
      </c>
      <c r="BP80" s="360">
        <f t="shared" si="61"/>
        <v>0</v>
      </c>
      <c r="BQ80" s="360">
        <f t="shared" si="61"/>
        <v>0</v>
      </c>
      <c r="BR80" s="360">
        <f t="shared" si="61"/>
        <v>0</v>
      </c>
      <c r="BS80" s="360">
        <f t="shared" si="61"/>
        <v>0</v>
      </c>
      <c r="BT80" s="360">
        <f t="shared" si="61"/>
        <v>0</v>
      </c>
      <c r="BU80" s="360">
        <f t="shared" si="61"/>
        <v>0</v>
      </c>
      <c r="BV80" s="360">
        <f t="shared" si="61"/>
        <v>0</v>
      </c>
      <c r="BW80" s="362">
        <f t="shared" si="62"/>
        <v>0</v>
      </c>
      <c r="BX80" s="362">
        <f t="shared" si="62"/>
        <v>0</v>
      </c>
      <c r="BY80" s="362">
        <f t="shared" si="62"/>
        <v>0</v>
      </c>
      <c r="BZ80" s="362">
        <f t="shared" si="62"/>
        <v>0</v>
      </c>
      <c r="CA80" s="362">
        <f t="shared" si="62"/>
        <v>0</v>
      </c>
      <c r="CB80" s="362">
        <f t="shared" si="62"/>
        <v>0</v>
      </c>
      <c r="CC80" s="362">
        <f t="shared" si="62"/>
        <v>0</v>
      </c>
      <c r="CD80" s="362">
        <f t="shared" si="62"/>
        <v>0</v>
      </c>
      <c r="CE80" s="362">
        <f t="shared" si="62"/>
        <v>0</v>
      </c>
      <c r="CF80" s="362">
        <f t="shared" si="62"/>
        <v>0</v>
      </c>
      <c r="CG80" s="362">
        <f t="shared" si="62"/>
        <v>0</v>
      </c>
      <c r="CH80" s="362">
        <f t="shared" si="62"/>
        <v>0</v>
      </c>
      <c r="CI80" s="362">
        <f t="shared" si="62"/>
        <v>0</v>
      </c>
      <c r="CJ80" s="362">
        <f t="shared" si="62"/>
        <v>0</v>
      </c>
      <c r="CK80"/>
      <c r="CO80"/>
      <c r="CP80"/>
      <c r="CQ80"/>
      <c r="CR80"/>
      <c r="CS80"/>
      <c r="CT80"/>
      <c r="CU80"/>
      <c r="CV80"/>
      <c r="CW80"/>
      <c r="CX80"/>
      <c r="CY80"/>
      <c r="CZ80"/>
      <c r="DA80"/>
      <c r="DB80"/>
    </row>
    <row r="81" spans="2:134" ht="15" hidden="1" customHeight="1">
      <c r="B81" s="53">
        <f t="shared" si="54"/>
        <v>0</v>
      </c>
      <c r="C81" s="26">
        <v>6</v>
      </c>
      <c r="D81" s="46" t="s">
        <v>474</v>
      </c>
      <c r="E81" s="420">
        <f>'Plant Inputs'!$G81</f>
        <v>0</v>
      </c>
      <c r="F81" s="204" t="str">
        <f>'Plant Inputs'!$H81</f>
        <v>kWh/short ton</v>
      </c>
      <c r="G81" s="160">
        <f t="shared" si="55"/>
        <v>0</v>
      </c>
      <c r="H81" s="204" t="str">
        <f t="shared" si="56"/>
        <v>kWh</v>
      </c>
      <c r="I81" s="160">
        <f t="shared" si="63"/>
        <v>0</v>
      </c>
      <c r="J81" s="177">
        <f t="shared" si="64"/>
        <v>0</v>
      </c>
      <c r="K81"/>
      <c r="L81"/>
      <c r="M81" s="12"/>
      <c r="N81" s="12"/>
      <c r="O81" s="12"/>
      <c r="P81" s="12"/>
      <c r="Q81" s="12"/>
      <c r="R81" s="12"/>
      <c r="S81" s="12"/>
      <c r="X81" s="65">
        <f>'Plant Inputs'!$X81</f>
        <v>0</v>
      </c>
      <c r="Y81" s="216">
        <f>IF(AND($X81=1,'Plant Inputs'!$Y81=1),1,0)</f>
        <v>0</v>
      </c>
      <c r="Z81" s="216"/>
      <c r="AA81" s="216"/>
      <c r="AB81" s="216"/>
      <c r="AC81" s="216"/>
      <c r="AD81" s="216"/>
      <c r="AE81" s="216"/>
      <c r="AF81" s="216"/>
      <c r="AG81" s="216"/>
      <c r="AH81" s="216"/>
      <c r="AI81" s="216"/>
      <c r="AJ81" s="216"/>
      <c r="AK81" s="216"/>
      <c r="AL81" s="216"/>
      <c r="AM81" s="1" t="str">
        <f t="shared" si="57"/>
        <v>On-Site Generated Electricity - Biomass</v>
      </c>
      <c r="AN81" s="403">
        <f t="shared" si="65"/>
        <v>0</v>
      </c>
      <c r="AO81" s="164" t="str">
        <f t="shared" si="65"/>
        <v>kWh</v>
      </c>
      <c r="AP81" s="1">
        <f t="shared" si="58"/>
        <v>1</v>
      </c>
      <c r="AQ81" s="87" t="str">
        <f t="shared" si="59"/>
        <v>kWh/kWh</v>
      </c>
      <c r="AR81">
        <f t="shared" si="60"/>
        <v>0</v>
      </c>
      <c r="AS81" s="87" t="str">
        <f>'CPCI Data'!$W$12</f>
        <v>kWh</v>
      </c>
      <c r="AT81">
        <f t="shared" si="66"/>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61"/>
        <v>0</v>
      </c>
      <c r="BJ81" s="360">
        <f t="shared" si="61"/>
        <v>0</v>
      </c>
      <c r="BK81" s="360">
        <f t="shared" si="61"/>
        <v>0</v>
      </c>
      <c r="BL81" s="360">
        <f t="shared" si="61"/>
        <v>0</v>
      </c>
      <c r="BM81" s="360">
        <f t="shared" si="61"/>
        <v>0</v>
      </c>
      <c r="BN81" s="360">
        <f t="shared" si="61"/>
        <v>0</v>
      </c>
      <c r="BO81" s="360">
        <f t="shared" si="61"/>
        <v>0</v>
      </c>
      <c r="BP81" s="360">
        <f t="shared" si="61"/>
        <v>0</v>
      </c>
      <c r="BQ81" s="360">
        <f t="shared" si="61"/>
        <v>0</v>
      </c>
      <c r="BR81" s="360">
        <f t="shared" si="61"/>
        <v>0</v>
      </c>
      <c r="BS81" s="360">
        <f t="shared" si="61"/>
        <v>0</v>
      </c>
      <c r="BT81" s="360">
        <f t="shared" si="61"/>
        <v>0</v>
      </c>
      <c r="BU81" s="360">
        <f t="shared" si="61"/>
        <v>0</v>
      </c>
      <c r="BV81" s="360">
        <f t="shared" si="61"/>
        <v>0</v>
      </c>
      <c r="BW81" s="362">
        <f t="shared" si="62"/>
        <v>0</v>
      </c>
      <c r="BX81" s="362">
        <f t="shared" si="62"/>
        <v>0</v>
      </c>
      <c r="BY81" s="362">
        <f t="shared" si="62"/>
        <v>0</v>
      </c>
      <c r="BZ81" s="362">
        <f t="shared" si="62"/>
        <v>0</v>
      </c>
      <c r="CA81" s="362">
        <f t="shared" si="62"/>
        <v>0</v>
      </c>
      <c r="CB81" s="362">
        <f t="shared" si="62"/>
        <v>0</v>
      </c>
      <c r="CC81" s="362">
        <f t="shared" si="62"/>
        <v>0</v>
      </c>
      <c r="CD81" s="362">
        <f t="shared" si="62"/>
        <v>0</v>
      </c>
      <c r="CE81" s="362">
        <f t="shared" si="62"/>
        <v>0</v>
      </c>
      <c r="CF81" s="362">
        <f t="shared" si="62"/>
        <v>0</v>
      </c>
      <c r="CG81" s="362">
        <f t="shared" si="62"/>
        <v>0</v>
      </c>
      <c r="CH81" s="362">
        <f t="shared" si="62"/>
        <v>0</v>
      </c>
      <c r="CI81" s="362">
        <f t="shared" si="62"/>
        <v>0</v>
      </c>
      <c r="CJ81" s="362">
        <f t="shared" si="62"/>
        <v>0</v>
      </c>
      <c r="CK81"/>
      <c r="CO81"/>
      <c r="CP81"/>
      <c r="CQ81"/>
      <c r="CR81"/>
      <c r="CS81"/>
      <c r="CT81"/>
      <c r="CU81"/>
      <c r="CV81"/>
      <c r="CW81"/>
      <c r="CX81"/>
      <c r="CY81"/>
      <c r="CZ81"/>
      <c r="DA81"/>
      <c r="DB81"/>
    </row>
    <row r="82" spans="2:134" ht="15" hidden="1" customHeight="1">
      <c r="B82" s="53">
        <f t="shared" si="54"/>
        <v>0</v>
      </c>
      <c r="C82" s="26">
        <v>7</v>
      </c>
      <c r="D82" s="46" t="s">
        <v>23</v>
      </c>
      <c r="E82" s="420">
        <f>'Plant Inputs'!$G82</f>
        <v>0</v>
      </c>
      <c r="F82" s="204" t="str">
        <f>'Plant Inputs'!$H82</f>
        <v>gallon/short ton</v>
      </c>
      <c r="G82" s="160">
        <f t="shared" si="55"/>
        <v>0</v>
      </c>
      <c r="H82" s="204" t="str">
        <f t="shared" si="56"/>
        <v>gallon</v>
      </c>
      <c r="I82" s="160">
        <f t="shared" si="63"/>
        <v>0</v>
      </c>
      <c r="J82" s="177">
        <f t="shared" si="64"/>
        <v>0</v>
      </c>
      <c r="K82"/>
      <c r="L82"/>
      <c r="X82" s="65">
        <f>'Plant Inputs'!$X82</f>
        <v>0</v>
      </c>
      <c r="Y82" s="216">
        <f>IF(AND($X82=1,'Plant Inputs'!$Y82=1),1,0)</f>
        <v>0</v>
      </c>
      <c r="Z82" s="216"/>
      <c r="AA82" s="216"/>
      <c r="AB82" s="216"/>
      <c r="AC82" s="216"/>
      <c r="AD82" s="216"/>
      <c r="AE82" s="216"/>
      <c r="AF82" s="216"/>
      <c r="AG82" s="216"/>
      <c r="AH82" s="216"/>
      <c r="AI82" s="216"/>
      <c r="AJ82" s="216"/>
      <c r="AK82" s="216"/>
      <c r="AL82" s="216"/>
      <c r="AM82" s="1" t="str">
        <f t="shared" si="57"/>
        <v>Gasoline</v>
      </c>
      <c r="AN82" s="403">
        <f t="shared" si="65"/>
        <v>0</v>
      </c>
      <c r="AO82" s="164" t="str">
        <f t="shared" si="65"/>
        <v>gallon</v>
      </c>
      <c r="AP82" s="1">
        <f t="shared" si="58"/>
        <v>0.26417203728418465</v>
      </c>
      <c r="AQ82" s="87" t="str">
        <f t="shared" si="59"/>
        <v>gallon/litre</v>
      </c>
      <c r="AR82">
        <f t="shared" si="60"/>
        <v>0</v>
      </c>
      <c r="AS82" s="87" t="str">
        <f>'CPCI Data'!$W$27</f>
        <v>litre</v>
      </c>
      <c r="AT82">
        <f t="shared" si="66"/>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61"/>
        <v>0</v>
      </c>
      <c r="BJ82" s="360">
        <f t="shared" si="61"/>
        <v>0</v>
      </c>
      <c r="BK82" s="360">
        <f t="shared" si="61"/>
        <v>0</v>
      </c>
      <c r="BL82" s="360">
        <f t="shared" si="61"/>
        <v>0</v>
      </c>
      <c r="BM82" s="360">
        <f t="shared" si="61"/>
        <v>0</v>
      </c>
      <c r="BN82" s="360">
        <f t="shared" si="61"/>
        <v>0</v>
      </c>
      <c r="BO82" s="360">
        <f t="shared" si="61"/>
        <v>0</v>
      </c>
      <c r="BP82" s="360">
        <f t="shared" si="61"/>
        <v>0</v>
      </c>
      <c r="BQ82" s="360">
        <f t="shared" si="61"/>
        <v>0</v>
      </c>
      <c r="BR82" s="360">
        <f t="shared" si="61"/>
        <v>0</v>
      </c>
      <c r="BS82" s="360">
        <f t="shared" si="61"/>
        <v>0</v>
      </c>
      <c r="BT82" s="360">
        <f t="shared" si="61"/>
        <v>0</v>
      </c>
      <c r="BU82" s="360">
        <f t="shared" si="61"/>
        <v>0</v>
      </c>
      <c r="BV82" s="360">
        <f t="shared" si="61"/>
        <v>0</v>
      </c>
      <c r="BW82" s="362">
        <f t="shared" si="62"/>
        <v>0</v>
      </c>
      <c r="BX82" s="362">
        <f t="shared" si="62"/>
        <v>0</v>
      </c>
      <c r="BY82" s="362">
        <f t="shared" si="62"/>
        <v>0</v>
      </c>
      <c r="BZ82" s="362">
        <f t="shared" si="62"/>
        <v>0</v>
      </c>
      <c r="CA82" s="362">
        <f t="shared" si="62"/>
        <v>0</v>
      </c>
      <c r="CB82" s="362">
        <f t="shared" si="62"/>
        <v>0</v>
      </c>
      <c r="CC82" s="362">
        <f t="shared" si="62"/>
        <v>0</v>
      </c>
      <c r="CD82" s="362">
        <f t="shared" si="62"/>
        <v>0</v>
      </c>
      <c r="CE82" s="362">
        <f t="shared" si="62"/>
        <v>0</v>
      </c>
      <c r="CF82" s="362">
        <f t="shared" si="62"/>
        <v>0</v>
      </c>
      <c r="CG82" s="362">
        <f t="shared" si="62"/>
        <v>0</v>
      </c>
      <c r="CH82" s="362">
        <f t="shared" si="62"/>
        <v>0</v>
      </c>
      <c r="CI82" s="362">
        <f t="shared" si="62"/>
        <v>0</v>
      </c>
      <c r="CJ82" s="362">
        <f t="shared" si="62"/>
        <v>0</v>
      </c>
      <c r="CK82"/>
      <c r="CL82"/>
      <c r="CM82"/>
      <c r="CN82"/>
      <c r="CO82"/>
      <c r="CP82"/>
      <c r="CQ82"/>
      <c r="CR82"/>
      <c r="CS82"/>
      <c r="CT82"/>
      <c r="CU82"/>
      <c r="CV82"/>
      <c r="CW82"/>
      <c r="CX82"/>
      <c r="CY82"/>
      <c r="CZ82"/>
      <c r="DA82"/>
      <c r="DB82"/>
    </row>
    <row r="83" spans="2:134" ht="15" hidden="1" customHeight="1">
      <c r="B83" s="53">
        <f t="shared" si="54"/>
        <v>0</v>
      </c>
      <c r="C83" s="26">
        <v>8</v>
      </c>
      <c r="D83" s="46" t="s">
        <v>8</v>
      </c>
      <c r="E83" s="420">
        <f>'Plant Inputs'!$G83</f>
        <v>0</v>
      </c>
      <c r="F83" s="204" t="str">
        <f>'Plant Inputs'!$H83</f>
        <v>ft3/short ton</v>
      </c>
      <c r="G83" s="160">
        <f t="shared" si="55"/>
        <v>0</v>
      </c>
      <c r="H83" s="204" t="str">
        <f t="shared" si="56"/>
        <v>ft3</v>
      </c>
      <c r="I83" s="160">
        <f t="shared" si="63"/>
        <v>0</v>
      </c>
      <c r="J83" s="177">
        <f t="shared" si="64"/>
        <v>0</v>
      </c>
      <c r="K83"/>
      <c r="L83"/>
      <c r="X83" s="65">
        <f>'Plant Inputs'!$X83</f>
        <v>0</v>
      </c>
      <c r="Y83" s="216">
        <f>IF(AND($X83=1,'Plant Inputs'!$Y83=1),1,0)</f>
        <v>0</v>
      </c>
      <c r="Z83" s="216"/>
      <c r="AA83" s="216"/>
      <c r="AB83" s="216"/>
      <c r="AC83" s="216"/>
      <c r="AD83" s="216"/>
      <c r="AE83" s="216"/>
      <c r="AF83" s="216"/>
      <c r="AG83" s="216"/>
      <c r="AH83" s="216"/>
      <c r="AI83" s="216"/>
      <c r="AJ83" s="216"/>
      <c r="AK83" s="216"/>
      <c r="AL83" s="216"/>
      <c r="AM83" s="1" t="str">
        <f t="shared" si="57"/>
        <v>Natural Gas</v>
      </c>
      <c r="AN83" s="403">
        <f t="shared" si="65"/>
        <v>0</v>
      </c>
      <c r="AO83" s="164" t="str">
        <f t="shared" si="65"/>
        <v>ft3</v>
      </c>
      <c r="AP83" s="1">
        <f t="shared" si="58"/>
        <v>35.31467</v>
      </c>
      <c r="AQ83" s="87" t="str">
        <f t="shared" si="59"/>
        <v>ft3/m3</v>
      </c>
      <c r="AR83">
        <f t="shared" si="60"/>
        <v>0</v>
      </c>
      <c r="AS83" s="87" t="str">
        <f>'CPCI Data'!$W$20</f>
        <v>m3</v>
      </c>
      <c r="AT83">
        <f t="shared" si="66"/>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61"/>
        <v>0</v>
      </c>
      <c r="BJ83" s="360">
        <f t="shared" si="61"/>
        <v>0</v>
      </c>
      <c r="BK83" s="360">
        <f t="shared" si="61"/>
        <v>0</v>
      </c>
      <c r="BL83" s="360">
        <f t="shared" si="61"/>
        <v>0</v>
      </c>
      <c r="BM83" s="360">
        <f t="shared" si="61"/>
        <v>0</v>
      </c>
      <c r="BN83" s="360">
        <f t="shared" si="61"/>
        <v>0</v>
      </c>
      <c r="BO83" s="360">
        <f t="shared" si="61"/>
        <v>0</v>
      </c>
      <c r="BP83" s="360">
        <f t="shared" si="61"/>
        <v>0</v>
      </c>
      <c r="BQ83" s="360">
        <f t="shared" si="61"/>
        <v>0</v>
      </c>
      <c r="BR83" s="360">
        <f t="shared" si="61"/>
        <v>0</v>
      </c>
      <c r="BS83" s="360">
        <f t="shared" si="61"/>
        <v>0</v>
      </c>
      <c r="BT83" s="360">
        <f t="shared" si="61"/>
        <v>0</v>
      </c>
      <c r="BU83" s="360">
        <f t="shared" si="61"/>
        <v>0</v>
      </c>
      <c r="BV83" s="360">
        <f t="shared" si="61"/>
        <v>0</v>
      </c>
      <c r="BW83" s="362">
        <f t="shared" si="62"/>
        <v>0</v>
      </c>
      <c r="BX83" s="362">
        <f t="shared" si="62"/>
        <v>0</v>
      </c>
      <c r="BY83" s="362">
        <f t="shared" si="62"/>
        <v>0</v>
      </c>
      <c r="BZ83" s="362">
        <f t="shared" si="62"/>
        <v>0</v>
      </c>
      <c r="CA83" s="362">
        <f t="shared" si="62"/>
        <v>0</v>
      </c>
      <c r="CB83" s="362">
        <f t="shared" si="62"/>
        <v>0</v>
      </c>
      <c r="CC83" s="362">
        <f t="shared" si="62"/>
        <v>0</v>
      </c>
      <c r="CD83" s="362">
        <f t="shared" si="62"/>
        <v>0</v>
      </c>
      <c r="CE83" s="362">
        <f t="shared" si="62"/>
        <v>0</v>
      </c>
      <c r="CF83" s="362">
        <f t="shared" si="62"/>
        <v>0</v>
      </c>
      <c r="CG83" s="362">
        <f t="shared" si="62"/>
        <v>0</v>
      </c>
      <c r="CH83" s="362">
        <f t="shared" si="62"/>
        <v>0</v>
      </c>
      <c r="CI83" s="362">
        <f t="shared" si="62"/>
        <v>0</v>
      </c>
      <c r="CJ83" s="362">
        <f t="shared" si="62"/>
        <v>0</v>
      </c>
      <c r="CK83"/>
      <c r="CL83"/>
      <c r="CM83"/>
      <c r="CN83"/>
      <c r="CO83"/>
      <c r="CP83"/>
      <c r="CQ83"/>
      <c r="CR83"/>
      <c r="CS83"/>
      <c r="CT83"/>
      <c r="CU83"/>
      <c r="CV83"/>
      <c r="CW83"/>
      <c r="CX83"/>
      <c r="CY83"/>
      <c r="CZ83"/>
      <c r="DA83"/>
      <c r="DB83"/>
    </row>
    <row r="84" spans="2:134" ht="15" hidden="1" customHeight="1">
      <c r="B84" s="53">
        <f t="shared" si="54"/>
        <v>0</v>
      </c>
      <c r="C84" s="26">
        <v>9</v>
      </c>
      <c r="D84" s="41" t="s">
        <v>9</v>
      </c>
      <c r="E84" s="420">
        <f>'Plant Inputs'!$G84</f>
        <v>0</v>
      </c>
      <c r="F84" s="204" t="str">
        <f>'Plant Inputs'!$H84</f>
        <v>gallon/short ton</v>
      </c>
      <c r="G84" s="160">
        <f t="shared" si="55"/>
        <v>0</v>
      </c>
      <c r="H84" s="204" t="str">
        <f t="shared" si="56"/>
        <v>gallon</v>
      </c>
      <c r="I84" s="160">
        <f t="shared" si="63"/>
        <v>0</v>
      </c>
      <c r="J84" s="177">
        <f t="shared" si="64"/>
        <v>0</v>
      </c>
      <c r="K84"/>
      <c r="L84"/>
      <c r="X84" s="65">
        <f>'Plant Inputs'!$X84</f>
        <v>0</v>
      </c>
      <c r="Y84" s="216">
        <f>IF(AND($X84=1,'Plant Inputs'!$Y84=1),1,0)</f>
        <v>0</v>
      </c>
      <c r="Z84" s="216"/>
      <c r="AA84" s="216"/>
      <c r="AB84" s="216"/>
      <c r="AC84" s="216"/>
      <c r="AD84" s="216"/>
      <c r="AE84" s="216"/>
      <c r="AF84" s="216"/>
      <c r="AG84" s="216"/>
      <c r="AH84" s="216"/>
      <c r="AI84" s="216"/>
      <c r="AJ84" s="216"/>
      <c r="AK84" s="216"/>
      <c r="AL84" s="216"/>
      <c r="AM84" s="1" t="str">
        <f t="shared" si="57"/>
        <v>Diesel</v>
      </c>
      <c r="AN84" s="403">
        <f t="shared" si="65"/>
        <v>0</v>
      </c>
      <c r="AO84" s="164" t="str">
        <f t="shared" si="65"/>
        <v>gallon</v>
      </c>
      <c r="AP84" s="1">
        <f t="shared" si="58"/>
        <v>0.26417203728418465</v>
      </c>
      <c r="AQ84" s="87" t="str">
        <f t="shared" si="59"/>
        <v>gallon/litre</v>
      </c>
      <c r="AR84">
        <f t="shared" si="60"/>
        <v>0</v>
      </c>
      <c r="AS84" s="87" t="str">
        <f>'CPCI Data'!$W$27</f>
        <v>litre</v>
      </c>
      <c r="AT84">
        <f t="shared" si="66"/>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61"/>
        <v>0</v>
      </c>
      <c r="BJ84" s="360">
        <f t="shared" si="61"/>
        <v>0</v>
      </c>
      <c r="BK84" s="360">
        <f t="shared" si="61"/>
        <v>0</v>
      </c>
      <c r="BL84" s="360">
        <f t="shared" si="61"/>
        <v>0</v>
      </c>
      <c r="BM84" s="360">
        <f t="shared" si="61"/>
        <v>0</v>
      </c>
      <c r="BN84" s="360">
        <f t="shared" si="61"/>
        <v>0</v>
      </c>
      <c r="BO84" s="360">
        <f t="shared" si="61"/>
        <v>0</v>
      </c>
      <c r="BP84" s="360">
        <f t="shared" si="61"/>
        <v>0</v>
      </c>
      <c r="BQ84" s="360">
        <f t="shared" si="61"/>
        <v>0</v>
      </c>
      <c r="BR84" s="360">
        <f t="shared" si="61"/>
        <v>0</v>
      </c>
      <c r="BS84" s="360">
        <f t="shared" si="61"/>
        <v>0</v>
      </c>
      <c r="BT84" s="360">
        <f t="shared" si="61"/>
        <v>0</v>
      </c>
      <c r="BU84" s="360">
        <f t="shared" si="61"/>
        <v>0</v>
      </c>
      <c r="BV84" s="360">
        <f t="shared" si="61"/>
        <v>0</v>
      </c>
      <c r="BW84" s="362">
        <f t="shared" si="62"/>
        <v>0</v>
      </c>
      <c r="BX84" s="362">
        <f t="shared" si="62"/>
        <v>0</v>
      </c>
      <c r="BY84" s="362">
        <f t="shared" si="62"/>
        <v>0</v>
      </c>
      <c r="BZ84" s="362">
        <f t="shared" si="62"/>
        <v>0</v>
      </c>
      <c r="CA84" s="362">
        <f t="shared" si="62"/>
        <v>0</v>
      </c>
      <c r="CB84" s="362">
        <f t="shared" si="62"/>
        <v>0</v>
      </c>
      <c r="CC84" s="362">
        <f t="shared" si="62"/>
        <v>0</v>
      </c>
      <c r="CD84" s="362">
        <f t="shared" si="62"/>
        <v>0</v>
      </c>
      <c r="CE84" s="362">
        <f t="shared" si="62"/>
        <v>0</v>
      </c>
      <c r="CF84" s="362">
        <f t="shared" si="62"/>
        <v>0</v>
      </c>
      <c r="CG84" s="362">
        <f t="shared" si="62"/>
        <v>0</v>
      </c>
      <c r="CH84" s="362">
        <f t="shared" si="62"/>
        <v>0</v>
      </c>
      <c r="CI84" s="362">
        <f t="shared" si="62"/>
        <v>0</v>
      </c>
      <c r="CJ84" s="362">
        <f t="shared" si="62"/>
        <v>0</v>
      </c>
      <c r="CK84"/>
      <c r="CL84"/>
      <c r="CM84"/>
      <c r="CN84"/>
      <c r="CO84"/>
      <c r="CP84"/>
      <c r="CQ84"/>
      <c r="CR84"/>
      <c r="CS84"/>
      <c r="CT84"/>
      <c r="CU84"/>
      <c r="CV84"/>
      <c r="CW84"/>
      <c r="CX84"/>
      <c r="CY84"/>
      <c r="CZ84"/>
      <c r="DA84"/>
      <c r="DB84"/>
    </row>
    <row r="85" spans="2:134" ht="15" hidden="1" customHeight="1">
      <c r="B85" s="53">
        <f t="shared" si="54"/>
        <v>0</v>
      </c>
      <c r="C85" s="26">
        <v>10</v>
      </c>
      <c r="D85" s="41" t="s">
        <v>118</v>
      </c>
      <c r="E85" s="420">
        <f>'Plant Inputs'!$G85</f>
        <v>0</v>
      </c>
      <c r="F85" s="204" t="str">
        <f>'Plant Inputs'!$H85</f>
        <v>gallon/short ton</v>
      </c>
      <c r="G85" s="160">
        <f t="shared" si="55"/>
        <v>0</v>
      </c>
      <c r="H85" s="204" t="str">
        <f t="shared" si="56"/>
        <v>gallon</v>
      </c>
      <c r="I85" s="160">
        <f t="shared" si="63"/>
        <v>0</v>
      </c>
      <c r="J85" s="177">
        <f t="shared" si="64"/>
        <v>0</v>
      </c>
      <c r="K85"/>
      <c r="L85"/>
      <c r="M85" s="12"/>
      <c r="N85" s="12"/>
      <c r="O85" s="12"/>
      <c r="P85" s="12"/>
      <c r="Q85" s="12"/>
      <c r="R85" s="12"/>
      <c r="S85" s="12"/>
      <c r="X85" s="65">
        <f>'Plant Inputs'!$X85</f>
        <v>0</v>
      </c>
      <c r="Y85" s="216">
        <f>IF(AND($X85=1,'Plant Inputs'!$Y85=1),1,0)</f>
        <v>0</v>
      </c>
      <c r="Z85" s="216"/>
      <c r="AA85" s="216"/>
      <c r="AB85" s="216"/>
      <c r="AC85" s="216"/>
      <c r="AD85" s="216"/>
      <c r="AE85" s="216"/>
      <c r="AF85" s="216"/>
      <c r="AG85" s="216"/>
      <c r="AH85" s="216"/>
      <c r="AI85" s="216"/>
      <c r="AJ85" s="216"/>
      <c r="AK85" s="216"/>
      <c r="AL85" s="216"/>
      <c r="AM85" s="1" t="str">
        <f t="shared" si="57"/>
        <v>Heavy Fuel Oil</v>
      </c>
      <c r="AN85" s="403">
        <f t="shared" si="65"/>
        <v>0</v>
      </c>
      <c r="AO85" s="164" t="str">
        <f t="shared" si="65"/>
        <v>gallon</v>
      </c>
      <c r="AP85" s="1">
        <f t="shared" si="58"/>
        <v>0.26417203728418465</v>
      </c>
      <c r="AQ85" s="87" t="str">
        <f t="shared" si="59"/>
        <v>gallon/litre</v>
      </c>
      <c r="AR85">
        <f t="shared" si="60"/>
        <v>0</v>
      </c>
      <c r="AS85" s="87" t="str">
        <f>'CPCI Data'!$W$27</f>
        <v>litre</v>
      </c>
      <c r="AT85">
        <f t="shared" si="66"/>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61"/>
        <v>0</v>
      </c>
      <c r="BJ85" s="360">
        <f t="shared" si="61"/>
        <v>0</v>
      </c>
      <c r="BK85" s="360">
        <f t="shared" si="61"/>
        <v>0</v>
      </c>
      <c r="BL85" s="360">
        <f t="shared" si="61"/>
        <v>0</v>
      </c>
      <c r="BM85" s="360">
        <f t="shared" si="61"/>
        <v>0</v>
      </c>
      <c r="BN85" s="360">
        <f t="shared" si="61"/>
        <v>0</v>
      </c>
      <c r="BO85" s="360">
        <f t="shared" si="61"/>
        <v>0</v>
      </c>
      <c r="BP85" s="360">
        <f t="shared" si="61"/>
        <v>0</v>
      </c>
      <c r="BQ85" s="360">
        <f t="shared" si="61"/>
        <v>0</v>
      </c>
      <c r="BR85" s="360">
        <f t="shared" si="61"/>
        <v>0</v>
      </c>
      <c r="BS85" s="360">
        <f t="shared" si="61"/>
        <v>0</v>
      </c>
      <c r="BT85" s="360">
        <f t="shared" si="61"/>
        <v>0</v>
      </c>
      <c r="BU85" s="360">
        <f t="shared" si="61"/>
        <v>0</v>
      </c>
      <c r="BV85" s="360">
        <f t="shared" si="61"/>
        <v>0</v>
      </c>
      <c r="BW85" s="362">
        <f t="shared" si="62"/>
        <v>0</v>
      </c>
      <c r="BX85" s="362">
        <f t="shared" si="62"/>
        <v>0</v>
      </c>
      <c r="BY85" s="362">
        <f t="shared" si="62"/>
        <v>0</v>
      </c>
      <c r="BZ85" s="362">
        <f t="shared" si="62"/>
        <v>0</v>
      </c>
      <c r="CA85" s="362">
        <f t="shared" si="62"/>
        <v>0</v>
      </c>
      <c r="CB85" s="362">
        <f t="shared" si="62"/>
        <v>0</v>
      </c>
      <c r="CC85" s="362">
        <f t="shared" si="62"/>
        <v>0</v>
      </c>
      <c r="CD85" s="362">
        <f t="shared" si="62"/>
        <v>0</v>
      </c>
      <c r="CE85" s="362">
        <f t="shared" si="62"/>
        <v>0</v>
      </c>
      <c r="CF85" s="362">
        <f t="shared" si="62"/>
        <v>0</v>
      </c>
      <c r="CG85" s="362">
        <f t="shared" si="62"/>
        <v>0</v>
      </c>
      <c r="CH85" s="362">
        <f t="shared" si="62"/>
        <v>0</v>
      </c>
      <c r="CI85" s="362">
        <f t="shared" si="62"/>
        <v>0</v>
      </c>
      <c r="CJ85" s="362">
        <f t="shared" si="62"/>
        <v>0</v>
      </c>
      <c r="CK85"/>
      <c r="CO85"/>
      <c r="CP85"/>
      <c r="CQ85"/>
      <c r="CR85"/>
      <c r="CS85"/>
      <c r="CT85"/>
      <c r="CU85"/>
      <c r="CV85"/>
      <c r="CW85"/>
      <c r="CX85"/>
      <c r="CY85"/>
      <c r="CZ85"/>
      <c r="DA85"/>
      <c r="DB85"/>
    </row>
    <row r="86" spans="2:134" ht="15" hidden="1" customHeight="1" thickBot="1">
      <c r="B86" s="53">
        <f t="shared" si="54"/>
        <v>0</v>
      </c>
      <c r="C86" s="32">
        <v>11</v>
      </c>
      <c r="D86" s="47" t="s">
        <v>263</v>
      </c>
      <c r="E86" s="421">
        <f>'Plant Inputs'!$G86</f>
        <v>0</v>
      </c>
      <c r="F86" s="227" t="str">
        <f>'Plant Inputs'!$H86</f>
        <v>gallon/short ton</v>
      </c>
      <c r="G86" s="163">
        <f t="shared" si="55"/>
        <v>0</v>
      </c>
      <c r="H86" s="204" t="str">
        <f t="shared" si="56"/>
        <v>gallon</v>
      </c>
      <c r="I86" s="160">
        <f t="shared" si="63"/>
        <v>0</v>
      </c>
      <c r="J86" s="177">
        <f t="shared" si="64"/>
        <v>0</v>
      </c>
      <c r="K86"/>
      <c r="L86"/>
      <c r="X86" s="65">
        <f>'Plant Inputs'!$X86</f>
        <v>0</v>
      </c>
      <c r="Y86" s="216">
        <f>IF(AND($X86=1,'Plant Inputs'!$Y86=1),1,0)</f>
        <v>0</v>
      </c>
      <c r="Z86" s="216"/>
      <c r="AA86" s="216"/>
      <c r="AB86" s="216"/>
      <c r="AC86" s="216"/>
      <c r="AD86" s="216"/>
      <c r="AE86" s="216"/>
      <c r="AF86" s="216"/>
      <c r="AG86" s="216"/>
      <c r="AH86" s="216"/>
      <c r="AI86" s="216"/>
      <c r="AJ86" s="216"/>
      <c r="AK86" s="216"/>
      <c r="AL86" s="216"/>
      <c r="AM86" s="1" t="str">
        <f t="shared" si="57"/>
        <v>LPG (Liquified Propane Gas)</v>
      </c>
      <c r="AN86" s="403">
        <f t="shared" si="65"/>
        <v>0</v>
      </c>
      <c r="AO86" s="164" t="str">
        <f t="shared" si="65"/>
        <v>gallon</v>
      </c>
      <c r="AP86" s="1">
        <f t="shared" si="58"/>
        <v>0.26417203728418465</v>
      </c>
      <c r="AQ86" s="87" t="str">
        <f t="shared" si="59"/>
        <v>gallon/litre</v>
      </c>
      <c r="AR86">
        <f t="shared" si="60"/>
        <v>0</v>
      </c>
      <c r="AS86" s="87" t="str">
        <f>'CPCI Data'!$W$27</f>
        <v>litre</v>
      </c>
      <c r="AT86">
        <f t="shared" si="66"/>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61"/>
        <v>0</v>
      </c>
      <c r="BJ86" s="360">
        <f t="shared" si="61"/>
        <v>0</v>
      </c>
      <c r="BK86" s="360">
        <f t="shared" si="61"/>
        <v>0</v>
      </c>
      <c r="BL86" s="360">
        <f t="shared" si="61"/>
        <v>0</v>
      </c>
      <c r="BM86" s="360">
        <f t="shared" si="61"/>
        <v>0</v>
      </c>
      <c r="BN86" s="360">
        <f t="shared" si="61"/>
        <v>0</v>
      </c>
      <c r="BO86" s="360">
        <f t="shared" si="61"/>
        <v>0</v>
      </c>
      <c r="BP86" s="360">
        <f t="shared" si="61"/>
        <v>0</v>
      </c>
      <c r="BQ86" s="360">
        <f t="shared" si="61"/>
        <v>0</v>
      </c>
      <c r="BR86" s="360">
        <f t="shared" si="61"/>
        <v>0</v>
      </c>
      <c r="BS86" s="360">
        <f t="shared" si="61"/>
        <v>0</v>
      </c>
      <c r="BT86" s="360">
        <f t="shared" si="61"/>
        <v>0</v>
      </c>
      <c r="BU86" s="360">
        <f t="shared" si="61"/>
        <v>0</v>
      </c>
      <c r="BV86" s="360">
        <f t="shared" si="61"/>
        <v>0</v>
      </c>
      <c r="BW86" s="362">
        <f t="shared" si="62"/>
        <v>0</v>
      </c>
      <c r="BX86" s="362">
        <f t="shared" si="62"/>
        <v>0</v>
      </c>
      <c r="BY86" s="362">
        <f t="shared" si="62"/>
        <v>0</v>
      </c>
      <c r="BZ86" s="362">
        <f t="shared" si="62"/>
        <v>0</v>
      </c>
      <c r="CA86" s="362">
        <f t="shared" si="62"/>
        <v>0</v>
      </c>
      <c r="CB86" s="362">
        <f t="shared" si="62"/>
        <v>0</v>
      </c>
      <c r="CC86" s="362">
        <f t="shared" si="62"/>
        <v>0</v>
      </c>
      <c r="CD86" s="362">
        <f t="shared" si="62"/>
        <v>0</v>
      </c>
      <c r="CE86" s="362">
        <f t="shared" si="62"/>
        <v>0</v>
      </c>
      <c r="CF86" s="362">
        <f t="shared" si="62"/>
        <v>0</v>
      </c>
      <c r="CG86" s="362">
        <f t="shared" si="62"/>
        <v>0</v>
      </c>
      <c r="CH86" s="362">
        <f t="shared" si="62"/>
        <v>0</v>
      </c>
      <c r="CI86" s="362">
        <f t="shared" si="62"/>
        <v>0</v>
      </c>
      <c r="CJ86" s="362">
        <f t="shared" si="62"/>
        <v>0</v>
      </c>
      <c r="CK86"/>
      <c r="CL86"/>
      <c r="CM86"/>
      <c r="CN86"/>
      <c r="CO86"/>
      <c r="CP86"/>
      <c r="CQ86"/>
      <c r="CR86"/>
      <c r="CS86"/>
      <c r="CT86"/>
      <c r="CU86"/>
      <c r="CV86"/>
      <c r="CW86"/>
      <c r="CX86"/>
      <c r="CY86"/>
      <c r="CZ86"/>
      <c r="DA86"/>
      <c r="DB86"/>
    </row>
    <row r="87" spans="2:134" ht="15" hidden="1" customHeight="1" thickBot="1">
      <c r="H87" s="45" t="s">
        <v>19</v>
      </c>
      <c r="I87" s="163">
        <f t="shared" si="63"/>
        <v>0</v>
      </c>
      <c r="J87" s="178">
        <f t="shared" si="64"/>
        <v>0</v>
      </c>
      <c r="K87"/>
      <c r="L87"/>
      <c r="AR87" t="s">
        <v>133</v>
      </c>
      <c r="AU87" s="358">
        <f>SUM(AU76:AU86)</f>
        <v>0</v>
      </c>
      <c r="AV87" s="358">
        <f t="shared" ref="AV87:AZ87" si="67">SUM(AV76:AV86)</f>
        <v>0</v>
      </c>
      <c r="AW87" s="358">
        <f t="shared" si="67"/>
        <v>0</v>
      </c>
      <c r="AX87" s="358">
        <f t="shared" si="67"/>
        <v>0</v>
      </c>
      <c r="AY87" s="358">
        <f t="shared" si="67"/>
        <v>0</v>
      </c>
      <c r="AZ87" s="358">
        <f t="shared" si="67"/>
        <v>0</v>
      </c>
      <c r="BA87" s="358">
        <f>SUM(BA76:BA86)</f>
        <v>0</v>
      </c>
      <c r="BB87" s="358">
        <f t="shared" ref="BB87:BH87" si="68">SUM(BB76:BB86)</f>
        <v>0</v>
      </c>
      <c r="BC87" s="358">
        <f t="shared" si="68"/>
        <v>0</v>
      </c>
      <c r="BD87" s="358">
        <f t="shared" si="68"/>
        <v>0</v>
      </c>
      <c r="BE87" s="358">
        <f t="shared" si="68"/>
        <v>0</v>
      </c>
      <c r="BF87" s="358">
        <f t="shared" si="68"/>
        <v>0</v>
      </c>
      <c r="BG87" s="358">
        <f t="shared" si="68"/>
        <v>0</v>
      </c>
      <c r="BH87" s="358">
        <f t="shared" si="68"/>
        <v>0</v>
      </c>
      <c r="BI87" s="360">
        <f t="shared" si="61"/>
        <v>0</v>
      </c>
      <c r="BJ87" s="360">
        <f t="shared" si="61"/>
        <v>0</v>
      </c>
      <c r="BK87" s="360">
        <f t="shared" si="61"/>
        <v>0</v>
      </c>
      <c r="BL87" s="360">
        <f t="shared" si="61"/>
        <v>0</v>
      </c>
      <c r="BM87" s="360">
        <f t="shared" si="61"/>
        <v>0</v>
      </c>
      <c r="BN87" s="360">
        <f t="shared" si="61"/>
        <v>0</v>
      </c>
      <c r="BO87" s="360">
        <f t="shared" si="61"/>
        <v>0</v>
      </c>
      <c r="BP87" s="360">
        <f t="shared" si="61"/>
        <v>0</v>
      </c>
      <c r="BQ87" s="360">
        <f t="shared" si="61"/>
        <v>0</v>
      </c>
      <c r="BR87" s="360">
        <f t="shared" si="61"/>
        <v>0</v>
      </c>
      <c r="BS87" s="360">
        <f t="shared" si="61"/>
        <v>0</v>
      </c>
      <c r="BT87" s="360">
        <f t="shared" si="61"/>
        <v>0</v>
      </c>
      <c r="BU87" s="360">
        <f t="shared" si="61"/>
        <v>0</v>
      </c>
      <c r="BV87" s="360">
        <f t="shared" si="61"/>
        <v>0</v>
      </c>
      <c r="BW87" s="362">
        <f t="shared" si="62"/>
        <v>0</v>
      </c>
      <c r="BX87" s="362">
        <f t="shared" si="62"/>
        <v>0</v>
      </c>
      <c r="BY87" s="362">
        <f t="shared" si="62"/>
        <v>0</v>
      </c>
      <c r="BZ87" s="362">
        <f t="shared" si="62"/>
        <v>0</v>
      </c>
      <c r="CA87" s="362">
        <f t="shared" si="62"/>
        <v>0</v>
      </c>
      <c r="CB87" s="362">
        <f t="shared" si="62"/>
        <v>0</v>
      </c>
      <c r="CC87" s="362">
        <f t="shared" si="62"/>
        <v>0</v>
      </c>
      <c r="CD87" s="362">
        <f t="shared" si="62"/>
        <v>0</v>
      </c>
      <c r="CE87" s="362">
        <f t="shared" si="62"/>
        <v>0</v>
      </c>
      <c r="CF87" s="362">
        <f t="shared" si="62"/>
        <v>0</v>
      </c>
      <c r="CG87" s="362">
        <f t="shared" si="62"/>
        <v>0</v>
      </c>
      <c r="CH87" s="362">
        <f t="shared" si="62"/>
        <v>0</v>
      </c>
      <c r="CI87" s="362">
        <f t="shared" si="62"/>
        <v>0</v>
      </c>
      <c r="CJ87" s="362">
        <f t="shared" si="62"/>
        <v>0</v>
      </c>
      <c r="CK87"/>
      <c r="CL87"/>
      <c r="CM87"/>
      <c r="CN87"/>
      <c r="CO87"/>
      <c r="CP87"/>
      <c r="CQ87"/>
      <c r="CR87"/>
      <c r="CS87"/>
      <c r="CT87"/>
      <c r="CU87"/>
      <c r="CV87"/>
      <c r="CW87"/>
      <c r="CX87"/>
      <c r="CY87"/>
      <c r="CZ87"/>
      <c r="DA87"/>
      <c r="DB87"/>
    </row>
    <row r="88" spans="2:134" ht="15" hidden="1" customHeight="1">
      <c r="J88" s="55"/>
      <c r="K88" s="55"/>
      <c r="L88" s="55"/>
      <c r="M88" s="72"/>
      <c r="N88" s="72"/>
      <c r="O88" s="72"/>
      <c r="P88" s="72"/>
      <c r="Q88" s="72"/>
      <c r="R88" s="72"/>
      <c r="S88" s="72"/>
      <c r="T88" s="76"/>
    </row>
    <row r="89" spans="2:134" ht="15" hidden="1" customHeight="1">
      <c r="T89" s="76"/>
    </row>
    <row r="90" spans="2:134" hidden="1">
      <c r="I90" s="3"/>
      <c r="J90" s="3"/>
      <c r="L90" s="13"/>
      <c r="O90" s="75"/>
      <c r="P90"/>
      <c r="Q90"/>
      <c r="R90"/>
      <c r="S90"/>
      <c r="T90"/>
      <c r="AN90" s="1"/>
      <c r="AO90" s="1"/>
      <c r="AP90" s="1"/>
      <c r="BM90" s="1" t="s">
        <v>336</v>
      </c>
      <c r="BN90" s="87">
        <v>1</v>
      </c>
      <c r="BV90"/>
      <c r="BW90"/>
      <c r="BX90"/>
      <c r="BY90"/>
      <c r="BZ90"/>
      <c r="CA90"/>
      <c r="CB90"/>
      <c r="CC90"/>
      <c r="CD90"/>
      <c r="CE90"/>
      <c r="CF90"/>
      <c r="CG90"/>
      <c r="CH90"/>
      <c r="CI90"/>
      <c r="CJ90"/>
      <c r="CK90"/>
    </row>
    <row r="91" spans="2:134" ht="16" hidden="1" thickBot="1">
      <c r="O91" s="76"/>
      <c r="P91"/>
      <c r="Q91"/>
      <c r="R91"/>
      <c r="S91"/>
      <c r="T91"/>
      <c r="AN91" s="1"/>
      <c r="AO91" s="1"/>
      <c r="AP91" s="1"/>
      <c r="BV91"/>
      <c r="BW91"/>
      <c r="BX91"/>
      <c r="BY91"/>
      <c r="BZ91"/>
      <c r="CA91"/>
      <c r="CB91"/>
      <c r="CC91"/>
      <c r="CD91"/>
      <c r="CE91"/>
      <c r="CF91"/>
    </row>
    <row r="92" spans="2:134" ht="21" hidden="1" thickBot="1">
      <c r="C92" s="16" t="s">
        <v>483</v>
      </c>
      <c r="D92" s="17"/>
      <c r="E92" s="17"/>
      <c r="F92" s="17"/>
      <c r="G92" s="70"/>
      <c r="H92" s="70"/>
      <c r="I92" s="70"/>
      <c r="J92"/>
      <c r="K92"/>
      <c r="L92"/>
      <c r="M92"/>
      <c r="N92"/>
      <c r="O92" s="12"/>
      <c r="P92"/>
      <c r="Q92"/>
      <c r="R92"/>
      <c r="S92"/>
      <c r="T9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5.75" hidden="1" customHeight="1" thickBot="1">
      <c r="C93" s="73" t="s">
        <v>747</v>
      </c>
      <c r="D93" s="74"/>
      <c r="E93" s="74"/>
      <c r="F93" s="74"/>
      <c r="G93" s="74"/>
      <c r="H93" s="307"/>
      <c r="I93" s="596"/>
      <c r="J93"/>
      <c r="K93"/>
      <c r="L93"/>
      <c r="M93"/>
      <c r="N93"/>
      <c r="O93" s="12"/>
      <c r="P93"/>
      <c r="Q93"/>
      <c r="R93"/>
      <c r="S93"/>
      <c r="T93"/>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hidden="1" customHeight="1">
      <c r="C94" s="599"/>
      <c r="D94" s="600"/>
      <c r="E94" s="600"/>
      <c r="F94" s="600"/>
      <c r="G94" s="600"/>
      <c r="H94" s="600"/>
      <c r="I94" s="597"/>
      <c r="J94"/>
      <c r="K94"/>
      <c r="L94"/>
      <c r="M94"/>
      <c r="N94"/>
      <c r="O94" s="12"/>
      <c r="P94"/>
      <c r="Q94"/>
      <c r="R94"/>
      <c r="S94"/>
      <c r="T94"/>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15.75" hidden="1" customHeight="1">
      <c r="C95" s="601"/>
      <c r="D95" s="602"/>
      <c r="E95" s="602"/>
      <c r="F95" s="602"/>
      <c r="G95" s="602"/>
      <c r="H95" s="602"/>
      <c r="I95" s="597"/>
      <c r="J95"/>
      <c r="K95"/>
      <c r="L95"/>
      <c r="M95"/>
      <c r="N95"/>
      <c r="O95" s="12"/>
      <c r="P95"/>
      <c r="Q95"/>
      <c r="R95"/>
      <c r="S95"/>
      <c r="T95"/>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ht="33.75" hidden="1" customHeight="1">
      <c r="C96" s="23" t="s">
        <v>2</v>
      </c>
      <c r="D96" s="24" t="s">
        <v>482</v>
      </c>
      <c r="E96" s="402" t="s">
        <v>116</v>
      </c>
      <c r="F96" s="304" t="s">
        <v>6</v>
      </c>
      <c r="G96" s="431" t="str">
        <f>"Waste for
Project #"&amp;$Y$2</f>
        <v>Waste for
Project #C</v>
      </c>
      <c r="H96" s="25" t="s">
        <v>6</v>
      </c>
      <c r="I96" s="598" t="s">
        <v>240</v>
      </c>
      <c r="J96"/>
      <c r="K96"/>
      <c r="L96"/>
      <c r="M96"/>
      <c r="N96"/>
      <c r="O96" s="12"/>
      <c r="P96"/>
      <c r="Q96"/>
      <c r="R96"/>
      <c r="S96"/>
      <c r="T96"/>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hidden="1">
      <c r="B97" s="53">
        <f t="shared" ref="B97:B102" si="69">X97</f>
        <v>0</v>
      </c>
      <c r="C97" s="26">
        <f t="shared" ref="C97:C102" si="70">ROW($C97)-ROW($C$97)+1</f>
        <v>1</v>
      </c>
      <c r="D97" s="41" t="s">
        <v>647</v>
      </c>
      <c r="E97" s="594">
        <f>IF('Plant Inputs'!$AT$22=0,0,'Plant Inputs'!$AV97/'Plant Inputs'!$AT$22)</f>
        <v>0</v>
      </c>
      <c r="F97" s="213" t="str">
        <f t="shared" ref="F97:F102" si="71">MassDisplayUnit&amp;"/"&amp;MassDisplayUnit</f>
        <v>short ton/short ton</v>
      </c>
      <c r="G97" s="158">
        <f>$E97*$AT$18</f>
        <v>0</v>
      </c>
      <c r="H97" s="204" t="str">
        <f t="shared" ref="H97:H102" si="72">MassDisplayUnit</f>
        <v>short ton</v>
      </c>
      <c r="I97" s="156">
        <f t="shared" ref="I97" si="73">IF($G$68=0,0,G97/$G$68)</f>
        <v>0</v>
      </c>
      <c r="J97"/>
      <c r="K97"/>
      <c r="L97"/>
      <c r="M97"/>
      <c r="N97"/>
      <c r="O97" s="12"/>
      <c r="P97"/>
      <c r="Q97"/>
      <c r="R97"/>
      <c r="S97"/>
      <c r="T97"/>
      <c r="X97" s="65">
        <f>'Plant Inputs'!$X97</f>
        <v>0</v>
      </c>
      <c r="Y97" s="216">
        <f>IF(AND($X97=2,'Plant Inputs'!$Y97=1),1,0)</f>
        <v>0</v>
      </c>
      <c r="Z97" s="216">
        <v>2</v>
      </c>
      <c r="AA97" s="216">
        <f>IF($Y97=0,0,IF('Plant Inputs'!J97="",0,'Plant Inputs'!J97))</f>
        <v>0</v>
      </c>
      <c r="AB97" s="216">
        <f>IF($Y97=0,0,IF('Plant Inputs'!K97="",0,'Plant Inputs'!K97))</f>
        <v>0</v>
      </c>
      <c r="AC97" s="216">
        <f>IF($Y97=0,0,IF('Plant Inputs'!L97="",0,'Plant Inputs'!L97))</f>
        <v>0</v>
      </c>
      <c r="AD97" s="216">
        <f>IF($Y97=0,0,IF('Plant Inputs'!M97="",0,'Plant Inputs'!M97))</f>
        <v>0</v>
      </c>
      <c r="AE97" s="217" t="str">
        <f>'Plant Inputs'!$N97</f>
        <v>mile</v>
      </c>
      <c r="AF97" s="217">
        <f t="shared" ref="AF97:AF102" si="74">INDEX(Conversion_Table,MATCH($AE97,Conversion_Rows,0),MATCH($AG$27,Conversion_Columns,0))</f>
        <v>1.6093473468862911</v>
      </c>
      <c r="AG97" s="216" t="str">
        <f t="shared" ref="AG97:AG102" si="75">$AG$27&amp;"/"&amp;$AE97</f>
        <v>km/mile</v>
      </c>
      <c r="AH97" s="216">
        <f t="shared" ref="AH97:AK100" si="76">AA97*$AF97</f>
        <v>0</v>
      </c>
      <c r="AI97" s="216">
        <f t="shared" si="76"/>
        <v>0</v>
      </c>
      <c r="AJ97" s="216">
        <f t="shared" si="76"/>
        <v>0</v>
      </c>
      <c r="AK97" s="216">
        <f t="shared" si="76"/>
        <v>0</v>
      </c>
      <c r="AL97" s="216"/>
      <c r="AM97" s="1" t="str">
        <f t="shared" ref="AM97:AM102" si="77">D97</f>
        <v>Hazardous Waste to Landfill</v>
      </c>
      <c r="AN97" t="s">
        <v>127</v>
      </c>
      <c r="AO97">
        <f t="shared" ref="AO97:AO102" si="78">VLOOKUP(AM97,Material_Densities,2,FALSE)</f>
        <v>0</v>
      </c>
      <c r="AP97" s="1">
        <f>IF($G97="",0,$G97)</f>
        <v>0</v>
      </c>
      <c r="AQ97" s="164" t="str">
        <f>H97</f>
        <v>short ton</v>
      </c>
      <c r="AR97" s="1">
        <f t="shared" ref="AR97:AR102" si="79">IFERROR(IF($AN97="M",INDEX(Conversion_Table,MATCH($AQ97,Conversion_Rows,0),MATCH($AT$29,Conversion_Columns,0)),IF($AN97="V",INDEX(Conversion_Table,MATCH($AQ97,Conversion_Rows,0),MATCH("m3",Conversion_Columns,0))*$AO97)),NA())</f>
        <v>0.90718499588591606</v>
      </c>
      <c r="AS97" s="87" t="str">
        <f>$AT$96&amp;"/"&amp;AQ97</f>
        <v>tonne/short ton</v>
      </c>
      <c r="AT97" s="87">
        <f t="shared" ref="AT97:AT102" si="80">AP97*AR97</f>
        <v>0</v>
      </c>
      <c r="AU97" s="87">
        <f t="shared" ref="AU97:AU102" si="81">INDEX(Conversion_Table,MATCH($AT$29,Conversion_Rows,0),MATCH($AU$29,Conversion_Columns,0))*AT97</f>
        <v>0</v>
      </c>
      <c r="AV97" s="87">
        <f t="shared" ref="AV97:AV102" si="82">$AT97*INDEX(Conversion_Table,MATCH($AT$96,Conversion_Rows,0),MATCH($AV$96,Conversion_Columns,0))</f>
        <v>0</v>
      </c>
      <c r="AW97" s="1" t="str">
        <f t="shared" ref="AW97:AW102" si="83">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84">BM97+CA97+CO97+DC97</f>
        <v>0</v>
      </c>
      <c r="DR97">
        <f t="shared" si="84"/>
        <v>0</v>
      </c>
      <c r="DS97">
        <f t="shared" si="84"/>
        <v>0</v>
      </c>
      <c r="DT97">
        <f t="shared" si="84"/>
        <v>0</v>
      </c>
      <c r="DU97">
        <f t="shared" si="84"/>
        <v>0</v>
      </c>
      <c r="DV97">
        <f t="shared" si="84"/>
        <v>0</v>
      </c>
      <c r="DW97">
        <f t="shared" si="84"/>
        <v>0</v>
      </c>
      <c r="DX97">
        <f t="shared" si="84"/>
        <v>0</v>
      </c>
      <c r="DY97">
        <f t="shared" si="84"/>
        <v>0</v>
      </c>
      <c r="DZ97">
        <f t="shared" si="84"/>
        <v>0</v>
      </c>
      <c r="EA97">
        <f t="shared" si="84"/>
        <v>0</v>
      </c>
      <c r="EB97"/>
      <c r="EC97"/>
      <c r="ED97">
        <f t="shared" ref="ED97:ED102" si="85">BZ97+CN97+DB97+DP97</f>
        <v>0</v>
      </c>
    </row>
    <row r="98" spans="2:134" hidden="1">
      <c r="B98" s="53">
        <f t="shared" si="69"/>
        <v>0</v>
      </c>
      <c r="C98" s="26">
        <f t="shared" si="70"/>
        <v>2</v>
      </c>
      <c r="D98" s="41" t="s">
        <v>648</v>
      </c>
      <c r="E98" s="594">
        <f>IF('Plant Inputs'!$AT$22=0,0,'Plant Inputs'!$AV98/'Plant Inputs'!$AT$22)</f>
        <v>0</v>
      </c>
      <c r="F98" s="213" t="str">
        <f t="shared" si="71"/>
        <v>short ton/short ton</v>
      </c>
      <c r="G98" s="158">
        <f t="shared" ref="G98:G102" si="86">$E98*$AT$18</f>
        <v>0</v>
      </c>
      <c r="H98" s="204" t="str">
        <f t="shared" si="72"/>
        <v>short ton</v>
      </c>
      <c r="I98" s="156">
        <f>IF($G$68=0,0,G98/$G$68)</f>
        <v>0</v>
      </c>
      <c r="J98"/>
      <c r="K98"/>
      <c r="L98"/>
      <c r="M98"/>
      <c r="N98"/>
      <c r="O98" s="12"/>
      <c r="P98"/>
      <c r="Q98"/>
      <c r="R98"/>
      <c r="S98"/>
      <c r="T98"/>
      <c r="X98" s="65">
        <f>'Plant Inputs'!$X98</f>
        <v>0</v>
      </c>
      <c r="Y98" s="216">
        <f>IF(AND($X98=2,'Plant Inputs'!$Y98=1),1,0)</f>
        <v>0</v>
      </c>
      <c r="Z98" s="216">
        <v>2</v>
      </c>
      <c r="AA98" s="216">
        <f>IF($Y98=0,0,IF('Plant Inputs'!J98="",0,'Plant Inputs'!J98))</f>
        <v>0</v>
      </c>
      <c r="AB98" s="216">
        <f>IF($Y98=0,0,IF('Plant Inputs'!K98="",0,'Plant Inputs'!K98))</f>
        <v>0</v>
      </c>
      <c r="AC98" s="216">
        <f>IF($Y98=0,0,IF('Plant Inputs'!L98="",0,'Plant Inputs'!L98))</f>
        <v>0</v>
      </c>
      <c r="AD98" s="216">
        <f>IF($Y98=0,0,IF('Plant Inputs'!M98="",0,'Plant Inputs'!M98))</f>
        <v>0</v>
      </c>
      <c r="AE98" s="217" t="str">
        <f>'Plant Inputs'!$N98</f>
        <v>mile</v>
      </c>
      <c r="AF98" s="217">
        <f t="shared" si="74"/>
        <v>1.6093473468862911</v>
      </c>
      <c r="AG98" s="216" t="str">
        <f t="shared" si="75"/>
        <v>km/mile</v>
      </c>
      <c r="AH98" s="216">
        <f t="shared" si="76"/>
        <v>0</v>
      </c>
      <c r="AI98" s="216">
        <f t="shared" si="76"/>
        <v>0</v>
      </c>
      <c r="AJ98" s="216">
        <f t="shared" si="76"/>
        <v>0</v>
      </c>
      <c r="AK98" s="216">
        <f t="shared" si="76"/>
        <v>0</v>
      </c>
      <c r="AL98" s="216"/>
      <c r="AM98" s="1" t="str">
        <f t="shared" si="77"/>
        <v>Hazardous Waste to Recycling Facility</v>
      </c>
      <c r="AN98" t="s">
        <v>127</v>
      </c>
      <c r="AO98">
        <f t="shared" si="78"/>
        <v>0</v>
      </c>
      <c r="AP98" s="1">
        <f t="shared" ref="AP98:AP102" si="87">IF($G98="",0,$G98)</f>
        <v>0</v>
      </c>
      <c r="AQ98" s="164" t="str">
        <f t="shared" ref="AQ98:AQ102" si="88">H98</f>
        <v>short ton</v>
      </c>
      <c r="AR98" s="1">
        <f t="shared" si="79"/>
        <v>0.90718499588591606</v>
      </c>
      <c r="AS98" s="87" t="str">
        <f t="shared" ref="AS98:AS102" si="89">$AT$96&amp;"/"&amp;AQ98</f>
        <v>tonne/short ton</v>
      </c>
      <c r="AT98" s="87">
        <f t="shared" si="80"/>
        <v>0</v>
      </c>
      <c r="AU98" s="87">
        <f t="shared" si="81"/>
        <v>0</v>
      </c>
      <c r="AV98" s="87">
        <f t="shared" si="82"/>
        <v>0</v>
      </c>
      <c r="AW98" s="1" t="str">
        <f t="shared" si="83"/>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84"/>
        <v>0</v>
      </c>
      <c r="DR98">
        <f t="shared" si="84"/>
        <v>0</v>
      </c>
      <c r="DS98">
        <f t="shared" si="84"/>
        <v>0</v>
      </c>
      <c r="DT98">
        <f t="shared" si="84"/>
        <v>0</v>
      </c>
      <c r="DU98">
        <f t="shared" si="84"/>
        <v>0</v>
      </c>
      <c r="DV98">
        <f t="shared" si="84"/>
        <v>0</v>
      </c>
      <c r="DW98">
        <f t="shared" si="84"/>
        <v>0</v>
      </c>
      <c r="DX98">
        <f t="shared" si="84"/>
        <v>0</v>
      </c>
      <c r="DY98">
        <f t="shared" si="84"/>
        <v>0</v>
      </c>
      <c r="DZ98">
        <f t="shared" si="84"/>
        <v>0</v>
      </c>
      <c r="EA98">
        <f t="shared" si="84"/>
        <v>0</v>
      </c>
      <c r="EB98"/>
      <c r="EC98"/>
      <c r="ED98">
        <f t="shared" si="85"/>
        <v>0</v>
      </c>
    </row>
    <row r="99" spans="2:134" hidden="1">
      <c r="B99" s="53">
        <f t="shared" si="69"/>
        <v>0</v>
      </c>
      <c r="C99" s="26">
        <f t="shared" si="70"/>
        <v>3</v>
      </c>
      <c r="D99" s="41" t="s">
        <v>652</v>
      </c>
      <c r="E99" s="594">
        <f>IF('Plant Inputs'!$AT$22=0,0,'Plant Inputs'!$AV99/'Plant Inputs'!$AT$22)</f>
        <v>0</v>
      </c>
      <c r="F99" s="213" t="str">
        <f t="shared" si="71"/>
        <v>short ton/short ton</v>
      </c>
      <c r="G99" s="158">
        <f t="shared" si="86"/>
        <v>0</v>
      </c>
      <c r="H99" s="204" t="str">
        <f t="shared" si="72"/>
        <v>short ton</v>
      </c>
      <c r="I99" s="156">
        <f>IF($G$68=0,0,G99/$G$68)</f>
        <v>0</v>
      </c>
      <c r="J99"/>
      <c r="K99"/>
      <c r="L99"/>
      <c r="M99"/>
      <c r="N99"/>
      <c r="O99" s="12"/>
      <c r="P99"/>
      <c r="Q99"/>
      <c r="R99"/>
      <c r="S99"/>
      <c r="T99"/>
      <c r="X99" s="65">
        <f>'Plant Inputs'!$X99</f>
        <v>0</v>
      </c>
      <c r="Y99" s="216">
        <f>IF(AND($X99=2,'Plant Inputs'!$Y99=1),1,0)</f>
        <v>0</v>
      </c>
      <c r="Z99" s="216">
        <v>2</v>
      </c>
      <c r="AA99" s="216">
        <f>IF($Y99=0,0,IF('Plant Inputs'!J99="",0,'Plant Inputs'!J99))</f>
        <v>0</v>
      </c>
      <c r="AB99" s="216">
        <f>IF($Y99=0,0,IF('Plant Inputs'!K99="",0,'Plant Inputs'!K99))</f>
        <v>0</v>
      </c>
      <c r="AC99" s="216">
        <f>IF($Y99=0,0,IF('Plant Inputs'!L99="",0,'Plant Inputs'!L99))</f>
        <v>0</v>
      </c>
      <c r="AD99" s="216">
        <f>IF($Y99=0,0,IF('Plant Inputs'!M99="",0,'Plant Inputs'!M99))</f>
        <v>0</v>
      </c>
      <c r="AE99" s="217" t="str">
        <f>'Plant Inputs'!$N99</f>
        <v>mile</v>
      </c>
      <c r="AF99" s="217">
        <f t="shared" si="74"/>
        <v>1.6093473468862911</v>
      </c>
      <c r="AG99" s="216" t="str">
        <f t="shared" si="75"/>
        <v>km/mile</v>
      </c>
      <c r="AH99" s="216">
        <f t="shared" si="76"/>
        <v>0</v>
      </c>
      <c r="AI99" s="216">
        <f t="shared" si="76"/>
        <v>0</v>
      </c>
      <c r="AJ99" s="216">
        <f t="shared" si="76"/>
        <v>0</v>
      </c>
      <c r="AK99" s="216">
        <f t="shared" si="76"/>
        <v>0</v>
      </c>
      <c r="AL99" s="216"/>
      <c r="AM99" s="1" t="str">
        <f t="shared" si="77"/>
        <v>Hazardous Waste to Incineration Facility</v>
      </c>
      <c r="AN99" t="s">
        <v>127</v>
      </c>
      <c r="AO99">
        <f t="shared" si="78"/>
        <v>0</v>
      </c>
      <c r="AP99" s="1">
        <f t="shared" si="87"/>
        <v>0</v>
      </c>
      <c r="AQ99" s="164" t="str">
        <f t="shared" si="88"/>
        <v>short ton</v>
      </c>
      <c r="AR99" s="1">
        <f t="shared" si="79"/>
        <v>0.90718499588591606</v>
      </c>
      <c r="AS99" s="87" t="str">
        <f t="shared" si="89"/>
        <v>tonne/short ton</v>
      </c>
      <c r="AT99" s="87">
        <f t="shared" si="80"/>
        <v>0</v>
      </c>
      <c r="AU99" s="87">
        <f t="shared" si="81"/>
        <v>0</v>
      </c>
      <c r="AV99" s="87">
        <f t="shared" si="82"/>
        <v>0</v>
      </c>
      <c r="AW99" s="1" t="str">
        <f t="shared" si="83"/>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84"/>
        <v>0</v>
      </c>
      <c r="DR99">
        <f t="shared" si="84"/>
        <v>0</v>
      </c>
      <c r="DS99">
        <f t="shared" si="84"/>
        <v>0</v>
      </c>
      <c r="DT99">
        <f t="shared" si="84"/>
        <v>0</v>
      </c>
      <c r="DU99">
        <f t="shared" si="84"/>
        <v>0</v>
      </c>
      <c r="DV99">
        <f t="shared" si="84"/>
        <v>0</v>
      </c>
      <c r="DW99">
        <f t="shared" si="84"/>
        <v>0</v>
      </c>
      <c r="DX99">
        <f t="shared" si="84"/>
        <v>0</v>
      </c>
      <c r="DY99">
        <f t="shared" si="84"/>
        <v>0</v>
      </c>
      <c r="DZ99">
        <f t="shared" si="84"/>
        <v>0</v>
      </c>
      <c r="EA99">
        <f t="shared" si="84"/>
        <v>0</v>
      </c>
      <c r="EB99"/>
      <c r="EC99"/>
      <c r="ED99">
        <f t="shared" si="85"/>
        <v>0</v>
      </c>
    </row>
    <row r="100" spans="2:134" hidden="1">
      <c r="B100" s="53">
        <f t="shared" si="69"/>
        <v>0</v>
      </c>
      <c r="C100" s="26">
        <f t="shared" si="70"/>
        <v>4</v>
      </c>
      <c r="D100" s="41" t="s">
        <v>649</v>
      </c>
      <c r="E100" s="594">
        <f>IF('Plant Inputs'!$AT$22=0,0,'Plant Inputs'!$AV100/'Plant Inputs'!$AT$22)</f>
        <v>0</v>
      </c>
      <c r="F100" s="213" t="str">
        <f t="shared" si="71"/>
        <v>short ton/short ton</v>
      </c>
      <c r="G100" s="158">
        <f t="shared" si="86"/>
        <v>0</v>
      </c>
      <c r="H100" s="204" t="str">
        <f t="shared" si="72"/>
        <v>short ton</v>
      </c>
      <c r="I100" s="156">
        <f t="shared" ref="I100" si="90">IF($G$68=0,0,G100/$G$68)</f>
        <v>0</v>
      </c>
      <c r="J100"/>
      <c r="K100"/>
      <c r="L100"/>
      <c r="M100"/>
      <c r="N100"/>
      <c r="O100" s="12"/>
      <c r="P100"/>
      <c r="Q100"/>
      <c r="R100"/>
      <c r="S100"/>
      <c r="T100"/>
      <c r="X100" s="65">
        <f>'Plant Inputs'!$X100</f>
        <v>0</v>
      </c>
      <c r="Y100" s="216">
        <f>IF(AND($X100=2,'Plant Inputs'!$Y100=1),1,0)</f>
        <v>0</v>
      </c>
      <c r="Z100" s="216">
        <v>2</v>
      </c>
      <c r="AA100" s="216">
        <f>IF($Y100=0,0,IF('Plant Inputs'!J100="",0,'Plant Inputs'!J100))</f>
        <v>0</v>
      </c>
      <c r="AB100" s="216">
        <f>IF($Y100=0,0,IF('Plant Inputs'!K100="",0,'Plant Inputs'!K100))</f>
        <v>0</v>
      </c>
      <c r="AC100" s="216">
        <f>IF($Y100=0,0,IF('Plant Inputs'!L100="",0,'Plant Inputs'!L100))</f>
        <v>0</v>
      </c>
      <c r="AD100" s="216">
        <f>IF($Y100=0,0,IF('Plant Inputs'!M100="",0,'Plant Inputs'!M100))</f>
        <v>0</v>
      </c>
      <c r="AE100" s="217" t="str">
        <f>'Plant Inputs'!$N100</f>
        <v>mile</v>
      </c>
      <c r="AF100" s="217">
        <f t="shared" si="74"/>
        <v>1.6093473468862911</v>
      </c>
      <c r="AG100" s="216" t="str">
        <f t="shared" si="75"/>
        <v>km/mile</v>
      </c>
      <c r="AH100" s="216">
        <f t="shared" si="76"/>
        <v>0</v>
      </c>
      <c r="AI100" s="216">
        <f t="shared" si="76"/>
        <v>0</v>
      </c>
      <c r="AJ100" s="216">
        <f t="shared" si="76"/>
        <v>0</v>
      </c>
      <c r="AK100" s="216">
        <f t="shared" si="76"/>
        <v>0</v>
      </c>
      <c r="AL100" s="216"/>
      <c r="AM100" s="1" t="str">
        <f t="shared" si="77"/>
        <v>Non-Hazardous Waste to Landfill</v>
      </c>
      <c r="AN100" t="s">
        <v>127</v>
      </c>
      <c r="AO100">
        <f t="shared" si="78"/>
        <v>0</v>
      </c>
      <c r="AP100" s="1">
        <f t="shared" si="87"/>
        <v>0</v>
      </c>
      <c r="AQ100" s="164" t="str">
        <f t="shared" si="88"/>
        <v>short ton</v>
      </c>
      <c r="AR100" s="1">
        <f t="shared" si="79"/>
        <v>0.90718499588591606</v>
      </c>
      <c r="AS100" s="87" t="str">
        <f t="shared" si="89"/>
        <v>tonne/short ton</v>
      </c>
      <c r="AT100" s="87">
        <f t="shared" si="80"/>
        <v>0</v>
      </c>
      <c r="AU100" s="87">
        <f t="shared" si="81"/>
        <v>0</v>
      </c>
      <c r="AV100" s="87">
        <f t="shared" si="82"/>
        <v>0</v>
      </c>
      <c r="AW100" s="1" t="str">
        <f t="shared" si="83"/>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84"/>
        <v>0</v>
      </c>
      <c r="DR100">
        <f t="shared" si="84"/>
        <v>0</v>
      </c>
      <c r="DS100">
        <f t="shared" si="84"/>
        <v>0</v>
      </c>
      <c r="DT100">
        <f t="shared" si="84"/>
        <v>0</v>
      </c>
      <c r="DU100">
        <f t="shared" si="84"/>
        <v>0</v>
      </c>
      <c r="DV100">
        <f t="shared" si="84"/>
        <v>0</v>
      </c>
      <c r="DW100">
        <f t="shared" si="84"/>
        <v>0</v>
      </c>
      <c r="DX100">
        <f t="shared" si="84"/>
        <v>0</v>
      </c>
      <c r="DY100">
        <f t="shared" si="84"/>
        <v>0</v>
      </c>
      <c r="DZ100">
        <f t="shared" si="84"/>
        <v>0</v>
      </c>
      <c r="EA100">
        <f t="shared" si="84"/>
        <v>0</v>
      </c>
      <c r="EB100"/>
      <c r="EC100"/>
      <c r="ED100">
        <f t="shared" si="85"/>
        <v>0</v>
      </c>
    </row>
    <row r="101" spans="2:134" hidden="1">
      <c r="B101" s="53">
        <f t="shared" si="69"/>
        <v>0</v>
      </c>
      <c r="C101" s="26">
        <f t="shared" si="70"/>
        <v>5</v>
      </c>
      <c r="D101" s="41" t="s">
        <v>650</v>
      </c>
      <c r="E101" s="594">
        <f>IF('Plant Inputs'!$AT$22=0,0,'Plant Inputs'!$AV101/'Plant Inputs'!$AT$22)</f>
        <v>0</v>
      </c>
      <c r="F101" s="213" t="str">
        <f t="shared" si="71"/>
        <v>short ton/short ton</v>
      </c>
      <c r="G101" s="158">
        <f t="shared" si="86"/>
        <v>0</v>
      </c>
      <c r="H101" s="204" t="str">
        <f t="shared" si="72"/>
        <v>short ton</v>
      </c>
      <c r="I101" s="156">
        <f>IF($G$68=0,0,G101/$G$68)</f>
        <v>0</v>
      </c>
      <c r="J101"/>
      <c r="K101"/>
      <c r="L101"/>
      <c r="M101"/>
      <c r="N101"/>
      <c r="O101" s="12"/>
      <c r="P101"/>
      <c r="Q101"/>
      <c r="R101"/>
      <c r="S101"/>
      <c r="T101"/>
      <c r="X101" s="65">
        <f>'Plant Inputs'!$X101</f>
        <v>0</v>
      </c>
      <c r="Y101" s="216">
        <f>IF(AND($X101=2,'Plant Inputs'!$Y101=1),1,0)</f>
        <v>0</v>
      </c>
      <c r="Z101" s="216">
        <v>2</v>
      </c>
      <c r="AA101" s="216">
        <f>IF($Y101=0,0,IF('Plant Inputs'!J101="",0,'Plant Inputs'!J101))</f>
        <v>0</v>
      </c>
      <c r="AB101" s="216">
        <f>IF($Y101=0,0,IF('Plant Inputs'!K101="",0,'Plant Inputs'!K101))</f>
        <v>0</v>
      </c>
      <c r="AC101" s="216">
        <f>IF($Y101=0,0,IF('Plant Inputs'!L101="",0,'Plant Inputs'!L101))</f>
        <v>0</v>
      </c>
      <c r="AD101" s="216">
        <f>IF($Y101=0,0,IF('Plant Inputs'!M101="",0,'Plant Inputs'!M101))</f>
        <v>0</v>
      </c>
      <c r="AE101" s="217" t="str">
        <f>'Plant Inputs'!$N101</f>
        <v>mile</v>
      </c>
      <c r="AF101" s="217">
        <f t="shared" si="74"/>
        <v>1.6093473468862911</v>
      </c>
      <c r="AG101" s="216" t="str">
        <f t="shared" si="75"/>
        <v>km/mile</v>
      </c>
      <c r="AH101" s="216">
        <f>AA101*$AF101</f>
        <v>0</v>
      </c>
      <c r="AI101" s="216">
        <f>AB101*$AF101</f>
        <v>0</v>
      </c>
      <c r="AJ101" s="216">
        <f>AC101*$AF101</f>
        <v>0</v>
      </c>
      <c r="AK101" s="216">
        <f>AD101*$AF101</f>
        <v>0</v>
      </c>
      <c r="AL101" s="216"/>
      <c r="AM101" s="1" t="str">
        <f t="shared" si="77"/>
        <v>Non-Hazardous Waste to Recycling Facility</v>
      </c>
      <c r="AN101" t="s">
        <v>127</v>
      </c>
      <c r="AO101">
        <f t="shared" si="78"/>
        <v>0</v>
      </c>
      <c r="AP101" s="1">
        <f t="shared" si="87"/>
        <v>0</v>
      </c>
      <c r="AQ101" s="164" t="str">
        <f t="shared" si="88"/>
        <v>short ton</v>
      </c>
      <c r="AR101" s="1">
        <f t="shared" si="79"/>
        <v>0.90718499588591606</v>
      </c>
      <c r="AS101" s="87" t="str">
        <f t="shared" si="89"/>
        <v>tonne/short ton</v>
      </c>
      <c r="AT101" s="87">
        <f t="shared" si="80"/>
        <v>0</v>
      </c>
      <c r="AU101" s="87">
        <f t="shared" si="81"/>
        <v>0</v>
      </c>
      <c r="AV101" s="87">
        <f t="shared" si="82"/>
        <v>0</v>
      </c>
      <c r="AW101" s="1" t="str">
        <f t="shared" si="83"/>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84"/>
        <v>0</v>
      </c>
      <c r="DR101">
        <f t="shared" si="84"/>
        <v>0</v>
      </c>
      <c r="DS101">
        <f t="shared" si="84"/>
        <v>0</v>
      </c>
      <c r="DT101">
        <f t="shared" si="84"/>
        <v>0</v>
      </c>
      <c r="DU101">
        <f t="shared" si="84"/>
        <v>0</v>
      </c>
      <c r="DV101">
        <f t="shared" si="84"/>
        <v>0</v>
      </c>
      <c r="DW101">
        <f t="shared" si="84"/>
        <v>0</v>
      </c>
      <c r="DX101">
        <f t="shared" si="84"/>
        <v>0</v>
      </c>
      <c r="DY101">
        <f t="shared" si="84"/>
        <v>0</v>
      </c>
      <c r="DZ101">
        <f t="shared" si="84"/>
        <v>0</v>
      </c>
      <c r="EA101">
        <f t="shared" si="84"/>
        <v>0</v>
      </c>
      <c r="EB101"/>
      <c r="EC101"/>
      <c r="ED101">
        <f t="shared" si="85"/>
        <v>0</v>
      </c>
    </row>
    <row r="102" spans="2:134" ht="16" hidden="1" thickBot="1">
      <c r="B102" s="53">
        <f t="shared" si="69"/>
        <v>0</v>
      </c>
      <c r="C102" s="32">
        <f t="shared" si="70"/>
        <v>6</v>
      </c>
      <c r="D102" s="363" t="s">
        <v>651</v>
      </c>
      <c r="E102" s="594">
        <f>IF('Plant Inputs'!$AT$22=0,0,'Plant Inputs'!$AV102/'Plant Inputs'!$AT$22)</f>
        <v>0</v>
      </c>
      <c r="F102" s="213" t="str">
        <f t="shared" si="71"/>
        <v>short ton/short ton</v>
      </c>
      <c r="G102" s="158">
        <f t="shared" si="86"/>
        <v>0</v>
      </c>
      <c r="H102" s="227" t="str">
        <f t="shared" si="72"/>
        <v>short ton</v>
      </c>
      <c r="I102" s="397">
        <f t="shared" ref="I102" si="91">IF($G$68=0,0,G102/$G$68)</f>
        <v>0</v>
      </c>
      <c r="J102"/>
      <c r="K102"/>
      <c r="L102"/>
      <c r="M102"/>
      <c r="N102"/>
      <c r="O102" s="12"/>
      <c r="P102"/>
      <c r="Q102"/>
      <c r="R102"/>
      <c r="S102"/>
      <c r="T102"/>
      <c r="X102" s="65">
        <f>'Plant Inputs'!$X102</f>
        <v>0</v>
      </c>
      <c r="Y102" s="216">
        <f>IF(AND($X102=2,'Plant Inputs'!$Y102=1),1,0)</f>
        <v>0</v>
      </c>
      <c r="Z102" s="216">
        <v>2</v>
      </c>
      <c r="AA102" s="216">
        <f>IF($Y102=0,0,IF('Plant Inputs'!J102="",0,'Plant Inputs'!J102))</f>
        <v>0</v>
      </c>
      <c r="AB102" s="216">
        <f>IF($Y102=0,0,IF('Plant Inputs'!K102="",0,'Plant Inputs'!K102))</f>
        <v>0</v>
      </c>
      <c r="AC102" s="216">
        <f>IF($Y102=0,0,IF('Plant Inputs'!L102="",0,'Plant Inputs'!L102))</f>
        <v>0</v>
      </c>
      <c r="AD102" s="216">
        <f>IF($Y102=0,0,IF('Plant Inputs'!M102="",0,'Plant Inputs'!M102))</f>
        <v>0</v>
      </c>
      <c r="AE102" s="217" t="str">
        <f>'Plant Inputs'!$N102</f>
        <v>mile</v>
      </c>
      <c r="AF102" s="217">
        <f t="shared" si="74"/>
        <v>1.6093473468862911</v>
      </c>
      <c r="AG102" s="216" t="str">
        <f t="shared" si="75"/>
        <v>km/mile</v>
      </c>
      <c r="AH102" s="216">
        <f t="shared" ref="AH102:AK102" si="92">AA102*$AF102</f>
        <v>0</v>
      </c>
      <c r="AI102" s="216">
        <f t="shared" si="92"/>
        <v>0</v>
      </c>
      <c r="AJ102" s="216">
        <f t="shared" si="92"/>
        <v>0</v>
      </c>
      <c r="AK102" s="216">
        <f t="shared" si="92"/>
        <v>0</v>
      </c>
      <c r="AL102" s="216"/>
      <c r="AM102" s="1" t="str">
        <f t="shared" si="77"/>
        <v>Non-Hazardous Waste to Incineration Facility</v>
      </c>
      <c r="AN102" t="s">
        <v>127</v>
      </c>
      <c r="AO102">
        <f t="shared" si="78"/>
        <v>0</v>
      </c>
      <c r="AP102" s="1">
        <f t="shared" si="87"/>
        <v>0</v>
      </c>
      <c r="AQ102" s="164" t="str">
        <f t="shared" si="88"/>
        <v>short ton</v>
      </c>
      <c r="AR102" s="1">
        <f t="shared" si="79"/>
        <v>0.90718499588591606</v>
      </c>
      <c r="AS102" s="87" t="str">
        <f t="shared" si="89"/>
        <v>tonne/short ton</v>
      </c>
      <c r="AT102" s="87">
        <f t="shared" si="80"/>
        <v>0</v>
      </c>
      <c r="AU102" s="87">
        <f t="shared" si="81"/>
        <v>0</v>
      </c>
      <c r="AV102" s="87">
        <f t="shared" si="82"/>
        <v>0</v>
      </c>
      <c r="AW102" s="1" t="str">
        <f t="shared" si="83"/>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84"/>
        <v>0</v>
      </c>
      <c r="DR102">
        <f t="shared" si="84"/>
        <v>0</v>
      </c>
      <c r="DS102">
        <f t="shared" si="84"/>
        <v>0</v>
      </c>
      <c r="DT102">
        <f t="shared" si="84"/>
        <v>0</v>
      </c>
      <c r="DU102">
        <f t="shared" si="84"/>
        <v>0</v>
      </c>
      <c r="DV102">
        <f t="shared" si="84"/>
        <v>0</v>
      </c>
      <c r="DW102">
        <f t="shared" si="84"/>
        <v>0</v>
      </c>
      <c r="DX102">
        <f t="shared" si="84"/>
        <v>0</v>
      </c>
      <c r="DY102">
        <f t="shared" si="84"/>
        <v>0</v>
      </c>
      <c r="DZ102">
        <f t="shared" si="84"/>
        <v>0</v>
      </c>
      <c r="EA102">
        <f t="shared" si="84"/>
        <v>0</v>
      </c>
      <c r="EB102"/>
      <c r="EC102"/>
      <c r="ED102">
        <f t="shared" si="85"/>
        <v>0</v>
      </c>
    </row>
    <row r="103" spans="2:134" ht="16" hidden="1" thickBot="1">
      <c r="D103"/>
      <c r="E103" s="487"/>
      <c r="F103" s="488" t="s">
        <v>671</v>
      </c>
      <c r="G103" s="489">
        <f>IF(SUM($G$97:$G$102)=0,0,($G$98+$G$99+$G$101+$G$102)/SUM($G$97:$G$102))</f>
        <v>0</v>
      </c>
      <c r="H103"/>
      <c r="I103"/>
      <c r="J103"/>
      <c r="K103"/>
      <c r="L103"/>
      <c r="P103"/>
      <c r="Q103"/>
      <c r="R103"/>
      <c r="S103"/>
      <c r="T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93">SUM(AY97:AY102)</f>
        <v>0</v>
      </c>
      <c r="AZ103" s="313">
        <f t="shared" si="93"/>
        <v>0</v>
      </c>
      <c r="BA103" s="313">
        <f t="shared" si="93"/>
        <v>0</v>
      </c>
      <c r="BB103" s="313">
        <f t="shared" si="93"/>
        <v>0</v>
      </c>
      <c r="BC103" s="313">
        <f t="shared" si="93"/>
        <v>0</v>
      </c>
      <c r="BD103" s="313">
        <f t="shared" si="93"/>
        <v>0</v>
      </c>
      <c r="BE103" s="313">
        <f t="shared" si="93"/>
        <v>0</v>
      </c>
      <c r="BF103" s="313">
        <f t="shared" si="93"/>
        <v>0</v>
      </c>
      <c r="BG103" s="313">
        <f t="shared" si="93"/>
        <v>0</v>
      </c>
      <c r="BH103" s="313">
        <f t="shared" si="93"/>
        <v>0</v>
      </c>
      <c r="BI103" s="313">
        <f t="shared" si="93"/>
        <v>0</v>
      </c>
      <c r="BJ103" s="313">
        <f t="shared" si="93"/>
        <v>0</v>
      </c>
      <c r="BK103" s="313">
        <f t="shared" si="93"/>
        <v>0</v>
      </c>
      <c r="BM103">
        <f t="shared" ref="BM103:DX103" si="94">SUM(BM97:BM102)</f>
        <v>0</v>
      </c>
      <c r="BN103">
        <f t="shared" si="94"/>
        <v>0</v>
      </c>
      <c r="BO103">
        <f t="shared" si="94"/>
        <v>0</v>
      </c>
      <c r="BP103">
        <f t="shared" si="94"/>
        <v>0</v>
      </c>
      <c r="BQ103">
        <f t="shared" si="94"/>
        <v>0</v>
      </c>
      <c r="BR103">
        <f t="shared" si="94"/>
        <v>0</v>
      </c>
      <c r="BS103">
        <f t="shared" si="94"/>
        <v>0</v>
      </c>
      <c r="BT103">
        <f t="shared" si="94"/>
        <v>0</v>
      </c>
      <c r="BU103">
        <f t="shared" si="94"/>
        <v>0</v>
      </c>
      <c r="BV103">
        <f t="shared" si="94"/>
        <v>0</v>
      </c>
      <c r="BW103">
        <f t="shared" si="94"/>
        <v>0</v>
      </c>
      <c r="BX103">
        <f t="shared" si="94"/>
        <v>0</v>
      </c>
      <c r="BY103">
        <f t="shared" si="94"/>
        <v>0</v>
      </c>
      <c r="BZ103">
        <f t="shared" si="94"/>
        <v>0</v>
      </c>
      <c r="CA103">
        <f t="shared" si="94"/>
        <v>0</v>
      </c>
      <c r="CB103">
        <f t="shared" si="94"/>
        <v>0</v>
      </c>
      <c r="CC103">
        <f t="shared" si="94"/>
        <v>0</v>
      </c>
      <c r="CD103">
        <f t="shared" si="94"/>
        <v>0</v>
      </c>
      <c r="CE103">
        <f t="shared" si="94"/>
        <v>0</v>
      </c>
      <c r="CF103">
        <f t="shared" si="94"/>
        <v>0</v>
      </c>
      <c r="CG103">
        <f t="shared" si="94"/>
        <v>0</v>
      </c>
      <c r="CH103">
        <f t="shared" si="94"/>
        <v>0</v>
      </c>
      <c r="CI103">
        <f t="shared" si="94"/>
        <v>0</v>
      </c>
      <c r="CJ103">
        <f t="shared" si="94"/>
        <v>0</v>
      </c>
      <c r="CK103">
        <f t="shared" si="94"/>
        <v>0</v>
      </c>
      <c r="CL103">
        <f t="shared" si="94"/>
        <v>0</v>
      </c>
      <c r="CM103">
        <f t="shared" si="94"/>
        <v>0</v>
      </c>
      <c r="CN103">
        <f t="shared" si="94"/>
        <v>0</v>
      </c>
      <c r="CO103">
        <f t="shared" si="94"/>
        <v>0</v>
      </c>
      <c r="CP103">
        <f t="shared" si="94"/>
        <v>0</v>
      </c>
      <c r="CQ103">
        <f t="shared" si="94"/>
        <v>0</v>
      </c>
      <c r="CR103">
        <f t="shared" si="94"/>
        <v>0</v>
      </c>
      <c r="CS103">
        <f t="shared" si="94"/>
        <v>0</v>
      </c>
      <c r="CT103">
        <f t="shared" si="94"/>
        <v>0</v>
      </c>
      <c r="CU103">
        <f t="shared" si="94"/>
        <v>0</v>
      </c>
      <c r="CV103">
        <f t="shared" si="94"/>
        <v>0</v>
      </c>
      <c r="CW103">
        <f t="shared" si="94"/>
        <v>0</v>
      </c>
      <c r="CX103">
        <f t="shared" si="94"/>
        <v>0</v>
      </c>
      <c r="CY103">
        <f t="shared" si="94"/>
        <v>0</v>
      </c>
      <c r="CZ103">
        <f t="shared" si="94"/>
        <v>0</v>
      </c>
      <c r="DA103">
        <f t="shared" si="94"/>
        <v>0</v>
      </c>
      <c r="DB103">
        <f t="shared" si="94"/>
        <v>0</v>
      </c>
      <c r="DC103">
        <f t="shared" si="94"/>
        <v>0</v>
      </c>
      <c r="DD103">
        <f t="shared" si="94"/>
        <v>0</v>
      </c>
      <c r="DE103">
        <f t="shared" si="94"/>
        <v>0</v>
      </c>
      <c r="DF103">
        <f t="shared" si="94"/>
        <v>0</v>
      </c>
      <c r="DG103">
        <f t="shared" si="94"/>
        <v>0</v>
      </c>
      <c r="DH103">
        <f t="shared" si="94"/>
        <v>0</v>
      </c>
      <c r="DI103">
        <f t="shared" si="94"/>
        <v>0</v>
      </c>
      <c r="DJ103">
        <f t="shared" si="94"/>
        <v>0</v>
      </c>
      <c r="DK103">
        <f t="shared" si="94"/>
        <v>0</v>
      </c>
      <c r="DL103">
        <f t="shared" si="94"/>
        <v>0</v>
      </c>
      <c r="DM103">
        <f t="shared" si="94"/>
        <v>0</v>
      </c>
      <c r="DN103">
        <f t="shared" si="94"/>
        <v>0</v>
      </c>
      <c r="DO103">
        <f t="shared" si="94"/>
        <v>0</v>
      </c>
      <c r="DP103">
        <f t="shared" si="94"/>
        <v>0</v>
      </c>
      <c r="DQ103" s="12">
        <f t="shared" si="94"/>
        <v>0</v>
      </c>
      <c r="DR103" s="12">
        <f t="shared" si="94"/>
        <v>0</v>
      </c>
      <c r="DS103" s="12">
        <f t="shared" si="94"/>
        <v>0</v>
      </c>
      <c r="DT103" s="12">
        <f t="shared" si="94"/>
        <v>0</v>
      </c>
      <c r="DU103" s="12">
        <f t="shared" si="94"/>
        <v>0</v>
      </c>
      <c r="DV103" s="12">
        <f t="shared" si="94"/>
        <v>0</v>
      </c>
      <c r="DW103" s="12">
        <f t="shared" si="94"/>
        <v>0</v>
      </c>
      <c r="DX103" s="12">
        <f t="shared" si="94"/>
        <v>0</v>
      </c>
      <c r="DY103" s="12">
        <f t="shared" ref="DY103:ED103" si="95">SUM(DY97:DY102)</f>
        <v>0</v>
      </c>
      <c r="DZ103" s="12">
        <f t="shared" si="95"/>
        <v>0</v>
      </c>
      <c r="EA103" s="12">
        <f t="shared" si="95"/>
        <v>0</v>
      </c>
      <c r="ED103" s="12">
        <f t="shared" si="95"/>
        <v>0</v>
      </c>
    </row>
    <row r="104" spans="2:134" hidden="1">
      <c r="L104" s="13"/>
      <c r="P104"/>
      <c r="Q104"/>
      <c r="R104"/>
      <c r="S104"/>
      <c r="T104"/>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96">DW103-BS108</f>
        <v>0</v>
      </c>
      <c r="DA104" s="318">
        <f t="shared" si="96"/>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c r="L105" s="13"/>
      <c r="P105"/>
      <c r="Q105"/>
      <c r="R105"/>
      <c r="S105"/>
      <c r="T105"/>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c r="D106"/>
      <c r="E106"/>
      <c r="F106"/>
      <c r="G106"/>
      <c r="H106"/>
      <c r="I106"/>
      <c r="J106"/>
      <c r="K106"/>
      <c r="L106" s="13"/>
      <c r="P106"/>
      <c r="Q106"/>
      <c r="R106"/>
      <c r="S106"/>
      <c r="T106"/>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c r="D107"/>
      <c r="E107"/>
      <c r="F107"/>
      <c r="G107"/>
      <c r="H107"/>
      <c r="I107"/>
      <c r="J107"/>
      <c r="K107"/>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c r="D108"/>
      <c r="E108"/>
      <c r="F108"/>
      <c r="G108"/>
      <c r="H108"/>
      <c r="I108"/>
      <c r="J108"/>
      <c r="K108"/>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Y108" si="97">BM$103+CA$103+CO$103+DC$103</f>
        <v>0</v>
      </c>
      <c r="BN108" s="570">
        <f t="shared" si="97"/>
        <v>0</v>
      </c>
      <c r="BO108" s="570">
        <f t="shared" si="97"/>
        <v>0</v>
      </c>
      <c r="BP108" s="570">
        <f t="shared" si="97"/>
        <v>0</v>
      </c>
      <c r="BQ108" s="570">
        <f t="shared" si="97"/>
        <v>0</v>
      </c>
      <c r="BR108" s="570">
        <f t="shared" si="97"/>
        <v>0</v>
      </c>
      <c r="BS108" s="570">
        <f t="shared" si="97"/>
        <v>0</v>
      </c>
      <c r="BT108" s="570">
        <f t="shared" si="97"/>
        <v>0</v>
      </c>
      <c r="BU108" s="570">
        <f t="shared" si="97"/>
        <v>0</v>
      </c>
      <c r="BV108" s="570">
        <f t="shared" si="97"/>
        <v>0</v>
      </c>
      <c r="BW108" s="570">
        <f t="shared" si="97"/>
        <v>0</v>
      </c>
      <c r="BX108" s="570">
        <f t="shared" si="97"/>
        <v>0</v>
      </c>
      <c r="BY108" s="570">
        <f t="shared" si="97"/>
        <v>0</v>
      </c>
      <c r="BZ108" s="570">
        <f>BZ$103+CN$103+DB$103+DP$103</f>
        <v>0</v>
      </c>
      <c r="CA108"/>
      <c r="CB108"/>
      <c r="CC108"/>
      <c r="CD108"/>
      <c r="CE108"/>
      <c r="CF108"/>
      <c r="CG108"/>
      <c r="CH108"/>
    </row>
    <row r="109" spans="2:134" s="60" customFormat="1" ht="15" customHeight="1">
      <c r="B109" s="58"/>
      <c r="C109"/>
      <c r="D109"/>
      <c r="E109"/>
      <c r="F109"/>
      <c r="G109"/>
      <c r="H109"/>
      <c r="I109"/>
      <c r="J109"/>
      <c r="K109"/>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c r="B110" s="58"/>
      <c r="C110"/>
      <c r="D110"/>
      <c r="E110"/>
      <c r="F110"/>
      <c r="G110"/>
      <c r="H110"/>
      <c r="I110"/>
      <c r="J110"/>
      <c r="K110"/>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sheetData>
  <sheetProtection password="840D" sheet="1" objects="1" scenarios="1" formatColumns="0" formatRows="0" selectLockedCells="1"/>
  <dataConsolidate/>
  <mergeCells count="9">
    <mergeCell ref="C6:D6"/>
    <mergeCell ref="BM92:DP92"/>
    <mergeCell ref="DQ93:EB93"/>
    <mergeCell ref="AM94:AU94"/>
    <mergeCell ref="F16:F17"/>
    <mergeCell ref="AM27:AV27"/>
    <mergeCell ref="I73:I74"/>
    <mergeCell ref="J73:J74"/>
    <mergeCell ref="G11:J18"/>
  </mergeCells>
  <conditionalFormatting sqref="C6:D9">
    <cfRule type="containsText" dxfId="11" priority="18" operator="containsText" text="100%">
      <formula>NOT(ISERROR(SEARCH("100%",C6)))</formula>
    </cfRule>
  </conditionalFormatting>
  <conditionalFormatting sqref="B65 B16 B30:B31 B76 B67 B82:B86">
    <cfRule type="iconSet" priority="19">
      <iconSet iconSet="3Symbols">
        <cfvo type="percent" val="0"/>
        <cfvo type="num" val="1E-3" gte="0"/>
        <cfvo type="num" val="1"/>
      </iconSet>
    </cfRule>
  </conditionalFormatting>
  <conditionalFormatting sqref="B16">
    <cfRule type="iconSet" priority="17">
      <iconSet iconSet="3Symbols">
        <cfvo type="percent" val="0"/>
        <cfvo type="num" val="1" gte="0"/>
        <cfvo type="num" val="1"/>
      </iconSet>
    </cfRule>
  </conditionalFormatting>
  <conditionalFormatting sqref="B31">
    <cfRule type="iconSet" priority="16">
      <iconSet iconSet="3Symbols">
        <cfvo type="percent" val="0"/>
        <cfvo type="num" val="1E-3" gte="0"/>
        <cfvo type="num" val="1"/>
      </iconSet>
    </cfRule>
  </conditionalFormatting>
  <conditionalFormatting sqref="B66">
    <cfRule type="iconSet" priority="15">
      <iconSet iconSet="3Symbols">
        <cfvo type="percent" val="0"/>
        <cfvo type="num" val="1E-3" gte="0"/>
        <cfvo type="num" val="1"/>
      </iconSet>
    </cfRule>
  </conditionalFormatting>
  <conditionalFormatting sqref="B78:B81">
    <cfRule type="iconSet" priority="14">
      <iconSet iconSet="3Symbols">
        <cfvo type="percent" val="0"/>
        <cfvo type="num" val="1E-3" gte="0"/>
        <cfvo type="num" val="1"/>
      </iconSet>
    </cfRule>
  </conditionalFormatting>
  <conditionalFormatting sqref="B77">
    <cfRule type="iconSet" priority="13">
      <iconSet iconSet="3Symbols">
        <cfvo type="percent" val="0"/>
        <cfvo type="num" val="1E-3" gte="0"/>
        <cfvo type="num" val="1"/>
      </iconSet>
    </cfRule>
  </conditionalFormatting>
  <conditionalFormatting sqref="B18">
    <cfRule type="iconSet" priority="12">
      <iconSet iconSet="3Symbols">
        <cfvo type="percent" val="0"/>
        <cfvo type="num" val="1E-3" gte="0"/>
        <cfvo type="num" val="1"/>
      </iconSet>
    </cfRule>
  </conditionalFormatting>
  <conditionalFormatting sqref="B18">
    <cfRule type="iconSet" priority="11">
      <iconSet iconSet="3Symbols">
        <cfvo type="percent" val="0"/>
        <cfvo type="num" val="1" gte="0"/>
        <cfvo type="num" val="1"/>
      </iconSet>
    </cfRule>
  </conditionalFormatting>
  <conditionalFormatting sqref="B46">
    <cfRule type="iconSet" priority="10">
      <iconSet iconSet="3Symbols">
        <cfvo type="percent" val="0"/>
        <cfvo type="num" val="1E-3" gte="0"/>
        <cfvo type="num" val="1"/>
      </iconSet>
    </cfRule>
  </conditionalFormatting>
  <conditionalFormatting sqref="B33:B45 B47:B64">
    <cfRule type="iconSet" priority="20">
      <iconSet iconSet="3Symbols">
        <cfvo type="percent" val="0"/>
        <cfvo type="num" val="1E-3" gte="0"/>
        <cfvo type="num" val="1"/>
      </iconSet>
    </cfRule>
  </conditionalFormatting>
  <conditionalFormatting sqref="B32">
    <cfRule type="iconSet" priority="9">
      <iconSet iconSet="3Symbols">
        <cfvo type="percent" val="0"/>
        <cfvo type="num" val="1E-3" gte="0"/>
        <cfvo type="num" val="1"/>
      </iconSet>
    </cfRule>
  </conditionalFormatting>
  <conditionalFormatting sqref="B32">
    <cfRule type="iconSet" priority="8">
      <iconSet iconSet="3Symbols">
        <cfvo type="percent" val="0"/>
        <cfvo type="num" val="1E-3" gte="0"/>
        <cfvo type="num" val="1"/>
      </iconSet>
    </cfRule>
  </conditionalFormatting>
  <conditionalFormatting sqref="B103">
    <cfRule type="iconSet" priority="6">
      <iconSet iconSet="3Symbols">
        <cfvo type="percent" val="0"/>
        <cfvo type="num" val="1E-3" gte="0"/>
        <cfvo type="num" val="1"/>
      </iconSet>
    </cfRule>
  </conditionalFormatting>
  <conditionalFormatting sqref="B97 B102">
    <cfRule type="iconSet" priority="7">
      <iconSet iconSet="3Symbols">
        <cfvo type="percent" val="0"/>
        <cfvo type="num" val="1"/>
        <cfvo type="num" val="2"/>
      </iconSet>
    </cfRule>
  </conditionalFormatting>
  <conditionalFormatting sqref="B101">
    <cfRule type="iconSet" priority="5">
      <iconSet iconSet="3Symbols">
        <cfvo type="percent" val="0"/>
        <cfvo type="num" val="1"/>
        <cfvo type="num" val="2"/>
      </iconSet>
    </cfRule>
  </conditionalFormatting>
  <conditionalFormatting sqref="B100">
    <cfRule type="iconSet" priority="4">
      <iconSet iconSet="3Symbols">
        <cfvo type="percent" val="0"/>
        <cfvo type="num" val="1"/>
        <cfvo type="num" val="2"/>
      </iconSet>
    </cfRule>
  </conditionalFormatting>
  <conditionalFormatting sqref="B98">
    <cfRule type="iconSet" priority="3">
      <iconSet iconSet="3Symbols">
        <cfvo type="percent" val="0"/>
        <cfvo type="num" val="1"/>
        <cfvo type="num" val="2"/>
      </iconSet>
    </cfRule>
  </conditionalFormatting>
  <conditionalFormatting sqref="B99">
    <cfRule type="iconSet" priority="2">
      <iconSet iconSet="3Symbols">
        <cfvo type="percent" val="0"/>
        <cfvo type="num" val="1"/>
        <cfvo type="num" val="2"/>
      </iconSet>
    </cfRule>
  </conditionalFormatting>
  <conditionalFormatting sqref="E16 E18 F18">
    <cfRule type="expression" dxfId="10" priority="1">
      <formula>CELL("PROTECT",E16)=1</formula>
    </cfRule>
  </conditionalFormatting>
  <dataValidations count="7">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500-000000000000}">
      <formula1>IF(UnitSystem="SI-Metric (Canada)",CanadaFirstLocations,IF(UnitSystem="US-Imperial (United States)",USFirstLocations,NA()))</formula1>
    </dataValidation>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E18 E30:E65" xr:uid="{00000000-0002-0000-0500-000001000000}">
      <formula1>0</formula1>
    </dataValidation>
    <dataValidation type="list" allowBlank="1" showInputMessage="1" showErrorMessage="1" sqref="Y2" xr:uid="{00000000-0002-0000-0500-000002000000}">
      <formula1>"A,B,C,D,Custom"</formula1>
    </dataValidation>
    <dataValidation type="decimal" operator="greaterThanOrEqual" allowBlank="1" showInputMessage="1" showErrorMessage="1" error="This entry must be a number greater than or equal to zero._x000a_" sqref="E67" xr:uid="{00000000-0002-0000-0500-000003000000}">
      <formula1>0</formula1>
    </dataValidation>
    <dataValidation operator="greaterThanOrEqual" allowBlank="1" showInputMessage="1" showErrorMessage="1" error="This entry must be a number greater than or equal to zero._x000a_" sqref="F67" xr:uid="{00000000-0002-0000-0500-000004000000}"/>
    <dataValidation type="list" allowBlank="1" showInputMessage="1" showErrorMessage="1" sqref="F64:F66 F59:F60 F42:F48" xr:uid="{00000000-0002-0000-0500-000005000000}">
      <formula1>Volume_Units</formula1>
    </dataValidation>
    <dataValidation type="list" allowBlank="1" showInputMessage="1" showErrorMessage="1" sqref="F30:F41 F61:F63 F49:F58 F18" xr:uid="{00000000-0002-0000-0500-000006000000}">
      <formula1>Mass_Units</formula1>
    </dataValidation>
  </dataValidations>
  <pageMargins left="0.70866141732283472" right="0.70866141732283472" top="0.74803149606299213" bottom="0.74803149606299213" header="0.31496062992125984" footer="0.31496062992125984"/>
  <pageSetup scale="48" fitToWidth="2" fitToHeight="1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B1:EG112"/>
  <sheetViews>
    <sheetView showGridLines="0" zoomScale="90" zoomScaleNormal="90" workbookViewId="0">
      <selection activeCell="E30" sqref="E30"/>
    </sheetView>
  </sheetViews>
  <sheetFormatPr baseColWidth="10" defaultColWidth="9.1640625" defaultRowHeight="15"/>
  <cols>
    <col min="1" max="1" width="1.5" style="12" customWidth="1"/>
    <col min="2" max="2" width="2.83203125" style="53" customWidth="1"/>
    <col min="3" max="3" width="10.5" style="12" customWidth="1"/>
    <col min="4" max="4" width="57.83203125" style="12" bestFit="1" customWidth="1"/>
    <col min="5" max="6" width="21.6640625" style="12" customWidth="1"/>
    <col min="7" max="7" width="18.33203125" style="12" customWidth="1"/>
    <col min="8" max="10" width="14.6640625" style="12" customWidth="1"/>
    <col min="11" max="11" width="6.6640625" style="12" customWidth="1"/>
    <col min="12" max="12" width="17" style="12" customWidth="1"/>
    <col min="13" max="13" width="21.33203125" style="13" customWidth="1"/>
    <col min="14" max="14" width="4.33203125" style="13" customWidth="1"/>
    <col min="15" max="15" width="15.83203125" style="13" customWidth="1"/>
    <col min="16" max="16" width="14.33203125" style="13" customWidth="1"/>
    <col min="17" max="17" width="4.33203125" style="13" customWidth="1"/>
    <col min="18" max="20" width="4.33203125" style="13" hidden="1" customWidth="1"/>
    <col min="21" max="21" width="4.33203125" hidden="1" customWidth="1"/>
    <col min="22" max="22" width="28.5" hidden="1" customWidth="1"/>
    <col min="23" max="23" width="6" hidden="1" customWidth="1"/>
    <col min="24" max="24" width="6.5" style="65" hidden="1" customWidth="1"/>
    <col min="25" max="25" width="9.5" style="13" hidden="1" customWidth="1"/>
    <col min="26" max="26" width="3.83203125" style="13" hidden="1" customWidth="1"/>
    <col min="27" max="27" width="10.83203125" style="13" hidden="1" customWidth="1"/>
    <col min="28" max="28" width="8.83203125" style="13" hidden="1" customWidth="1"/>
    <col min="29" max="37" width="8.5" style="13" hidden="1" customWidth="1"/>
    <col min="38" max="38" width="4.6640625" style="13" hidden="1" customWidth="1"/>
    <col min="39" max="39" width="36.5" style="1" hidden="1" customWidth="1"/>
    <col min="40" max="40" width="6.5" hidden="1" customWidth="1"/>
    <col min="41" max="41" width="20" hidden="1" customWidth="1"/>
    <col min="42" max="42" width="19.6640625" hidden="1" customWidth="1"/>
    <col min="43" max="43" width="17.5" style="87" hidden="1" customWidth="1"/>
    <col min="44" max="44" width="17.6640625" hidden="1" customWidth="1"/>
    <col min="45" max="45" width="19.83203125" hidden="1" customWidth="1"/>
    <col min="46" max="48" width="23" hidden="1" customWidth="1"/>
    <col min="49" max="49" width="24" hidden="1" customWidth="1"/>
    <col min="50" max="50" width="21.5" hidden="1" customWidth="1"/>
    <col min="51" max="51" width="22.6640625" hidden="1" customWidth="1"/>
    <col min="52" max="52" width="17.83203125" hidden="1" customWidth="1"/>
    <col min="53" max="53" width="18.6640625" hidden="1" customWidth="1"/>
    <col min="54" max="54" width="21.33203125" hidden="1" customWidth="1"/>
    <col min="55" max="65" width="18.83203125" hidden="1" customWidth="1"/>
    <col min="66" max="66" width="21.6640625" hidden="1" customWidth="1"/>
    <col min="67" max="67" width="20.6640625" hidden="1" customWidth="1"/>
    <col min="68" max="68" width="27.5" hidden="1" customWidth="1"/>
    <col min="69" max="69" width="23.5" hidden="1" customWidth="1"/>
    <col min="70" max="70" width="20.6640625" hidden="1" customWidth="1"/>
    <col min="71" max="71" width="18" hidden="1" customWidth="1"/>
    <col min="72" max="72" width="20" hidden="1" customWidth="1"/>
    <col min="73" max="73" width="18.6640625" hidden="1" customWidth="1"/>
    <col min="74" max="77" width="18.6640625" style="12" hidden="1" customWidth="1"/>
    <col min="78" max="80" width="8.83203125" style="12" hidden="1" customWidth="1"/>
    <col min="81" max="81" width="9.83203125" style="12" hidden="1" customWidth="1"/>
    <col min="82" max="82" width="9.33203125" style="12" hidden="1" customWidth="1"/>
    <col min="83" max="83" width="8.1640625" style="12" hidden="1" customWidth="1"/>
    <col min="84" max="84" width="16.5" style="12" hidden="1" customWidth="1"/>
    <col min="85" max="85" width="11.6640625" style="12" hidden="1" customWidth="1"/>
    <col min="86" max="86" width="15.1640625" style="12" hidden="1" customWidth="1"/>
    <col min="87" max="134" width="9.1640625" style="12" hidden="1" customWidth="1"/>
    <col min="135" max="156" width="0" style="12" hidden="1" customWidth="1"/>
    <col min="157" max="16384" width="9.1640625" style="12"/>
  </cols>
  <sheetData>
    <row r="1" spans="2:95" ht="16" thickBot="1">
      <c r="BV1"/>
      <c r="BW1"/>
      <c r="BX1"/>
      <c r="BY1"/>
      <c r="BZ1"/>
      <c r="CA1"/>
      <c r="CB1"/>
      <c r="CC1"/>
      <c r="CD1"/>
      <c r="CE1"/>
      <c r="CF1"/>
      <c r="CG1"/>
      <c r="CH1"/>
    </row>
    <row r="2" spans="2:95" ht="24.75" customHeight="1" thickBot="1">
      <c r="C2" s="83" t="str">
        <f>ToolName</f>
        <v>North American Precast Concrete Sustainable Plant Tool</v>
      </c>
      <c r="D2" s="84"/>
      <c r="E2" s="84"/>
      <c r="F2" s="84"/>
      <c r="G2" s="84"/>
      <c r="H2" s="84"/>
      <c r="I2" s="84"/>
      <c r="J2" s="84"/>
      <c r="K2" s="84"/>
      <c r="L2" s="84"/>
      <c r="M2" s="84"/>
      <c r="N2" s="84"/>
      <c r="O2" s="84"/>
      <c r="P2" s="85"/>
      <c r="X2" s="595" t="s">
        <v>806</v>
      </c>
      <c r="Y2" s="628" t="s">
        <v>630</v>
      </c>
      <c r="Z2" s="626" t="str">
        <f>IF($Y$2="A","Structural",IF($Y$2="B","Architectural",IF($Y$2="C","Insulated Architectural",IF($Y$2="D","Underground",IF($Y$2="Custom","Custom Project Calculator",NA())))))</f>
        <v>Underground</v>
      </c>
      <c r="AA2"/>
      <c r="AB2"/>
      <c r="AC2"/>
      <c r="AD2"/>
      <c r="AX2" s="151" t="s">
        <v>135</v>
      </c>
      <c r="AY2" s="151"/>
      <c r="AZ2" s="151"/>
      <c r="BA2" s="151"/>
      <c r="BB2" s="151"/>
      <c r="BC2" s="151"/>
      <c r="BD2" s="151"/>
      <c r="BE2" s="151"/>
      <c r="BF2" s="151"/>
      <c r="BG2" s="151"/>
      <c r="BH2" s="151"/>
      <c r="BI2" s="151"/>
      <c r="BJ2" s="151"/>
      <c r="BK2" s="151"/>
      <c r="BL2" s="336" t="s">
        <v>501</v>
      </c>
      <c r="BM2" s="336"/>
      <c r="BN2" s="336"/>
      <c r="BO2" s="336"/>
      <c r="BP2" s="336"/>
      <c r="BQ2" s="336"/>
      <c r="BR2" s="336"/>
      <c r="BS2" s="336"/>
      <c r="BT2" s="336"/>
      <c r="BU2" s="336"/>
      <c r="BV2" s="336"/>
      <c r="BW2" s="336"/>
      <c r="BX2" s="336"/>
      <c r="BY2" s="336"/>
      <c r="BZ2"/>
      <c r="CA2"/>
      <c r="CB2"/>
      <c r="CC2"/>
      <c r="CD2"/>
      <c r="CE2"/>
      <c r="CF2"/>
      <c r="CG2"/>
      <c r="CH2"/>
      <c r="CI2"/>
      <c r="CJ2"/>
      <c r="CK2"/>
      <c r="CL2"/>
      <c r="CM2"/>
      <c r="CN2"/>
      <c r="CO2"/>
      <c r="CP2"/>
      <c r="CQ2"/>
    </row>
    <row r="3" spans="2:95" ht="8.25" customHeight="1">
      <c r="C3" s="14"/>
      <c r="D3" s="14"/>
      <c r="E3"/>
      <c r="F3"/>
      <c r="G3"/>
      <c r="H3"/>
      <c r="I3"/>
      <c r="J3"/>
      <c r="K3" s="577"/>
      <c r="L3"/>
      <c r="M3"/>
      <c r="N3"/>
      <c r="O3"/>
      <c r="P3"/>
      <c r="Q3" s="547"/>
      <c r="R3" s="547"/>
      <c r="S3" s="547"/>
      <c r="X3" s="595" t="s">
        <v>804</v>
      </c>
      <c r="Y3" s="626" t="str">
        <f>IF(Y2="Custom",Z2,Y2&amp;"-PCR-"&amp;Z2)</f>
        <v>D-PCR-Underground</v>
      </c>
      <c r="AA3"/>
      <c r="AB3"/>
      <c r="AC3"/>
      <c r="AD3"/>
      <c r="AX3" s="566" t="str">
        <f>INDEX(EPD_Measures,1)</f>
        <v>Global warming potential (GWP)</v>
      </c>
      <c r="AY3" s="566" t="str">
        <f>INDEX(EPD_Measures,2)</f>
        <v>Acidification potential</v>
      </c>
      <c r="AZ3" s="566" t="str">
        <f>INDEX(EPD_Measures,3)</f>
        <v>Eutrophication potential</v>
      </c>
      <c r="BA3" s="566" t="str">
        <f>INDEX(EPD_Measures,4)</f>
        <v>Smog creation potential</v>
      </c>
      <c r="BB3" s="566" t="str">
        <f>INDEX(EPD_Measures,5)</f>
        <v>Ozone depletion potential</v>
      </c>
      <c r="BC3" s="566" t="str">
        <f>INDEX(EPD_Measures,6)</f>
        <v>Total primary energy consumption</v>
      </c>
      <c r="BD3" s="566" t="str">
        <f>INDEX(EPD_Measures,7)</f>
        <v>Nonrenewable energy resources</v>
      </c>
      <c r="BE3" s="566" t="str">
        <f>INDEX(EPD_Measures,8)</f>
        <v>Renewable energy resources</v>
      </c>
      <c r="BF3" s="566" t="str">
        <f>INDEX(EPD_Measures,9)</f>
        <v>Material resources consumption</v>
      </c>
      <c r="BG3" s="566" t="str">
        <f>INDEX(EPD_Measures,10)</f>
        <v>Nonrenewable material resources</v>
      </c>
      <c r="BH3" s="566" t="str">
        <f>INDEX(EPD_Measures,11)</f>
        <v>Renewable material resources</v>
      </c>
      <c r="BI3" s="566" t="str">
        <f>INDEX(EPD_Measures,12)</f>
        <v>Net Fresh Water</v>
      </c>
      <c r="BJ3" s="566" t="str">
        <f>INDEX(EPD_Measures,13)</f>
        <v>Non-hazardous waste generated</v>
      </c>
      <c r="BK3" s="566" t="str">
        <f>INDEX(EPD_Measures,14)</f>
        <v>Hazardous waste generated</v>
      </c>
      <c r="BL3" s="337" t="str">
        <f>INDEX(EPD_Measures,1)</f>
        <v>Global warming potential (GWP)</v>
      </c>
      <c r="BM3" s="337" t="str">
        <f>INDEX(EPD_Measures,2)</f>
        <v>Acidification potential</v>
      </c>
      <c r="BN3" s="337" t="str">
        <f>INDEX(EPD_Measures,3)</f>
        <v>Eutrophication potential</v>
      </c>
      <c r="BO3" s="337" t="str">
        <f>INDEX(EPD_Measures,4)</f>
        <v>Smog creation potential</v>
      </c>
      <c r="BP3" s="337" t="str">
        <f>INDEX(EPD_Measures,5)</f>
        <v>Ozone depletion potential</v>
      </c>
      <c r="BQ3" s="337" t="str">
        <f>INDEX(EPD_Measures,6)</f>
        <v>Total primary energy consumption</v>
      </c>
      <c r="BR3" s="337" t="str">
        <f>INDEX(EPD_Measures,7)</f>
        <v>Nonrenewable energy resources</v>
      </c>
      <c r="BS3" s="337" t="str">
        <f>INDEX(EPD_Measures,8)</f>
        <v>Renewable energy resources</v>
      </c>
      <c r="BT3" s="337" t="str">
        <f>INDEX(EPD_Measures,9)</f>
        <v>Material resources consumption</v>
      </c>
      <c r="BU3" s="337" t="str">
        <f>INDEX(EPD_Measures,10)</f>
        <v>Nonrenewable material resources</v>
      </c>
      <c r="BV3" s="337" t="str">
        <f>INDEX(EPD_Measures,11)</f>
        <v>Renewable material resources</v>
      </c>
      <c r="BW3" s="337" t="s">
        <v>105</v>
      </c>
      <c r="BX3" s="565" t="str">
        <f>INDEX(EPD_Measures,13)</f>
        <v>Non-hazardous waste generated</v>
      </c>
      <c r="BY3" s="565" t="str">
        <f>INDEX(EPD_Measures,14)</f>
        <v>Hazardous waste generated</v>
      </c>
      <c r="BZ3"/>
      <c r="CA3"/>
      <c r="CB3"/>
      <c r="CC3"/>
      <c r="CD3"/>
      <c r="CE3"/>
      <c r="CF3"/>
      <c r="CG3"/>
      <c r="CH3"/>
      <c r="CI3"/>
      <c r="CJ3"/>
      <c r="CK3"/>
      <c r="CL3"/>
      <c r="CM3"/>
      <c r="CN3"/>
      <c r="CO3"/>
      <c r="CP3"/>
      <c r="CQ3"/>
    </row>
    <row r="4" spans="2:95" ht="8.25" customHeight="1">
      <c r="C4" s="14"/>
      <c r="D4" s="14"/>
      <c r="E4"/>
      <c r="F4"/>
      <c r="G4"/>
      <c r="H4"/>
      <c r="I4"/>
      <c r="J4"/>
      <c r="K4" s="577"/>
      <c r="L4"/>
      <c r="M4"/>
      <c r="N4"/>
      <c r="O4"/>
      <c r="P4"/>
      <c r="Q4" s="547"/>
      <c r="R4" s="547"/>
      <c r="S4" s="547"/>
      <c r="X4" s="595" t="s">
        <v>805</v>
      </c>
      <c r="Y4" s="627" t="str">
        <f>IF(Y2="Custom","Custom Project",Z2&amp;" Precast Products")</f>
        <v>Underground Precast Products</v>
      </c>
      <c r="Z4" s="1"/>
      <c r="AA4"/>
      <c r="AB4"/>
      <c r="AC4"/>
      <c r="AD4"/>
      <c r="AO4" s="12"/>
      <c r="AP4" s="12"/>
      <c r="AX4" s="152" t="str">
        <f>TRACICalcUnit</f>
        <v>kg</v>
      </c>
      <c r="AY4" s="152" t="str">
        <f>TRACICalcUnit</f>
        <v>kg</v>
      </c>
      <c r="AZ4" s="152" t="str">
        <f>TRACICalcUnit</f>
        <v>kg</v>
      </c>
      <c r="BA4" s="152" t="str">
        <f>TRACICalcUnit</f>
        <v>kg</v>
      </c>
      <c r="BB4" s="152" t="str">
        <f>TRACICalcUnit</f>
        <v>kg</v>
      </c>
      <c r="BC4" s="152" t="str">
        <f>EnergyCalcUnit</f>
        <v>MJ</v>
      </c>
      <c r="BD4" s="152" t="str">
        <f>EnergyCalcUnit</f>
        <v>MJ</v>
      </c>
      <c r="BE4" s="152" t="str">
        <f>EnergyCalcUnit</f>
        <v>MJ</v>
      </c>
      <c r="BF4" s="152" t="str">
        <f>MassCalcUnit</f>
        <v>tonne</v>
      </c>
      <c r="BG4" s="152" t="str">
        <f>MassCalcUnit</f>
        <v>tonne</v>
      </c>
      <c r="BH4" s="152" t="str">
        <f>MassCalcUnit</f>
        <v>tonne</v>
      </c>
      <c r="BI4" s="152" t="str">
        <f>WaterCalcUnit</f>
        <v>m3</v>
      </c>
      <c r="BJ4" s="152" t="str">
        <f>MassCalcUnit</f>
        <v>tonne</v>
      </c>
      <c r="BK4" s="152" t="str">
        <f>MassCalcUnit</f>
        <v>tonne</v>
      </c>
      <c r="BL4" s="337" t="str">
        <f>TRACICalcUnit&amp;"/"&amp;MassCalcUnit</f>
        <v>kg/tonne</v>
      </c>
      <c r="BM4" s="337" t="str">
        <f>TRACICalcUnit&amp;"/"&amp;MassCalcUnit</f>
        <v>kg/tonne</v>
      </c>
      <c r="BN4" s="337" t="str">
        <f>TRACICalcUnit&amp;"/"&amp;MassCalcUnit</f>
        <v>kg/tonne</v>
      </c>
      <c r="BO4" s="337" t="str">
        <f>TRACICalcUnit&amp;"/"&amp;MassCalcUnit</f>
        <v>kg/tonne</v>
      </c>
      <c r="BP4" s="337" t="str">
        <f>TRACICalcUnit&amp;"/"&amp;MassCalcUnit</f>
        <v>kg/tonne</v>
      </c>
      <c r="BQ4" s="337" t="str">
        <f>EnergyCalcUnit&amp;"/"&amp;MassCalcUnit</f>
        <v>MJ/tonne</v>
      </c>
      <c r="BR4" s="337" t="str">
        <f>EnergyCalcUnit&amp;"/"&amp;MassCalcUnit</f>
        <v>MJ/tonne</v>
      </c>
      <c r="BS4" s="337" t="str">
        <f>EnergyCalcUnit&amp;"/"&amp;MassCalcUnit</f>
        <v>MJ/tonne</v>
      </c>
      <c r="BT4" s="337" t="str">
        <f>MassCalcUnit&amp;"/"&amp;MassCalcUnit</f>
        <v>tonne/tonne</v>
      </c>
      <c r="BU4" s="337" t="str">
        <f>MassCalcUnit&amp;"/"&amp;MassCalcUnit</f>
        <v>tonne/tonne</v>
      </c>
      <c r="BV4" s="337" t="str">
        <f>MassCalcUnit&amp;"/"&amp;MassCalcUnit</f>
        <v>tonne/tonne</v>
      </c>
      <c r="BW4" s="337" t="str">
        <f>WaterCalcUnit&amp;"/"&amp;MassCalcUnit</f>
        <v>m3/tonne</v>
      </c>
      <c r="BX4" s="337" t="str">
        <f>MassCalcUnit&amp;"/"&amp;MassCalcUnit</f>
        <v>tonne/tonne</v>
      </c>
      <c r="BY4" s="337" t="str">
        <f>MassCalcUnit&amp;"/"&amp;MassCalcUnit</f>
        <v>tonne/tonne</v>
      </c>
      <c r="BZ4"/>
      <c r="CA4"/>
      <c r="CB4"/>
      <c r="CC4"/>
      <c r="CD4"/>
      <c r="CE4"/>
      <c r="CF4"/>
      <c r="CG4"/>
      <c r="CH4"/>
      <c r="CI4"/>
      <c r="CJ4"/>
      <c r="CK4"/>
      <c r="CL4"/>
      <c r="CM4"/>
      <c r="CN4"/>
      <c r="CO4"/>
      <c r="CP4"/>
      <c r="CQ4"/>
    </row>
    <row r="5" spans="2:95" ht="8.25" customHeight="1">
      <c r="C5" s="14"/>
      <c r="D5" s="14"/>
      <c r="E5"/>
      <c r="F5"/>
      <c r="G5"/>
      <c r="H5"/>
      <c r="I5"/>
      <c r="J5"/>
      <c r="K5" s="577"/>
      <c r="L5"/>
      <c r="M5"/>
      <c r="N5"/>
      <c r="O5"/>
      <c r="P5"/>
      <c r="Q5" s="547"/>
      <c r="R5" s="547"/>
      <c r="S5" s="547"/>
      <c r="W5" s="12"/>
      <c r="X5" s="595" t="s">
        <v>863</v>
      </c>
      <c r="Y5" s="1" t="s">
        <v>817</v>
      </c>
      <c r="Z5" s="87" t="s">
        <v>864</v>
      </c>
      <c r="AA5"/>
      <c r="AB5"/>
      <c r="AC5"/>
      <c r="AD5"/>
      <c r="AO5" s="12"/>
      <c r="AP5" s="12"/>
      <c r="AW5" t="s">
        <v>494</v>
      </c>
      <c r="AX5" s="152">
        <f t="shared" ref="AX5:BH5" si="0">IF($AR$18=0,0,AX$68+BM$71+AU$87+AX$103*$AY$92+BM$108*$AY$92)</f>
        <v>0</v>
      </c>
      <c r="AY5" s="152">
        <f t="shared" si="0"/>
        <v>0</v>
      </c>
      <c r="AZ5" s="152">
        <f t="shared" si="0"/>
        <v>0</v>
      </c>
      <c r="BA5" s="152">
        <f t="shared" si="0"/>
        <v>0</v>
      </c>
      <c r="BB5" s="152">
        <f t="shared" si="0"/>
        <v>0</v>
      </c>
      <c r="BC5" s="152">
        <f t="shared" si="0"/>
        <v>0</v>
      </c>
      <c r="BD5" s="152">
        <f t="shared" si="0"/>
        <v>0</v>
      </c>
      <c r="BE5" s="152">
        <f t="shared" si="0"/>
        <v>0</v>
      </c>
      <c r="BF5" s="152">
        <f t="shared" si="0"/>
        <v>0</v>
      </c>
      <c r="BG5" s="152">
        <f t="shared" si="0"/>
        <v>0</v>
      </c>
      <c r="BH5" s="152">
        <f t="shared" si="0"/>
        <v>0</v>
      </c>
      <c r="BI5" s="603">
        <f>IF($AR$18=0,0,$AX$10+$AX$14+$AX$16)</f>
        <v>0</v>
      </c>
      <c r="BJ5" s="603">
        <f>IF($AR$18=0,0,BJ$68+BY$71+BG$87+BJ$103*$AY$92+BY$108*$AY$92+SUM($AT$100:$AT$102))</f>
        <v>0</v>
      </c>
      <c r="BK5" s="603">
        <f>IF($AR$18=0,0,BK$68+BZ$71+BH$87+BK$103*$AY$92+BZ$108*$AY$92+SUM($AT$97:$AT$99))</f>
        <v>0</v>
      </c>
      <c r="BL5" s="337">
        <f>IF($AR$18=0,0,AX$5/$AR$18)</f>
        <v>0</v>
      </c>
      <c r="BM5" s="337">
        <f t="shared" ref="BM5:BY5" si="1">IF($AR$18=0,0,AY$5/$AR$18)</f>
        <v>0</v>
      </c>
      <c r="BN5" s="337">
        <f t="shared" si="1"/>
        <v>0</v>
      </c>
      <c r="BO5" s="337">
        <f t="shared" si="1"/>
        <v>0</v>
      </c>
      <c r="BP5" s="337">
        <f t="shared" si="1"/>
        <v>0</v>
      </c>
      <c r="BQ5" s="337">
        <f t="shared" si="1"/>
        <v>0</v>
      </c>
      <c r="BR5" s="337">
        <f t="shared" si="1"/>
        <v>0</v>
      </c>
      <c r="BS5" s="337">
        <f t="shared" si="1"/>
        <v>0</v>
      </c>
      <c r="BT5" s="337">
        <f t="shared" si="1"/>
        <v>0</v>
      </c>
      <c r="BU5" s="337">
        <f t="shared" si="1"/>
        <v>0</v>
      </c>
      <c r="BV5" s="337">
        <f t="shared" si="1"/>
        <v>0</v>
      </c>
      <c r="BW5" s="337">
        <f t="shared" si="1"/>
        <v>0</v>
      </c>
      <c r="BX5" s="337">
        <f t="shared" si="1"/>
        <v>0</v>
      </c>
      <c r="BY5" s="337">
        <f t="shared" si="1"/>
        <v>0</v>
      </c>
      <c r="BZ5"/>
      <c r="CA5"/>
      <c r="CB5"/>
      <c r="CC5"/>
      <c r="CD5"/>
      <c r="CE5"/>
      <c r="CF5"/>
      <c r="CG5"/>
      <c r="CH5"/>
      <c r="CI5"/>
      <c r="CJ5"/>
      <c r="CK5"/>
      <c r="CL5"/>
      <c r="CM5"/>
      <c r="CN5"/>
      <c r="CO5"/>
      <c r="CP5"/>
      <c r="CQ5"/>
    </row>
    <row r="6" spans="2:95" ht="19.5" customHeight="1">
      <c r="C6" s="658" t="str">
        <f>IF(W13&lt;&gt;1,"Plant Inputs Data is Not Complete","Data Input is " &amp; ROUND($X$13*100,0)&amp; "% Complete")</f>
        <v>Plant Inputs Data is Not Complete</v>
      </c>
      <c r="D6" s="658"/>
      <c r="E6"/>
      <c r="F6"/>
      <c r="G6"/>
      <c r="H6"/>
      <c r="I6"/>
      <c r="J6"/>
      <c r="K6" s="577"/>
      <c r="L6"/>
      <c r="M6"/>
      <c r="N6"/>
      <c r="O6"/>
      <c r="P6"/>
      <c r="Q6" s="547"/>
      <c r="R6" s="547"/>
      <c r="S6" s="547"/>
      <c r="X6"/>
      <c r="Y6" s="1" t="s">
        <v>839</v>
      </c>
      <c r="Z6" s="87" t="s">
        <v>865</v>
      </c>
      <c r="AA6"/>
      <c r="AB6"/>
      <c r="AC6"/>
      <c r="AD6"/>
      <c r="AW6" t="s">
        <v>495</v>
      </c>
      <c r="AX6" s="152" t="str">
        <f>TRACITotalDisplayUnit</f>
        <v>short ton</v>
      </c>
      <c r="AY6" s="152" t="str">
        <f>TRACITotalDisplayUnit</f>
        <v>short ton</v>
      </c>
      <c r="AZ6" s="152" t="str">
        <f>TRACITotalDisplayUnit</f>
        <v>short ton</v>
      </c>
      <c r="BA6" s="152" t="str">
        <f>TRACITotalDisplayUnit</f>
        <v>short ton</v>
      </c>
      <c r="BB6" s="152" t="str">
        <f>TRACITotalDisplayUnit</f>
        <v>short ton</v>
      </c>
      <c r="BC6" s="152" t="str">
        <f>EnergyTotalDisplayUnit</f>
        <v>MMBtu</v>
      </c>
      <c r="BD6" s="152" t="str">
        <f>EnergyTotalDisplayUnit</f>
        <v>MMBtu</v>
      </c>
      <c r="BE6" s="152" t="str">
        <f>EnergyTotalDisplayUnit</f>
        <v>MMBtu</v>
      </c>
      <c r="BF6" s="152" t="str">
        <f>MassDisplayUnit</f>
        <v>short ton</v>
      </c>
      <c r="BG6" s="152" t="str">
        <f>MassDisplayUnit</f>
        <v>short ton</v>
      </c>
      <c r="BH6" s="152" t="str">
        <f>MassDisplayUnit</f>
        <v>short ton</v>
      </c>
      <c r="BI6" s="152" t="str">
        <f>WaterTotalDisplayUnit</f>
        <v>kgal</v>
      </c>
      <c r="BJ6" s="152" t="str">
        <f>MassDisplayUnit</f>
        <v>short ton</v>
      </c>
      <c r="BK6" s="152" t="str">
        <f>MassDisplayUnit</f>
        <v>short ton</v>
      </c>
      <c r="BL6" s="337" t="str">
        <f>TRACIPerTonneDisplayUnit&amp;"/"&amp;MassDisplayUnit</f>
        <v>lbs/short ton</v>
      </c>
      <c r="BM6" s="337" t="str">
        <f>TRACIPerTonneDisplayUnit&amp;"/"&amp;MassDisplayUnit</f>
        <v>lbs/short ton</v>
      </c>
      <c r="BN6" s="337" t="str">
        <f>TRACIPerTonneDisplayUnit&amp;"/"&amp;MassDisplayUnit</f>
        <v>lbs/short ton</v>
      </c>
      <c r="BO6" s="337" t="str">
        <f>TRACIPerTonneDisplayUnit&amp;"/"&amp;MassDisplayUnit</f>
        <v>lbs/short ton</v>
      </c>
      <c r="BP6" s="337" t="str">
        <f>TRACIPerTonneDisplayUnit&amp;"/"&amp;MassDisplayUnit</f>
        <v>lbs/short ton</v>
      </c>
      <c r="BQ6" s="337" t="str">
        <f>EnergyPerTonneDisplayUnit&amp;"/"&amp;MassDisplayUnit</f>
        <v>MBtu/short ton</v>
      </c>
      <c r="BR6" s="337" t="str">
        <f>EnergyPerTonneDisplayUnit&amp;"/"&amp;MassDisplayUnit</f>
        <v>MBtu/short ton</v>
      </c>
      <c r="BS6" s="337" t="str">
        <f>EnergyPerTonneDisplayUnit&amp;"/"&amp;MassDisplayUnit</f>
        <v>MBtu/short ton</v>
      </c>
      <c r="BT6" s="337" t="str">
        <f>MassDisplayUnit&amp;"/"&amp;MassDisplayUnit</f>
        <v>short ton/short ton</v>
      </c>
      <c r="BU6" s="337" t="str">
        <f>MassDisplayUnit&amp;"/"&amp;MassDisplayUnit</f>
        <v>short ton/short ton</v>
      </c>
      <c r="BV6" s="337" t="str">
        <f>MassDisplayUnit&amp;"/"&amp;MassDisplayUnit</f>
        <v>short ton/short ton</v>
      </c>
      <c r="BW6" s="337" t="str">
        <f>WaterPerTonneDisplayUnit&amp;"/"&amp;MassDisplayUnit</f>
        <v>gallon/short ton</v>
      </c>
      <c r="BX6" s="337" t="str">
        <f>MassDisplayUnit&amp;"/"&amp;MassDisplayUnit</f>
        <v>short ton/short ton</v>
      </c>
      <c r="BY6" s="337" t="str">
        <f>MassDisplayUnit&amp;"/"&amp;MassDisplayUnit</f>
        <v>short ton/short ton</v>
      </c>
      <c r="BZ6"/>
      <c r="CA6"/>
      <c r="CB6"/>
      <c r="CC6"/>
      <c r="CD6"/>
      <c r="CE6"/>
      <c r="CF6"/>
      <c r="CG6"/>
      <c r="CH6"/>
      <c r="CI6"/>
      <c r="CJ6"/>
      <c r="CK6"/>
      <c r="CL6"/>
      <c r="CM6"/>
      <c r="CN6"/>
      <c r="CO6"/>
      <c r="CP6"/>
      <c r="CQ6"/>
    </row>
    <row r="7" spans="2:95" ht="19.5" customHeight="1">
      <c r="C7" s="54"/>
      <c r="D7" s="54"/>
      <c r="E7"/>
      <c r="F7"/>
      <c r="G7"/>
      <c r="H7"/>
      <c r="I7"/>
      <c r="J7"/>
      <c r="K7" s="577"/>
      <c r="L7"/>
      <c r="M7"/>
      <c r="N7"/>
      <c r="O7"/>
      <c r="P7"/>
      <c r="Q7" s="547"/>
      <c r="R7" s="547"/>
      <c r="S7" s="547"/>
      <c r="X7"/>
      <c r="Y7" s="1" t="s">
        <v>840</v>
      </c>
      <c r="Z7" s="87" t="s">
        <v>866</v>
      </c>
      <c r="AA7"/>
      <c r="AB7"/>
      <c r="AC7"/>
      <c r="AD7"/>
      <c r="AW7" t="s">
        <v>496</v>
      </c>
      <c r="AX7" s="152">
        <f t="shared" ref="AX7:BK7" si="2">AX$5*INDEX(Conversion_Table,MATCH(AX$4,Conversion_Rows,0),MATCH(AX$6,Conversion_Columns,0))</f>
        <v>0</v>
      </c>
      <c r="AY7" s="152">
        <f t="shared" si="2"/>
        <v>0</v>
      </c>
      <c r="AZ7" s="152">
        <f t="shared" si="2"/>
        <v>0</v>
      </c>
      <c r="BA7" s="152">
        <f t="shared" si="2"/>
        <v>0</v>
      </c>
      <c r="BB7" s="152">
        <f t="shared" si="2"/>
        <v>0</v>
      </c>
      <c r="BC7" s="152">
        <f t="shared" si="2"/>
        <v>0</v>
      </c>
      <c r="BD7" s="152">
        <f t="shared" si="2"/>
        <v>0</v>
      </c>
      <c r="BE7" s="152">
        <f t="shared" si="2"/>
        <v>0</v>
      </c>
      <c r="BF7" s="152">
        <f t="shared" si="2"/>
        <v>0</v>
      </c>
      <c r="BG7" s="152">
        <f t="shared" si="2"/>
        <v>0</v>
      </c>
      <c r="BH7" s="152">
        <f t="shared" si="2"/>
        <v>0</v>
      </c>
      <c r="BI7" s="152">
        <f t="shared" si="2"/>
        <v>0</v>
      </c>
      <c r="BJ7" s="152">
        <f t="shared" si="2"/>
        <v>0</v>
      </c>
      <c r="BK7" s="152">
        <f t="shared" si="2"/>
        <v>0</v>
      </c>
      <c r="BL7" s="337">
        <f>IF($AR$18=0,0,AX$5*INDEX(Conversion_Table,MATCH(TRACICalcUnit,Conversion_Rows,0),MATCH(TRACIPerTonneDisplayUnit,Conversion_Columns,0))/$AT$18)</f>
        <v>0</v>
      </c>
      <c r="BM7" s="337">
        <f>IF($AR$18=0,0,AY$5*INDEX(Conversion_Table,MATCH(TRACICalcUnit,Conversion_Rows,0),MATCH(TRACIPerTonneDisplayUnit,Conversion_Columns,0))/$AT$18)</f>
        <v>0</v>
      </c>
      <c r="BN7" s="337">
        <f>IF($AR$18=0,0,AZ$5*INDEX(Conversion_Table,MATCH(TRACICalcUnit,Conversion_Rows,0),MATCH(TRACIPerTonneDisplayUnit,Conversion_Columns,0))/$AT$18)</f>
        <v>0</v>
      </c>
      <c r="BO7" s="337">
        <f>IF($AR$18=0,0,BA$5*INDEX(Conversion_Table,MATCH(TRACICalcUnit,Conversion_Rows,0),MATCH(TRACIPerTonneDisplayUnit,Conversion_Columns,0))/$AT$18)</f>
        <v>0</v>
      </c>
      <c r="BP7" s="337">
        <f>IF($AR$18=0,0,BB$5*INDEX(Conversion_Table,MATCH(TRACICalcUnit,Conversion_Rows,0),MATCH(TRACIPerTonneDisplayUnit,Conversion_Columns,0))/$AT$18)</f>
        <v>0</v>
      </c>
      <c r="BQ7" s="337">
        <f>IF($AR$18=0,0,BC$5*INDEX(Conversion_Table,MATCH(EnergyCalcUnit,Conversion_Rows,0),MATCH(EnergyPerTonneDisplayUnit,Conversion_Columns,0))/$AT$18)</f>
        <v>0</v>
      </c>
      <c r="BR7" s="337">
        <f>IF($AR$18=0,0,BD$5*INDEX(Conversion_Table,MATCH(EnergyCalcUnit,Conversion_Rows,0),MATCH(EnergyPerTonneDisplayUnit,Conversion_Columns,0))/$AT$18)</f>
        <v>0</v>
      </c>
      <c r="BS7" s="337">
        <f>IF($AR$18=0,0,BE$5*INDEX(Conversion_Table,MATCH(EnergyCalcUnit,Conversion_Rows,0),MATCH(EnergyPerTonneDisplayUnit,Conversion_Columns,0))/$AT$18)</f>
        <v>0</v>
      </c>
      <c r="BT7" s="337">
        <f>IF($AR$18=0,0,BF$5*INDEX(Conversion_Table,MATCH(MassCalcUnit,Conversion_Rows,0),MATCH(MassDisplayUnit,Conversion_Columns,0))/$AT$18)</f>
        <v>0</v>
      </c>
      <c r="BU7" s="337">
        <f>IF($AR$18=0,0,BG$5*INDEX(Conversion_Table,MATCH(MassCalcUnit,Conversion_Rows,0),MATCH(MassDisplayUnit,Conversion_Columns,0))/$AT$18)</f>
        <v>0</v>
      </c>
      <c r="BV7" s="337">
        <f>IF($AR$18=0,0,BH$5*INDEX(Conversion_Table,MATCH(MassCalcUnit,Conversion_Rows,0),MATCH(MassDisplayUnit,Conversion_Columns,0))/$AT$18)</f>
        <v>0</v>
      </c>
      <c r="BW7" s="337">
        <f>IF($AR$18=0,0,BI$5*INDEX(Conversion_Table,MATCH(WaterCalcUnit,Conversion_Rows,0),MATCH(WaterPerTonneDisplayUnit,Conversion_Columns,0))/$AT$18)</f>
        <v>0</v>
      </c>
      <c r="BX7" s="337">
        <f>IF($AR$18=0,0,BJ$5*INDEX(Conversion_Table,MATCH(MassCalcUnit,Conversion_Rows,0),MATCH(MassDisplayUnit,Conversion_Columns,0))/$AT$18)</f>
        <v>0</v>
      </c>
      <c r="BY7" s="337">
        <f>IF($AR$18=0,0,BK$5*INDEX(Conversion_Table,MATCH(MassCalcUnit,Conversion_Rows,0),MATCH(MassDisplayUnit,Conversion_Columns,0))/$AT$18)</f>
        <v>0</v>
      </c>
      <c r="BZ7"/>
      <c r="CA7"/>
      <c r="CB7"/>
      <c r="CC7"/>
      <c r="CD7"/>
      <c r="CE7"/>
      <c r="CF7"/>
      <c r="CG7"/>
      <c r="CH7"/>
      <c r="CI7"/>
      <c r="CJ7"/>
      <c r="CK7"/>
      <c r="CL7"/>
      <c r="CM7"/>
      <c r="CN7"/>
      <c r="CO7"/>
      <c r="CP7"/>
      <c r="CQ7"/>
    </row>
    <row r="8" spans="2:95" ht="19.5" customHeight="1">
      <c r="C8" s="54"/>
      <c r="D8" s="54"/>
      <c r="E8"/>
      <c r="F8"/>
      <c r="G8"/>
      <c r="H8"/>
      <c r="I8"/>
      <c r="J8"/>
      <c r="K8" s="577"/>
      <c r="L8"/>
      <c r="M8"/>
      <c r="N8"/>
      <c r="O8"/>
      <c r="P8"/>
      <c r="Q8" s="547"/>
      <c r="R8" s="547"/>
      <c r="S8" s="547"/>
      <c r="W8" s="12"/>
      <c r="X8"/>
      <c r="Y8" s="634" t="s">
        <v>630</v>
      </c>
      <c r="Z8" s="216" t="s">
        <v>867</v>
      </c>
      <c r="AA8"/>
      <c r="AB8"/>
      <c r="AC8"/>
      <c r="AD8"/>
      <c r="AW8" s="12" t="s">
        <v>497</v>
      </c>
      <c r="AX8" s="152" t="str">
        <f t="shared" ref="AX8:BU8" si="3">FIXED(AX$7,0,FALSE)</f>
        <v>0</v>
      </c>
      <c r="AY8" s="152" t="str">
        <f t="shared" si="3"/>
        <v>0</v>
      </c>
      <c r="AZ8" s="152" t="str">
        <f t="shared" si="3"/>
        <v>0</v>
      </c>
      <c r="BA8" s="152" t="str">
        <f t="shared" si="3"/>
        <v>0</v>
      </c>
      <c r="BB8" s="152" t="str">
        <f t="shared" si="3"/>
        <v>0</v>
      </c>
      <c r="BC8" s="152" t="str">
        <f t="shared" si="3"/>
        <v>0</v>
      </c>
      <c r="BD8" s="152" t="str">
        <f t="shared" si="3"/>
        <v>0</v>
      </c>
      <c r="BE8" s="152" t="str">
        <f t="shared" si="3"/>
        <v>0</v>
      </c>
      <c r="BF8" s="152" t="str">
        <f t="shared" si="3"/>
        <v>0</v>
      </c>
      <c r="BG8" s="152" t="str">
        <f t="shared" si="3"/>
        <v>0</v>
      </c>
      <c r="BH8" s="152" t="str">
        <f t="shared" si="3"/>
        <v>0</v>
      </c>
      <c r="BI8" s="152" t="str">
        <f t="shared" si="3"/>
        <v>0</v>
      </c>
      <c r="BJ8" s="152" t="str">
        <f t="shared" si="3"/>
        <v>0</v>
      </c>
      <c r="BK8" s="152" t="str">
        <f t="shared" si="3"/>
        <v>0</v>
      </c>
      <c r="BL8" s="337" t="str">
        <f t="shared" si="3"/>
        <v>0</v>
      </c>
      <c r="BM8" s="337" t="str">
        <f t="shared" si="3"/>
        <v>0</v>
      </c>
      <c r="BN8" s="337" t="str">
        <f t="shared" si="3"/>
        <v>0</v>
      </c>
      <c r="BO8" s="337" t="str">
        <f t="shared" si="3"/>
        <v>0</v>
      </c>
      <c r="BP8" s="337" t="str">
        <f t="shared" si="3"/>
        <v>0</v>
      </c>
      <c r="BQ8" s="337" t="str">
        <f t="shared" si="3"/>
        <v>0</v>
      </c>
      <c r="BR8" s="337" t="str">
        <f t="shared" si="3"/>
        <v>0</v>
      </c>
      <c r="BS8" s="337" t="str">
        <f t="shared" si="3"/>
        <v>0</v>
      </c>
      <c r="BT8" s="337" t="str">
        <f t="shared" si="3"/>
        <v>0</v>
      </c>
      <c r="BU8" s="337" t="str">
        <f t="shared" si="3"/>
        <v>0</v>
      </c>
      <c r="BV8" s="337" t="str">
        <f>FIXED(BV$7,0,FALSE)</f>
        <v>0</v>
      </c>
      <c r="BW8" s="337" t="str">
        <f>FIXED(BW$7,0,FALSE)</f>
        <v>0</v>
      </c>
      <c r="BX8" s="337" t="str">
        <f t="shared" ref="BX8:BY8" si="4">FIXED(BX$7,0,FALSE)</f>
        <v>0</v>
      </c>
      <c r="BY8" s="337" t="str">
        <f t="shared" si="4"/>
        <v>0</v>
      </c>
      <c r="BZ8"/>
      <c r="CA8"/>
      <c r="CB8"/>
      <c r="CC8"/>
      <c r="CD8"/>
      <c r="CE8"/>
      <c r="CF8"/>
      <c r="CG8"/>
      <c r="CH8"/>
      <c r="CI8"/>
      <c r="CJ8"/>
      <c r="CK8"/>
      <c r="CL8"/>
      <c r="CM8"/>
      <c r="CN8"/>
      <c r="CO8"/>
      <c r="CP8"/>
      <c r="CQ8"/>
    </row>
    <row r="9" spans="2:95" ht="19.5" customHeight="1">
      <c r="C9" s="631" t="str">
        <f>IF($Y$2="Custom",$Y$4,"PCR Category: "&amp;$Y$4)</f>
        <v>PCR Category: Underground Precast Products</v>
      </c>
      <c r="D9" s="54"/>
      <c r="E9"/>
      <c r="F9"/>
      <c r="G9"/>
      <c r="H9"/>
      <c r="I9" s="3"/>
      <c r="J9" s="3"/>
      <c r="K9" s="577"/>
      <c r="L9"/>
      <c r="M9"/>
      <c r="N9"/>
      <c r="O9"/>
      <c r="P9"/>
      <c r="Q9" s="547"/>
      <c r="R9" s="547"/>
      <c r="S9" s="547"/>
      <c r="W9" s="12"/>
      <c r="X9"/>
      <c r="Y9" s="13" t="str">
        <f>IF($Y$2="Custom","",VLOOKUP($Y$2,$Y$5:$AA$8,2,FALSE))</f>
        <v>pipe and culvert products, man-holes, tanks, chambers, and related products such as electrical utility products. Underground precast products are typically conventionally reinforced.</v>
      </c>
      <c r="AA9"/>
      <c r="AB9"/>
      <c r="AC9"/>
      <c r="AD9"/>
      <c r="AW9" s="338" t="s">
        <v>105</v>
      </c>
      <c r="AX9" s="338" t="str">
        <f>WaterCalcUnit</f>
        <v>m3</v>
      </c>
      <c r="AY9" s="338" t="str">
        <f>WaterCalcUnit&amp;"/"&amp;MassCalcUnit</f>
        <v>m3/tonne</v>
      </c>
    </row>
    <row r="10" spans="2:95" ht="19.5" customHeight="1" thickBot="1">
      <c r="C10" s="14"/>
      <c r="D10" s="14"/>
      <c r="E10" s="14"/>
      <c r="F10" s="14"/>
      <c r="G10" s="14"/>
      <c r="H10" s="14"/>
      <c r="I10" s="14"/>
      <c r="J10" s="14"/>
      <c r="K10" s="577"/>
      <c r="L10"/>
      <c r="M10"/>
      <c r="N10"/>
      <c r="O10"/>
      <c r="P10"/>
      <c r="Q10" s="547"/>
      <c r="R10" s="547"/>
      <c r="S10" s="547"/>
      <c r="X10"/>
      <c r="Y10" s="15"/>
      <c r="Z10" s="15"/>
      <c r="AA10"/>
      <c r="AB10"/>
      <c r="AC10"/>
      <c r="AD10"/>
      <c r="AE10" s="15"/>
      <c r="AF10" s="15"/>
      <c r="AG10" s="15"/>
      <c r="AH10" s="15"/>
      <c r="AI10" s="15"/>
      <c r="AJ10" s="15"/>
      <c r="AK10" s="15"/>
      <c r="AL10" s="15"/>
      <c r="AW10" s="338" t="s">
        <v>505</v>
      </c>
      <c r="AX10" s="339">
        <f>IF($AR$18=0,0,$BI$68+$BF$87+$BX$71+$BI$103*$AY$92+$BX$108*$AY$92)</f>
        <v>0</v>
      </c>
      <c r="AY10" s="340">
        <f>IF($AR$18=0,0,$AX10/$AR$18)</f>
        <v>0</v>
      </c>
    </row>
    <row r="11" spans="2:95" ht="19.5" customHeight="1" thickBot="1">
      <c r="C11" s="16" t="s">
        <v>583</v>
      </c>
      <c r="D11" s="17"/>
      <c r="E11" s="17"/>
      <c r="F11" s="18"/>
      <c r="G11" s="691" t="str">
        <f>IF($Y$2="Custom","This page is to be used to customize results for a specific project or product.  
For example, if you want to calculate the effects of hollow core production, enter the total hollow core production mass in E22, then enter the material quantities in E"&amp;ROW($C$29)&amp;"-E"&amp;ROW($C$64)&amp;".  
The results for hollow core are then calculated using the same cement profile from Cement Sources and the the plant operating energy and waste from Plant Inputs.",$Y$4&amp;" include "&amp;$Y$9)</f>
        <v>Underground Precast Products include pipe and culvert products, man-holes, tanks, chambers, and related products such as electrical utility products. Underground precast products are typically conventionally reinforced.</v>
      </c>
      <c r="H11" s="692"/>
      <c r="I11" s="692"/>
      <c r="J11" s="692"/>
      <c r="K11" s="577"/>
      <c r="L11"/>
      <c r="M11"/>
      <c r="N11"/>
      <c r="O11"/>
      <c r="P11"/>
      <c r="Q11" s="547"/>
      <c r="R11" s="547"/>
      <c r="S11" s="547"/>
      <c r="V11" s="1" t="s">
        <v>250</v>
      </c>
      <c r="W11" s="65">
        <f>'Plant Inputs'!X11</f>
        <v>0</v>
      </c>
      <c r="X11" s="67">
        <f>SUM(X16,X18,X30:X64,X65:X67,X76:X86)</f>
        <v>1</v>
      </c>
      <c r="Y11" s="13" t="s">
        <v>64</v>
      </c>
      <c r="AA11"/>
      <c r="AB11"/>
      <c r="AC11"/>
      <c r="AD11"/>
      <c r="AW11" s="338" t="str">
        <f>$D$65</f>
        <v>Total Batch Water Use</v>
      </c>
      <c r="AX11" s="340">
        <f>IF($AR$18=0,0,$AP$65*INDEX(Conversion_Table,MATCH($AQ$65,Conversion_Rows,0),MATCH(WaterCalcUnit,Conversion_Columns,0)))</f>
        <v>0</v>
      </c>
      <c r="AY11" s="340">
        <f>IF($AR$18=0,0,$AX11/$AR$18)</f>
        <v>0</v>
      </c>
    </row>
    <row r="12" spans="2:95" ht="19.5" customHeight="1" thickBot="1">
      <c r="C12" s="73" t="s">
        <v>243</v>
      </c>
      <c r="D12" s="74"/>
      <c r="E12" s="74"/>
      <c r="F12" s="133"/>
      <c r="G12" s="691"/>
      <c r="H12" s="692"/>
      <c r="I12" s="692"/>
      <c r="J12" s="692"/>
      <c r="K12" s="577"/>
      <c r="L12"/>
      <c r="M12"/>
      <c r="N12"/>
      <c r="O12"/>
      <c r="P12"/>
      <c r="Q12" s="547"/>
      <c r="R12" s="547"/>
      <c r="S12" s="547"/>
      <c r="V12" s="1" t="s">
        <v>249</v>
      </c>
      <c r="W12" s="65">
        <f>'Plant Inputs'!X12</f>
        <v>99</v>
      </c>
      <c r="X12" s="65">
        <v>51</v>
      </c>
      <c r="Y12" s="13" t="s">
        <v>65</v>
      </c>
      <c r="AA12"/>
      <c r="AB12"/>
      <c r="AC12"/>
      <c r="AD12"/>
      <c r="AW12" s="338" t="str">
        <f>$D$66</f>
        <v>Total Plant Water Use</v>
      </c>
      <c r="AX12" s="340">
        <f>$AY$12*$AR$18</f>
        <v>0</v>
      </c>
      <c r="AY12" s="340">
        <f>'Plant Inputs'!$AY$12</f>
        <v>0</v>
      </c>
      <c r="AZ12" s="604">
        <f>E66*INDEX(Conversion_Table,MATCH($F$66,Conversion_Rows,0),MATCH(WaterCalcUnit,Conversion_Columns,0))</f>
        <v>0</v>
      </c>
    </row>
    <row r="13" spans="2:95" ht="19.5" customHeight="1">
      <c r="C13" s="19"/>
      <c r="D13" s="20"/>
      <c r="E13" s="20"/>
      <c r="F13" s="134"/>
      <c r="G13" s="691"/>
      <c r="H13" s="692"/>
      <c r="I13" s="692"/>
      <c r="J13" s="692"/>
      <c r="K13" s="577"/>
      <c r="L13"/>
      <c r="M13"/>
      <c r="N13"/>
      <c r="O13"/>
      <c r="P13"/>
      <c r="Q13" s="547"/>
      <c r="R13" s="547"/>
      <c r="S13" s="547"/>
      <c r="V13" s="1" t="s">
        <v>251</v>
      </c>
      <c r="W13" s="66">
        <f>'Plant Inputs'!X13</f>
        <v>0</v>
      </c>
      <c r="X13" s="66">
        <f>IF(OR(X12=0,W13&lt;&gt;1),0,IF(ISERROR(X11/X12),0,X11/X12))</f>
        <v>0</v>
      </c>
      <c r="Y13" s="13" t="s">
        <v>66</v>
      </c>
      <c r="AA13"/>
      <c r="AB13"/>
      <c r="AC13"/>
      <c r="AD13"/>
      <c r="AW13" s="338" t="str">
        <f>$D$67</f>
        <v>Percentage of Batch Water that is Recycled Water</v>
      </c>
      <c r="AX13" s="341">
        <f>IF($AR$18=0,0,$E$67/100)</f>
        <v>0</v>
      </c>
      <c r="AY13" s="341"/>
    </row>
    <row r="14" spans="2:95" ht="19.5" customHeight="1">
      <c r="C14" s="21" t="s">
        <v>248</v>
      </c>
      <c r="D14" s="22"/>
      <c r="E14" s="22"/>
      <c r="F14" s="134"/>
      <c r="G14" s="691"/>
      <c r="H14" s="692"/>
      <c r="I14" s="692"/>
      <c r="J14" s="692"/>
      <c r="K14" s="577"/>
      <c r="L14"/>
      <c r="M14"/>
      <c r="N14"/>
      <c r="O14"/>
      <c r="P14"/>
      <c r="Q14" s="547"/>
      <c r="R14" s="547"/>
      <c r="S14" s="547"/>
      <c r="AA14"/>
      <c r="AB14"/>
      <c r="AC14"/>
      <c r="AD14"/>
      <c r="AW14" s="338" t="s">
        <v>580</v>
      </c>
      <c r="AX14" s="340">
        <f>IF($AR$18=0,0,$AX$11*(1-$AX$13))</f>
        <v>0</v>
      </c>
      <c r="AY14" s="340">
        <f>IF($AR$18=0,0,$AX14/$AR$18)</f>
        <v>0</v>
      </c>
    </row>
    <row r="15" spans="2:95" ht="19.5" customHeight="1">
      <c r="C15" s="23" t="s">
        <v>2</v>
      </c>
      <c r="D15" s="24" t="s">
        <v>11</v>
      </c>
      <c r="E15" s="25" t="s">
        <v>11</v>
      </c>
      <c r="F15" s="134"/>
      <c r="G15" s="691"/>
      <c r="H15" s="692"/>
      <c r="I15" s="692"/>
      <c r="J15" s="692"/>
      <c r="K15" s="577"/>
      <c r="L15"/>
      <c r="M15"/>
      <c r="N15"/>
      <c r="O15"/>
      <c r="P15"/>
      <c r="Q15" s="547"/>
      <c r="R15" s="547"/>
      <c r="S15" s="547"/>
      <c r="AA15"/>
      <c r="AB15"/>
      <c r="AC15"/>
      <c r="AD15"/>
      <c r="AM15" s="1" t="s">
        <v>485</v>
      </c>
      <c r="AO15">
        <f>IF(COUNTIF(Locations_USA,$E$16)=1,VLOOKUP($E$16,Locations_USA,3,FALSE),IF(COUNTIF(Locations_CAN,$E$16)=1,VLOOKUP($E$16,Locations_CAN,3,FALSE),NA()))</f>
        <v>0</v>
      </c>
      <c r="AW15" s="338" t="s">
        <v>581</v>
      </c>
      <c r="AX15" s="340">
        <f>IF($AR$18=0,0,$AX$11*$AX$13)</f>
        <v>0</v>
      </c>
      <c r="AY15" s="340">
        <f>IF($AR$18=0,0,$AX15/$AR$18)</f>
        <v>0</v>
      </c>
    </row>
    <row r="16" spans="2:95" ht="19.5" customHeight="1">
      <c r="B16" s="53">
        <f t="shared" ref="B16" si="5">X16</f>
        <v>0</v>
      </c>
      <c r="C16" s="26">
        <v>1</v>
      </c>
      <c r="D16" s="27" t="s">
        <v>58</v>
      </c>
      <c r="E16" s="636" t="str">
        <f>PlantLocation</f>
        <v>Insert Location</v>
      </c>
      <c r="F16" s="659" t="s">
        <v>6</v>
      </c>
      <c r="G16" s="691"/>
      <c r="H16" s="692"/>
      <c r="I16" s="692"/>
      <c r="J16" s="692"/>
      <c r="K16" s="3"/>
      <c r="L16"/>
      <c r="M16"/>
      <c r="N16"/>
      <c r="O16"/>
      <c r="P16"/>
      <c r="X16" s="65">
        <f>IF(OR(ISBLANK(E16),E16="Insert Location"),0,1)</f>
        <v>0</v>
      </c>
      <c r="AA16"/>
      <c r="AB16"/>
      <c r="AC16"/>
      <c r="AD16"/>
      <c r="AM16" s="1" t="str">
        <f>D16</f>
        <v>Plant Location</v>
      </c>
      <c r="AN16" s="87" t="str">
        <f>E16</f>
        <v>Insert Location</v>
      </c>
      <c r="AO16">
        <f>IF(COUNTIF(Locations_USA,$E$16)=1,VLOOKUP($E$16,Locations_USA,2,FALSE),IF(COUNTIF(Locations_CAN,$E$16)=1,VLOOKUP($E$16,Locations_CAN,2,FALSE),NA()))</f>
        <v>0</v>
      </c>
      <c r="AT16" s="87" t="s">
        <v>491</v>
      </c>
      <c r="AW16" s="338" t="s">
        <v>579</v>
      </c>
      <c r="AX16" s="340">
        <f>IF($AR$18=0,0,$AX$12-$AX$14)</f>
        <v>0</v>
      </c>
      <c r="AY16" s="340">
        <f>IF($AR$18=0,0,$AX16/$AR$18)</f>
        <v>0</v>
      </c>
    </row>
    <row r="17" spans="2:137" ht="19.5" customHeight="1">
      <c r="C17" s="28"/>
      <c r="D17" s="24" t="s">
        <v>91</v>
      </c>
      <c r="E17" s="25" t="s">
        <v>12</v>
      </c>
      <c r="F17" s="660"/>
      <c r="G17" s="691"/>
      <c r="H17" s="692"/>
      <c r="I17" s="692"/>
      <c r="J17" s="692"/>
      <c r="K17" s="3"/>
      <c r="L17"/>
      <c r="M17"/>
      <c r="N17"/>
      <c r="O17"/>
      <c r="P17"/>
      <c r="X17" s="13"/>
      <c r="AA17"/>
      <c r="AB17"/>
      <c r="AC17"/>
      <c r="AD17"/>
      <c r="AN17" s="1" t="s">
        <v>129</v>
      </c>
      <c r="AO17" s="1" t="s">
        <v>126</v>
      </c>
      <c r="AP17" s="87" t="s">
        <v>79</v>
      </c>
      <c r="AQ17" s="87" t="s">
        <v>210</v>
      </c>
      <c r="AR17" s="1" t="s">
        <v>102</v>
      </c>
      <c r="AS17" s="87" t="s">
        <v>136</v>
      </c>
      <c r="AT17" s="1"/>
      <c r="AU17" s="87"/>
      <c r="AV17" s="87"/>
    </row>
    <row r="18" spans="2:137" ht="19.5" customHeight="1" thickBot="1">
      <c r="B18" s="53">
        <f>X18</f>
        <v>1</v>
      </c>
      <c r="C18" s="425">
        <v>2</v>
      </c>
      <c r="D18" s="424" t="str">
        <f>"Total Output of "&amp;$Y$4</f>
        <v>Total Output of Underground Precast Products</v>
      </c>
      <c r="E18" s="637">
        <f>$AD$18</f>
        <v>0</v>
      </c>
      <c r="F18" s="638" t="str">
        <f>$AE$18</f>
        <v>short ton</v>
      </c>
      <c r="G18" s="691"/>
      <c r="H18" s="692"/>
      <c r="I18" s="692"/>
      <c r="J18" s="692"/>
      <c r="K18" s="3"/>
      <c r="L18"/>
      <c r="M18"/>
      <c r="N18"/>
      <c r="O18"/>
      <c r="P18"/>
      <c r="Q18" s="65"/>
      <c r="R18" s="65"/>
      <c r="S18" s="65"/>
      <c r="X18" s="65">
        <f>IF(ISBLANK(E18),0,1)</f>
        <v>1</v>
      </c>
      <c r="Y18" s="216">
        <f>IF($X18=1,1,0)</f>
        <v>1</v>
      </c>
      <c r="AD18" s="635">
        <f>IF($Y$2="A",'Plant Inputs'!$E$18,IF($Y$2="B",'Plant Inputs'!$E$19,IF($Y$2="C",'Plant Inputs'!$E$20,IF($Y$2="D",'Plant Inputs'!$E$21,""))))</f>
        <v>0</v>
      </c>
      <c r="AE18" s="635" t="str">
        <f>IF($Y$2="A",'Plant Inputs'!$F$18,IF($Y$2="B",'Plant Inputs'!$F$19,IF($Y$2="C",'Plant Inputs'!$F$20,IF($Y$2="D",'Plant Inputs'!$F$21,MassDisplayUnit))))</f>
        <v>short ton</v>
      </c>
      <c r="AM18" s="1" t="str">
        <f>D18</f>
        <v>Total Output of Underground Precast Products</v>
      </c>
      <c r="AN18" s="1">
        <f>E18</f>
        <v>0</v>
      </c>
      <c r="AO18" s="1" t="str">
        <f>F18</f>
        <v>short ton</v>
      </c>
      <c r="AP18" s="1">
        <f>INDEX(Conversion_Table,MATCH($AO18,Conversion_Rows,0),MATCH($AS18,Conversion_Columns,0))</f>
        <v>0.90718499588591606</v>
      </c>
      <c r="AQ18" s="87" t="str">
        <f>AS18&amp;"/"&amp;AO18</f>
        <v>tonne/short ton</v>
      </c>
      <c r="AR18">
        <f>AN18*AP18</f>
        <v>0</v>
      </c>
      <c r="AS18" s="331" t="str">
        <f>MassCalcUnit</f>
        <v>tonne</v>
      </c>
      <c r="AT18">
        <f>$AR$18*INDEX(Conversion_Table,MATCH($AS18,Conversion_Rows,0),MATCH($AU18,Conversion_Columns,0))</f>
        <v>0</v>
      </c>
      <c r="AU18" s="329" t="str">
        <f>MassDisplayUnit</f>
        <v>short ton</v>
      </c>
      <c r="AW18" s="1"/>
      <c r="AX18" s="97"/>
      <c r="AY18" s="97"/>
      <c r="AZ18" s="97"/>
    </row>
    <row r="19" spans="2:137" ht="17.25" customHeight="1">
      <c r="B19"/>
      <c r="C19"/>
      <c r="D19"/>
      <c r="E19"/>
      <c r="F19"/>
      <c r="G19"/>
      <c r="H19" s="593"/>
      <c r="I19" s="593"/>
      <c r="J19" s="593"/>
      <c r="K19" s="3"/>
      <c r="L19" s="3"/>
      <c r="M19" s="65"/>
      <c r="N19" s="65"/>
      <c r="O19" s="65"/>
      <c r="P19" s="65"/>
      <c r="Q19" s="65"/>
      <c r="R19" s="65"/>
      <c r="S19" s="65"/>
      <c r="AN19" s="1"/>
      <c r="AO19" s="1"/>
      <c r="AP19" s="1"/>
      <c r="AS19" s="87"/>
      <c r="AW19" s="1"/>
      <c r="AX19" s="97"/>
      <c r="AY19" s="97"/>
      <c r="AZ19" s="97"/>
    </row>
    <row r="20" spans="2:137" ht="15" customHeight="1">
      <c r="B20"/>
      <c r="C20" s="629" t="str">
        <f>IF($Y$2="Custom","",IF(ToolType="Reporting","This page is used to produce EPD results for the PCR category "&amp;$Y$4,IF(ToolType="Survey","This page is used as a one time survey for the PCR category "&amp;$Y$4,NA())) )</f>
        <v>This page is used as a one time survey for the PCR category Underground Precast Products</v>
      </c>
      <c r="D20"/>
      <c r="E20"/>
      <c r="F20"/>
      <c r="G20"/>
      <c r="H20" s="593"/>
      <c r="I20" s="593"/>
      <c r="J20" s="593"/>
      <c r="K20" s="3"/>
      <c r="L20" s="3"/>
      <c r="AN20" s="1"/>
      <c r="AO20" s="1"/>
      <c r="AP20" s="1"/>
      <c r="AS20" s="87"/>
      <c r="AW20" s="1"/>
      <c r="AX20" s="97"/>
      <c r="AY20" s="97"/>
      <c r="AZ20" s="97"/>
    </row>
    <row r="21" spans="2:137" ht="15" customHeight="1">
      <c r="B21"/>
      <c r="C21" s="629" t="str">
        <f>IF($Y$2="Custom","",IF(Association_Version="CPCI","Enter 1 "&amp;MassDisplayUnit&amp;" of "&amp;$Y$4&amp;" in Table A above.",IF(OR(Association_Version="NPCA",Association_Version="PCI"),"Enter the total production of "&amp;$Y$4&amp;" in Table A above.",NA())))</f>
        <v>Enter the total production of Underground Precast Products in Table A above.</v>
      </c>
      <c r="D21"/>
      <c r="E21"/>
      <c r="F21"/>
      <c r="G21"/>
      <c r="H21" s="593"/>
      <c r="I21" s="593"/>
      <c r="J21" s="593"/>
      <c r="K21" s="3"/>
      <c r="L21" s="3"/>
      <c r="AN21" s="1"/>
      <c r="AO21" s="1"/>
      <c r="AP21" s="1"/>
      <c r="AS21" s="87"/>
      <c r="AW21" s="1"/>
      <c r="AX21" s="97"/>
      <c r="AY21" s="97"/>
      <c r="AZ21" s="97"/>
    </row>
    <row r="22" spans="2:137" ht="15" customHeight="1">
      <c r="B22"/>
      <c r="C22" s="629" t="str">
        <f>IF($Y$2="Custom","",IF(Association_Version="CPCI","Then, enter the totals of all the materials that are used in the production of 1 "&amp;MassDisplayUnit&amp;" of "&amp;$Y$4&amp;", in Table B below.",IF(OR(Association_Version="NPCA",Association_Version="PCI"),"Then, enter the totals of all the materials that were used in that total production, in Table B below.",NA())))</f>
        <v>Then, enter the totals of all the materials that were used in that total production, in Table B below.</v>
      </c>
      <c r="D22"/>
      <c r="E22"/>
      <c r="F22"/>
      <c r="G22"/>
      <c r="H22" s="593"/>
      <c r="I22" s="593"/>
      <c r="J22" s="593"/>
      <c r="K22" s="3"/>
      <c r="L22" s="3"/>
      <c r="Z22" s="216"/>
      <c r="AX22" s="97"/>
      <c r="AY22" s="97"/>
      <c r="AZ22" s="97"/>
      <c r="BA22" s="97"/>
      <c r="BB22" s="97"/>
      <c r="BC22" s="97"/>
      <c r="BD22" s="97"/>
      <c r="BE22" s="97"/>
      <c r="BF22" s="97"/>
      <c r="BG22" s="97"/>
      <c r="BH22" s="97"/>
      <c r="BI22" s="97"/>
      <c r="BJ22" s="97"/>
      <c r="BV22"/>
      <c r="BW22"/>
      <c r="BX22"/>
      <c r="BY22"/>
      <c r="BZ22"/>
      <c r="CA22"/>
      <c r="CB22"/>
      <c r="CC22"/>
      <c r="CD22"/>
    </row>
    <row r="23" spans="2:137" ht="18" customHeight="1">
      <c r="C23" s="630" t="str">
        <f>IF(OR($Y$2="Custom",Association_Version="CPCI"),"","The transportation, energy and solid waste data from the Plant Inputs page will be used to allocate those inputs for "&amp;$Y$4&amp;".")</f>
        <v>The transportation, energy and solid waste data from the Plant Inputs page will be used to allocate those inputs for Underground Precast Products.</v>
      </c>
      <c r="D23" s="57"/>
      <c r="E23" s="30"/>
      <c r="F23" s="30"/>
      <c r="G23" s="142"/>
      <c r="H23" s="30"/>
      <c r="I23" s="30"/>
      <c r="J23" s="30"/>
      <c r="AN23" s="1"/>
      <c r="AO23" s="1"/>
      <c r="AP23" s="1"/>
      <c r="BM23" s="1" t="s">
        <v>336</v>
      </c>
      <c r="BN23" s="87">
        <v>1</v>
      </c>
      <c r="BV23"/>
      <c r="BW23"/>
      <c r="BX23"/>
      <c r="BY23"/>
      <c r="BZ23"/>
      <c r="CA23"/>
      <c r="CB23"/>
      <c r="CC23"/>
      <c r="CD23"/>
      <c r="CE23"/>
      <c r="CF23"/>
    </row>
    <row r="24" spans="2:137" ht="16" thickBot="1">
      <c r="D24" s="30"/>
      <c r="E24" s="30"/>
      <c r="F24" s="30"/>
      <c r="G24" s="30"/>
      <c r="H24" s="30"/>
      <c r="I24" s="30"/>
      <c r="J24" s="30"/>
      <c r="AN24" s="1"/>
      <c r="AO24" s="1"/>
      <c r="AP24" s="1"/>
      <c r="BV24"/>
      <c r="BW24"/>
      <c r="BX24"/>
      <c r="BY24"/>
      <c r="BZ24"/>
      <c r="CA24"/>
      <c r="CB24"/>
      <c r="CC24"/>
      <c r="CD24"/>
      <c r="CE24"/>
      <c r="CF24"/>
    </row>
    <row r="25" spans="2:137" ht="21" thickBot="1">
      <c r="C25" s="16" t="s">
        <v>72</v>
      </c>
      <c r="D25" s="17"/>
      <c r="E25" s="17"/>
      <c r="F25" s="17"/>
      <c r="G25" s="17"/>
      <c r="H25" s="17"/>
      <c r="I25" s="18"/>
      <c r="J25"/>
      <c r="K25"/>
      <c r="L25"/>
      <c r="M25"/>
      <c r="N25"/>
      <c r="O25"/>
      <c r="P25"/>
      <c r="Q25"/>
      <c r="R25"/>
      <c r="S25"/>
      <c r="T25"/>
      <c r="AN25" s="1"/>
      <c r="AO25" s="1"/>
      <c r="AP25" s="1"/>
      <c r="BM25" s="584" t="s">
        <v>38</v>
      </c>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585"/>
      <c r="CM25" s="585"/>
      <c r="CN25" s="585"/>
      <c r="CO25" s="585"/>
      <c r="CP25" s="585"/>
      <c r="CQ25" s="585"/>
      <c r="CR25" s="585"/>
      <c r="CS25" s="585"/>
      <c r="CT25" s="585"/>
      <c r="CU25" s="585"/>
      <c r="CV25" s="585"/>
      <c r="CW25" s="585"/>
      <c r="CX25" s="585"/>
      <c r="CY25" s="585"/>
      <c r="CZ25" s="585"/>
      <c r="DA25" s="585"/>
      <c r="DB25" s="585"/>
      <c r="DC25" s="585"/>
      <c r="DD25" s="585"/>
      <c r="DE25" s="585"/>
      <c r="DF25" s="585"/>
      <c r="DG25" s="585"/>
      <c r="DH25" s="585"/>
      <c r="DI25" s="585"/>
      <c r="DJ25" s="585"/>
      <c r="DK25" s="585"/>
      <c r="DL25" s="585"/>
      <c r="DM25" s="585"/>
      <c r="DN25" s="586"/>
      <c r="DO25"/>
      <c r="DP25"/>
      <c r="DQ25"/>
      <c r="DR25"/>
      <c r="DS25"/>
      <c r="DT25"/>
      <c r="DU25"/>
      <c r="DV25"/>
      <c r="DW25"/>
      <c r="DX25"/>
      <c r="DY25"/>
      <c r="DZ25"/>
      <c r="EA25"/>
      <c r="EB25"/>
      <c r="EC25"/>
      <c r="ED25"/>
      <c r="EE25"/>
      <c r="EF25"/>
      <c r="EG25"/>
    </row>
    <row r="26" spans="2:137" ht="15" customHeight="1" thickBot="1">
      <c r="C26" s="73" t="s">
        <v>141</v>
      </c>
      <c r="D26" s="74"/>
      <c r="E26" s="74"/>
      <c r="F26" s="74"/>
      <c r="G26" s="74"/>
      <c r="H26" s="74"/>
      <c r="I26" s="79"/>
      <c r="J26"/>
      <c r="K26"/>
      <c r="L26"/>
      <c r="M26"/>
      <c r="N26"/>
      <c r="O26"/>
      <c r="P26"/>
      <c r="Q26"/>
      <c r="R26"/>
      <c r="S26"/>
      <c r="T26"/>
      <c r="AG26" s="172" t="s">
        <v>449</v>
      </c>
      <c r="AX26" s="548" t="s">
        <v>134</v>
      </c>
      <c r="AY26" s="549"/>
      <c r="AZ26" s="549"/>
      <c r="BA26" s="549"/>
      <c r="BB26" s="549"/>
      <c r="BC26" s="549"/>
      <c r="BD26" s="549"/>
      <c r="BE26" s="549"/>
      <c r="BF26" s="549"/>
      <c r="BG26" s="549"/>
      <c r="BH26" s="549"/>
      <c r="BI26" s="549"/>
      <c r="BJ26" s="549"/>
      <c r="BK26" s="550"/>
      <c r="BM26" s="2" t="s">
        <v>13</v>
      </c>
      <c r="BN26" s="2" t="s">
        <v>13</v>
      </c>
      <c r="BO26" s="2" t="s">
        <v>13</v>
      </c>
      <c r="BP26" s="2" t="s">
        <v>13</v>
      </c>
      <c r="BQ26" s="2" t="s">
        <v>13</v>
      </c>
      <c r="BR26" s="2" t="s">
        <v>13</v>
      </c>
      <c r="BS26" s="2" t="s">
        <v>13</v>
      </c>
      <c r="BT26" s="2" t="s">
        <v>13</v>
      </c>
      <c r="BU26" s="2" t="s">
        <v>13</v>
      </c>
      <c r="BV26" s="2" t="s">
        <v>13</v>
      </c>
      <c r="BW26" s="2" t="s">
        <v>13</v>
      </c>
      <c r="BX26" s="2"/>
      <c r="BY26" s="2"/>
      <c r="BZ26" s="2" t="s">
        <v>13</v>
      </c>
      <c r="CA26" s="2" t="s">
        <v>14</v>
      </c>
      <c r="CB26" s="2" t="s">
        <v>14</v>
      </c>
      <c r="CC26" s="2" t="s">
        <v>14</v>
      </c>
      <c r="CD26" s="2" t="s">
        <v>14</v>
      </c>
      <c r="CE26" s="2" t="s">
        <v>14</v>
      </c>
      <c r="CF26" s="2" t="s">
        <v>14</v>
      </c>
      <c r="CG26" s="2" t="s">
        <v>14</v>
      </c>
      <c r="CH26" s="2" t="s">
        <v>14</v>
      </c>
      <c r="CI26" s="2" t="s">
        <v>14</v>
      </c>
      <c r="CJ26" s="2" t="s">
        <v>14</v>
      </c>
      <c r="CK26" s="2" t="s">
        <v>14</v>
      </c>
      <c r="CL26" s="2" t="s">
        <v>14</v>
      </c>
      <c r="CM26" s="2" t="s">
        <v>16</v>
      </c>
      <c r="CN26" s="2" t="s">
        <v>16</v>
      </c>
      <c r="CO26" s="2" t="s">
        <v>16</v>
      </c>
      <c r="CP26" s="2" t="s">
        <v>16</v>
      </c>
      <c r="CQ26" s="2" t="s">
        <v>16</v>
      </c>
      <c r="CR26" s="2" t="s">
        <v>16</v>
      </c>
      <c r="CS26" s="2" t="s">
        <v>16</v>
      </c>
      <c r="CT26" s="2" t="s">
        <v>16</v>
      </c>
      <c r="CU26" s="2" t="s">
        <v>16</v>
      </c>
      <c r="CV26" s="2" t="s">
        <v>16</v>
      </c>
      <c r="CW26" s="2" t="s">
        <v>16</v>
      </c>
      <c r="CX26" s="2"/>
      <c r="CY26" s="2"/>
      <c r="CZ26" s="2" t="s">
        <v>16</v>
      </c>
      <c r="DA26" s="2" t="s">
        <v>15</v>
      </c>
      <c r="DB26" s="2" t="s">
        <v>15</v>
      </c>
      <c r="DC26" s="2" t="s">
        <v>15</v>
      </c>
      <c r="DD26" s="2" t="s">
        <v>15</v>
      </c>
      <c r="DE26" s="2" t="s">
        <v>15</v>
      </c>
      <c r="DF26" s="2" t="s">
        <v>15</v>
      </c>
      <c r="DG26" s="2" t="s">
        <v>15</v>
      </c>
      <c r="DH26" s="2" t="s">
        <v>15</v>
      </c>
      <c r="DI26" s="2" t="s">
        <v>15</v>
      </c>
      <c r="DJ26" s="2" t="s">
        <v>15</v>
      </c>
      <c r="DK26" s="2" t="s">
        <v>15</v>
      </c>
      <c r="DL26" s="2"/>
      <c r="DM26" s="2"/>
      <c r="DN26" s="2" t="s">
        <v>15</v>
      </c>
      <c r="DO26" s="584" t="s">
        <v>726</v>
      </c>
      <c r="DP26" s="585"/>
      <c r="DQ26" s="585"/>
      <c r="DR26" s="585"/>
      <c r="DS26" s="585"/>
      <c r="DT26" s="585"/>
      <c r="DU26" s="585"/>
      <c r="DV26" s="585"/>
      <c r="DW26" s="585"/>
      <c r="DX26" s="585"/>
      <c r="DY26" s="585"/>
      <c r="DZ26" s="585"/>
      <c r="EA26" s="585"/>
      <c r="EB26" s="586"/>
      <c r="EC26"/>
      <c r="ED26"/>
      <c r="EE26"/>
      <c r="EF26"/>
      <c r="EG26"/>
    </row>
    <row r="27" spans="2:137" ht="15" customHeight="1">
      <c r="C27" s="31"/>
      <c r="I27" s="94"/>
      <c r="J27"/>
      <c r="K27"/>
      <c r="L27"/>
      <c r="M27"/>
      <c r="N27"/>
      <c r="O27"/>
      <c r="P27"/>
      <c r="Q27"/>
      <c r="R27"/>
      <c r="S27"/>
      <c r="T27"/>
      <c r="AG27" s="211" t="str">
        <f>DistanceCalcUnit</f>
        <v>km</v>
      </c>
      <c r="AM27" s="685" t="s">
        <v>130</v>
      </c>
      <c r="AN27" s="685"/>
      <c r="AO27" s="685"/>
      <c r="AP27" s="685"/>
      <c r="AQ27" s="685"/>
      <c r="AR27" s="685"/>
      <c r="AS27" s="685"/>
      <c r="AT27" s="685"/>
      <c r="AU27" s="685"/>
      <c r="AV27" s="685"/>
      <c r="AW27" s="147"/>
      <c r="AX27" s="563" t="str">
        <f>INDEX(EPD_Measures,1)</f>
        <v>Global warming potential (GWP)</v>
      </c>
      <c r="AY27" s="563" t="str">
        <f>INDEX(EPD_Measures,2)</f>
        <v>Acidification potential</v>
      </c>
      <c r="AZ27" s="563" t="str">
        <f>INDEX(EPD_Measures,3)</f>
        <v>Eutrophication potential</v>
      </c>
      <c r="BA27" s="563" t="str">
        <f>INDEX(EPD_Measures,4)</f>
        <v>Smog creation potential</v>
      </c>
      <c r="BB27" s="563" t="str">
        <f>INDEX(EPD_Measures,5)</f>
        <v>Ozone depletion potential</v>
      </c>
      <c r="BC27" s="563" t="str">
        <f>INDEX(EPD_Measures,6)</f>
        <v>Total primary energy consumption</v>
      </c>
      <c r="BD27" s="563" t="str">
        <f>INDEX(EPD_Measures,7)</f>
        <v>Nonrenewable energy resources</v>
      </c>
      <c r="BE27" s="563" t="str">
        <f>INDEX(EPD_Measures,8)</f>
        <v>Renewable energy resources</v>
      </c>
      <c r="BF27" s="563" t="str">
        <f>INDEX(EPD_Measures,9)</f>
        <v>Material resources consumption</v>
      </c>
      <c r="BG27" s="563" t="str">
        <f>INDEX(EPD_Measures,10)</f>
        <v>Nonrenewable material resources</v>
      </c>
      <c r="BH27" s="563" t="str">
        <f>INDEX(EPD_Measures,11)</f>
        <v>Renewable material resources</v>
      </c>
      <c r="BI27" s="563" t="str">
        <f>INDEX(EPD_Measures,12)</f>
        <v>Net Fresh Water</v>
      </c>
      <c r="BJ27" s="563" t="str">
        <f>INDEX(EPD_Measures,13)</f>
        <v>Non-hazardous waste generated</v>
      </c>
      <c r="BK27" s="563" t="str">
        <f>INDEX(EPD_Measures,14)</f>
        <v>Hazardous waste generated</v>
      </c>
      <c r="BM27" s="564" t="str">
        <f>INDEX(EPD_Measures,1)</f>
        <v>Global warming potential (GWP)</v>
      </c>
      <c r="BN27" s="564" t="str">
        <f>INDEX(EPD_Measures,2)</f>
        <v>Acidification potential</v>
      </c>
      <c r="BO27" s="564" t="str">
        <f>INDEX(EPD_Measures,3)</f>
        <v>Eutrophication potential</v>
      </c>
      <c r="BP27" s="564" t="str">
        <f>INDEX(EPD_Measures,4)</f>
        <v>Smog creation potential</v>
      </c>
      <c r="BQ27" s="564" t="str">
        <f>INDEX(EPD_Measures,5)</f>
        <v>Ozone depletion potential</v>
      </c>
      <c r="BR27" s="564" t="str">
        <f>INDEX(EPD_Measures,6)</f>
        <v>Total primary energy consumption</v>
      </c>
      <c r="BS27" s="564" t="str">
        <f>INDEX(EPD_Measures,7)</f>
        <v>Nonrenewable energy resources</v>
      </c>
      <c r="BT27" s="564" t="str">
        <f>INDEX(EPD_Measures,8)</f>
        <v>Renewable energy resources</v>
      </c>
      <c r="BU27" s="564" t="str">
        <f>INDEX(EPD_Measures,9)</f>
        <v>Material resources consumption</v>
      </c>
      <c r="BV27" s="564" t="str">
        <f>INDEX(EPD_Measures,10)</f>
        <v>Nonrenewable material resources</v>
      </c>
      <c r="BW27" s="564" t="str">
        <f>INDEX(EPD_Measures,11)</f>
        <v>Renewable material resources</v>
      </c>
      <c r="BX27" s="564" t="str">
        <f>INDEX(EPD_Measures,12)</f>
        <v>Net Fresh Water</v>
      </c>
      <c r="BY27" s="564" t="str">
        <f>INDEX(EPD_Measures,13)</f>
        <v>Non-hazardous waste generated</v>
      </c>
      <c r="BZ27" s="564" t="str">
        <f>INDEX(EPD_Measures,14)</f>
        <v>Hazardous waste generated</v>
      </c>
      <c r="CA27" s="564" t="str">
        <f>INDEX(EPD_Measures,1)</f>
        <v>Global warming potential (GWP)</v>
      </c>
      <c r="CB27" s="564" t="str">
        <f>INDEX(EPD_Measures,2)</f>
        <v>Acidification potential</v>
      </c>
      <c r="CC27" s="564" t="str">
        <f>INDEX(EPD_Measures,3)</f>
        <v>Eutrophication potential</v>
      </c>
      <c r="CD27" s="564" t="str">
        <f>INDEX(EPD_Measures,4)</f>
        <v>Smog creation potential</v>
      </c>
      <c r="CE27" s="564" t="str">
        <f>INDEX(EPD_Measures,5)</f>
        <v>Ozone depletion potential</v>
      </c>
      <c r="CF27" s="564" t="str">
        <f>INDEX(EPD_Measures,6)</f>
        <v>Total primary energy consumption</v>
      </c>
      <c r="CG27" s="564" t="str">
        <f>INDEX(EPD_Measures,7)</f>
        <v>Nonrenewable energy resources</v>
      </c>
      <c r="CH27" s="564" t="str">
        <f>INDEX(EPD_Measures,8)</f>
        <v>Renewable energy resources</v>
      </c>
      <c r="CI27" s="564" t="str">
        <f>INDEX(EPD_Measures,9)</f>
        <v>Material resources consumption</v>
      </c>
      <c r="CJ27" s="564" t="str">
        <f>INDEX(EPD_Measures,10)</f>
        <v>Nonrenewable material resources</v>
      </c>
      <c r="CK27" s="564" t="str">
        <f>INDEX(EPD_Measures,11)</f>
        <v>Renewable material resources</v>
      </c>
      <c r="CL27" s="564" t="str">
        <f>INDEX(EPD_Measures,12)</f>
        <v>Net Fresh Water</v>
      </c>
      <c r="CM27" s="564" t="str">
        <f>INDEX(EPD_Measures,13)</f>
        <v>Non-hazardous waste generated</v>
      </c>
      <c r="CN27" s="564" t="str">
        <f>INDEX(EPD_Measures,14)</f>
        <v>Hazardous waste generated</v>
      </c>
      <c r="CO27" s="564" t="str">
        <f>INDEX(EPD_Measures,3)</f>
        <v>Eutrophication potential</v>
      </c>
      <c r="CP27" s="564" t="str">
        <f>INDEX(EPD_Measures,4)</f>
        <v>Smog creation potential</v>
      </c>
      <c r="CQ27" s="564" t="str">
        <f>INDEX(EPD_Measures,5)</f>
        <v>Ozone depletion potential</v>
      </c>
      <c r="CR27" s="564" t="str">
        <f>INDEX(EPD_Measures,6)</f>
        <v>Total primary energy consumption</v>
      </c>
      <c r="CS27" s="564" t="str">
        <f>INDEX(EPD_Measures,7)</f>
        <v>Nonrenewable energy resources</v>
      </c>
      <c r="CT27" s="564" t="str">
        <f>INDEX(EPD_Measures,8)</f>
        <v>Renewable energy resources</v>
      </c>
      <c r="CU27" s="564" t="str">
        <f>INDEX(EPD_Measures,9)</f>
        <v>Material resources consumption</v>
      </c>
      <c r="CV27" s="564" t="str">
        <f>INDEX(EPD_Measures,10)</f>
        <v>Nonrenewable material resources</v>
      </c>
      <c r="CW27" s="564" t="str">
        <f>INDEX(EPD_Measures,11)</f>
        <v>Renewable material resources</v>
      </c>
      <c r="CX27" s="564"/>
      <c r="CY27" s="564"/>
      <c r="CZ27" s="564" t="str">
        <f>INDEX(EPD_Measures,12)</f>
        <v>Net Fresh Water</v>
      </c>
      <c r="DA27" s="564" t="str">
        <f>INDEX(EPD_Measures,1)</f>
        <v>Global warming potential (GWP)</v>
      </c>
      <c r="DB27" s="564" t="str">
        <f>INDEX(EPD_Measures,2)</f>
        <v>Acidification potential</v>
      </c>
      <c r="DC27" s="564" t="str">
        <f>INDEX(EPD_Measures,3)</f>
        <v>Eutrophication potential</v>
      </c>
      <c r="DD27" s="564" t="str">
        <f>INDEX(EPD_Measures,4)</f>
        <v>Smog creation potential</v>
      </c>
      <c r="DE27" s="564" t="str">
        <f>INDEX(EPD_Measures,5)</f>
        <v>Ozone depletion potential</v>
      </c>
      <c r="DF27" s="564" t="str">
        <f>INDEX(EPD_Measures,6)</f>
        <v>Total primary energy consumption</v>
      </c>
      <c r="DG27" s="564" t="str">
        <f>INDEX(EPD_Measures,7)</f>
        <v>Nonrenewable energy resources</v>
      </c>
      <c r="DH27" s="564" t="str">
        <f>INDEX(EPD_Measures,8)</f>
        <v>Renewable energy resources</v>
      </c>
      <c r="DI27" s="564" t="str">
        <f>INDEX(EPD_Measures,9)</f>
        <v>Material resources consumption</v>
      </c>
      <c r="DJ27" s="564" t="str">
        <f>INDEX(EPD_Measures,10)</f>
        <v>Nonrenewable material resources</v>
      </c>
      <c r="DK27" s="564" t="str">
        <f>INDEX(EPD_Measures,11)</f>
        <v>Renewable material resources</v>
      </c>
      <c r="DL27" s="564"/>
      <c r="DM27" s="564"/>
      <c r="DN27" s="564" t="str">
        <f>INDEX(EPD_Measures,12)</f>
        <v>Net Fresh Water</v>
      </c>
      <c r="DO27" s="564" t="str">
        <f>INDEX(EPD_Measures,1)</f>
        <v>Global warming potential (GWP)</v>
      </c>
      <c r="DP27" s="564" t="str">
        <f>INDEX(EPD_Measures,2)</f>
        <v>Acidification potential</v>
      </c>
      <c r="DQ27" s="564" t="str">
        <f>INDEX(EPD_Measures,3)</f>
        <v>Eutrophication potential</v>
      </c>
      <c r="DR27" s="564" t="str">
        <f>INDEX(EPD_Measures,4)</f>
        <v>Smog creation potential</v>
      </c>
      <c r="DS27" s="564" t="str">
        <f>INDEX(EPD_Measures,5)</f>
        <v>Ozone depletion potential</v>
      </c>
      <c r="DT27" s="564" t="str">
        <f>INDEX(EPD_Measures,6)</f>
        <v>Total primary energy consumption</v>
      </c>
      <c r="DU27" s="564" t="str">
        <f>INDEX(EPD_Measures,7)</f>
        <v>Nonrenewable energy resources</v>
      </c>
      <c r="DV27" s="564" t="str">
        <f>INDEX(EPD_Measures,8)</f>
        <v>Renewable energy resources</v>
      </c>
      <c r="DW27" s="564" t="str">
        <f>INDEX(EPD_Measures,9)</f>
        <v>Material resources consumption</v>
      </c>
      <c r="DX27" s="564" t="str">
        <f>INDEX(EPD_Measures,10)</f>
        <v>Nonrenewable material resources</v>
      </c>
      <c r="DY27" s="564" t="str">
        <f>INDEX(EPD_Measures,11)</f>
        <v>Renewable material resources</v>
      </c>
      <c r="DZ27" s="564"/>
      <c r="EA27" s="564"/>
      <c r="EB27" s="564" t="str">
        <f>INDEX(EPD_Measures,12)</f>
        <v>Net Fresh Water</v>
      </c>
      <c r="EC27"/>
      <c r="ED27"/>
      <c r="EE27"/>
      <c r="EF27"/>
      <c r="EG27"/>
    </row>
    <row r="28" spans="2:137" ht="15" customHeight="1">
      <c r="C28" s="43" t="str">
        <f>"Define the total specific materials used to produce the amount of "&amp;$Y$4&amp;" defined in Table A above."</f>
        <v>Define the total specific materials used to produce the amount of Underground Precast Products defined in Table A above.</v>
      </c>
      <c r="D28" s="44"/>
      <c r="E28" s="44"/>
      <c r="F28" s="44"/>
      <c r="G28" s="44"/>
      <c r="I28" s="98"/>
      <c r="J28"/>
      <c r="K28"/>
      <c r="L28"/>
      <c r="M28"/>
      <c r="N28"/>
      <c r="O28"/>
      <c r="P28"/>
      <c r="Q28"/>
      <c r="R28"/>
      <c r="S28"/>
      <c r="T28"/>
      <c r="AA28" s="13" t="s">
        <v>461</v>
      </c>
      <c r="AH28" s="13" t="s">
        <v>463</v>
      </c>
      <c r="AN28" s="1"/>
      <c r="AO28" s="1"/>
      <c r="AP28" s="1"/>
      <c r="AT28" s="87" t="s">
        <v>102</v>
      </c>
      <c r="AU28" s="87" t="s">
        <v>102</v>
      </c>
      <c r="AV28" s="87" t="s">
        <v>506</v>
      </c>
      <c r="AX28" s="145" t="str">
        <f>INDEX(EPD_Calc_Units,1)</f>
        <v>kg</v>
      </c>
      <c r="AY28" s="145" t="str">
        <f>INDEX(EPD_Calc_Units,2)</f>
        <v>kg</v>
      </c>
      <c r="AZ28" s="145" t="str">
        <f>INDEX(EPD_Calc_Units,3)</f>
        <v>kg</v>
      </c>
      <c r="BA28" s="145" t="str">
        <f>INDEX(EPD_Calc_Units,4)</f>
        <v>kg</v>
      </c>
      <c r="BB28" s="145" t="str">
        <f>INDEX(EPD_Calc_Units,5)</f>
        <v>kg</v>
      </c>
      <c r="BC28" s="145" t="str">
        <f>INDEX(EPD_Calc_Units,6)</f>
        <v>MJ</v>
      </c>
      <c r="BD28" s="145" t="str">
        <f>INDEX(EPD_Calc_Units,7)</f>
        <v>MJ</v>
      </c>
      <c r="BE28" s="145" t="str">
        <f>INDEX(EPD_Calc_Units,8)</f>
        <v>MJ</v>
      </c>
      <c r="BF28" s="145" t="str">
        <f>INDEX(EPD_Calc_Units,9)</f>
        <v>kg</v>
      </c>
      <c r="BG28" s="145" t="str">
        <f>INDEX(EPD_Calc_Units,10)</f>
        <v>kg</v>
      </c>
      <c r="BH28" s="145" t="str">
        <f>INDEX(EPD_Calc_Units,11)</f>
        <v>kg</v>
      </c>
      <c r="BI28" s="145" t="str">
        <f>INDEX(EPD_Calc_Units,12)</f>
        <v>m3</v>
      </c>
      <c r="BJ28" s="145" t="str">
        <f>INDEX(EPD_Calc_Units,13)</f>
        <v>kg</v>
      </c>
      <c r="BK28" s="146" t="str">
        <f>INDEX(EPD_Calc_Units,14)</f>
        <v>kg</v>
      </c>
      <c r="BM28" s="490" t="str">
        <f>INDEX(EPD_Calc_Units,1)</f>
        <v>kg</v>
      </c>
      <c r="BN28" s="490" t="str">
        <f>INDEX(EPD_Calc_Units,2)</f>
        <v>kg</v>
      </c>
      <c r="BO28" s="490" t="str">
        <f>INDEX(EPD_Calc_Units,3)</f>
        <v>kg</v>
      </c>
      <c r="BP28" s="490" t="str">
        <f>INDEX(EPD_Calc_Units,4)</f>
        <v>kg</v>
      </c>
      <c r="BQ28" s="490" t="str">
        <f>INDEX(EPD_Calc_Units,5)</f>
        <v>kg</v>
      </c>
      <c r="BR28" s="490" t="str">
        <f>INDEX(EPD_Calc_Units,6)</f>
        <v>MJ</v>
      </c>
      <c r="BS28" s="490" t="str">
        <f>INDEX(EPD_Calc_Units,7)</f>
        <v>MJ</v>
      </c>
      <c r="BT28" s="490" t="str">
        <f>INDEX(EPD_Calc_Units,8)</f>
        <v>MJ</v>
      </c>
      <c r="BU28" s="490" t="str">
        <f>INDEX(EPD_Calc_Units,9)</f>
        <v>kg</v>
      </c>
      <c r="BV28" s="490" t="str">
        <f>INDEX(EPD_Calc_Units,10)</f>
        <v>kg</v>
      </c>
      <c r="BW28" s="490" t="str">
        <f>INDEX(EPD_Calc_Units,11)</f>
        <v>kg</v>
      </c>
      <c r="BX28" s="490" t="str">
        <f>INDEX(EPD_Calc_Units,12)</f>
        <v>m3</v>
      </c>
      <c r="BY28" s="490" t="str">
        <f>INDEX(EPD_Calc_Units,13)</f>
        <v>kg</v>
      </c>
      <c r="BZ28" s="490" t="str">
        <f>INDEX(EPD_Calc_Units,14)</f>
        <v>kg</v>
      </c>
      <c r="CA28" s="490" t="str">
        <f>INDEX(EPD_Calc_Units,1)</f>
        <v>kg</v>
      </c>
      <c r="CB28" s="490" t="str">
        <f>INDEX(EPD_Calc_Units,2)</f>
        <v>kg</v>
      </c>
      <c r="CC28" s="490" t="str">
        <f>INDEX(EPD_Calc_Units,3)</f>
        <v>kg</v>
      </c>
      <c r="CD28" s="490" t="str">
        <f>INDEX(EPD_Calc_Units,4)</f>
        <v>kg</v>
      </c>
      <c r="CE28" s="490" t="str">
        <f>INDEX(EPD_Calc_Units,5)</f>
        <v>kg</v>
      </c>
      <c r="CF28" s="490" t="str">
        <f>INDEX(EPD_Calc_Units,6)</f>
        <v>MJ</v>
      </c>
      <c r="CG28" s="490" t="str">
        <f>INDEX(EPD_Calc_Units,7)</f>
        <v>MJ</v>
      </c>
      <c r="CH28" s="490" t="str">
        <f>INDEX(EPD_Calc_Units,8)</f>
        <v>MJ</v>
      </c>
      <c r="CI28" s="490" t="str">
        <f>INDEX(EPD_Calc_Units,9)</f>
        <v>kg</v>
      </c>
      <c r="CJ28" s="490" t="str">
        <f>INDEX(EPD_Calc_Units,10)</f>
        <v>kg</v>
      </c>
      <c r="CK28" s="490" t="str">
        <f>INDEX(EPD_Calc_Units,11)</f>
        <v>kg</v>
      </c>
      <c r="CL28" s="490" t="str">
        <f>INDEX(EPD_Calc_Units,12)</f>
        <v>m3</v>
      </c>
      <c r="CM28" s="490" t="str">
        <f>INDEX(EPD_Calc_Units,13)</f>
        <v>kg</v>
      </c>
      <c r="CN28" s="490" t="str">
        <f>INDEX(EPD_Calc_Units,14)</f>
        <v>kg</v>
      </c>
      <c r="CO28" s="490" t="str">
        <f>INDEX(EPD_Calc_Units,3)</f>
        <v>kg</v>
      </c>
      <c r="CP28" s="490" t="str">
        <f>INDEX(EPD_Calc_Units,4)</f>
        <v>kg</v>
      </c>
      <c r="CQ28" s="490" t="str">
        <f>INDEX(EPD_Calc_Units,5)</f>
        <v>kg</v>
      </c>
      <c r="CR28" s="490" t="str">
        <f>INDEX(EPD_Calc_Units,6)</f>
        <v>MJ</v>
      </c>
      <c r="CS28" s="490" t="str">
        <f>INDEX(EPD_Calc_Units,7)</f>
        <v>MJ</v>
      </c>
      <c r="CT28" s="490" t="str">
        <f>INDEX(EPD_Calc_Units,8)</f>
        <v>MJ</v>
      </c>
      <c r="CU28" s="490" t="str">
        <f>INDEX(EPD_Calc_Units,9)</f>
        <v>kg</v>
      </c>
      <c r="CV28" s="490" t="str">
        <f>INDEX(EPD_Calc_Units,10)</f>
        <v>kg</v>
      </c>
      <c r="CW28" s="490" t="str">
        <f>INDEX(EPD_Calc_Units,11)</f>
        <v>kg</v>
      </c>
      <c r="CX28" s="490"/>
      <c r="CY28" s="490"/>
      <c r="CZ28" s="490" t="str">
        <f>INDEX(EPD_Calc_Units,12)</f>
        <v>m3</v>
      </c>
      <c r="DA28" s="490" t="str">
        <f>INDEX(EPD_Calc_Units,1)</f>
        <v>kg</v>
      </c>
      <c r="DB28" s="490" t="str">
        <f>INDEX(EPD_Calc_Units,2)</f>
        <v>kg</v>
      </c>
      <c r="DC28" s="490" t="str">
        <f>INDEX(EPD_Calc_Units,3)</f>
        <v>kg</v>
      </c>
      <c r="DD28" s="490" t="str">
        <f>INDEX(EPD_Calc_Units,4)</f>
        <v>kg</v>
      </c>
      <c r="DE28" s="490" t="str">
        <f>INDEX(EPD_Calc_Units,5)</f>
        <v>kg</v>
      </c>
      <c r="DF28" s="490" t="str">
        <f>INDEX(EPD_Calc_Units,6)</f>
        <v>MJ</v>
      </c>
      <c r="DG28" s="490" t="str">
        <f>INDEX(EPD_Calc_Units,7)</f>
        <v>MJ</v>
      </c>
      <c r="DH28" s="490" t="str">
        <f>INDEX(EPD_Calc_Units,8)</f>
        <v>MJ</v>
      </c>
      <c r="DI28" s="490" t="str">
        <f>INDEX(EPD_Calc_Units,9)</f>
        <v>kg</v>
      </c>
      <c r="DJ28" s="490" t="str">
        <f>INDEX(EPD_Calc_Units,10)</f>
        <v>kg</v>
      </c>
      <c r="DK28" s="490" t="str">
        <f>INDEX(EPD_Calc_Units,11)</f>
        <v>kg</v>
      </c>
      <c r="DL28" s="490"/>
      <c r="DM28" s="490"/>
      <c r="DN28" s="490" t="str">
        <f>INDEX(EPD_Calc_Units,12)</f>
        <v>m3</v>
      </c>
      <c r="DO28" s="490" t="str">
        <f>INDEX(EPD_Calc_Units,1)</f>
        <v>kg</v>
      </c>
      <c r="DP28" s="490" t="str">
        <f>INDEX(EPD_Calc_Units,2)</f>
        <v>kg</v>
      </c>
      <c r="DQ28" s="490" t="str">
        <f>INDEX(EPD_Calc_Units,3)</f>
        <v>kg</v>
      </c>
      <c r="DR28" s="490" t="str">
        <f>INDEX(EPD_Calc_Units,4)</f>
        <v>kg</v>
      </c>
      <c r="DS28" s="490" t="str">
        <f>INDEX(EPD_Calc_Units,5)</f>
        <v>kg</v>
      </c>
      <c r="DT28" s="490" t="str">
        <f>INDEX(EPD_Calc_Units,6)</f>
        <v>MJ</v>
      </c>
      <c r="DU28" s="490" t="str">
        <f>INDEX(EPD_Calc_Units,7)</f>
        <v>MJ</v>
      </c>
      <c r="DV28" s="490" t="str">
        <f>INDEX(EPD_Calc_Units,8)</f>
        <v>MJ</v>
      </c>
      <c r="DW28" s="490" t="str">
        <f>INDEX(EPD_Calc_Units,9)</f>
        <v>kg</v>
      </c>
      <c r="DX28" s="490" t="str">
        <f>INDEX(EPD_Calc_Units,10)</f>
        <v>kg</v>
      </c>
      <c r="DY28" s="490" t="str">
        <f>INDEX(EPD_Calc_Units,11)</f>
        <v>kg</v>
      </c>
      <c r="DZ28" s="490"/>
      <c r="EA28" s="490"/>
      <c r="EB28" s="490" t="str">
        <f>INDEX(EPD_Calc_Units,12)</f>
        <v>m3</v>
      </c>
      <c r="EC28"/>
      <c r="ED28"/>
      <c r="EE28"/>
      <c r="EF28"/>
      <c r="EG28"/>
    </row>
    <row r="29" spans="2:137" ht="15" customHeight="1">
      <c r="C29" s="23" t="s">
        <v>2</v>
      </c>
      <c r="D29" s="24" t="s">
        <v>5</v>
      </c>
      <c r="E29" s="25" t="s">
        <v>12</v>
      </c>
      <c r="F29" s="25" t="s">
        <v>6</v>
      </c>
      <c r="G29" s="25" t="s">
        <v>102</v>
      </c>
      <c r="H29" s="25" t="s">
        <v>6</v>
      </c>
      <c r="I29" s="155" t="s">
        <v>240</v>
      </c>
      <c r="J29"/>
      <c r="K29"/>
      <c r="L29"/>
      <c r="M29"/>
      <c r="N29"/>
      <c r="O29"/>
      <c r="P29"/>
      <c r="Q29"/>
      <c r="R29"/>
      <c r="S29"/>
      <c r="T29"/>
      <c r="Y29" s="13" t="s">
        <v>452</v>
      </c>
      <c r="AA29" s="13" t="s">
        <v>13</v>
      </c>
      <c r="AB29" s="13" t="s">
        <v>14</v>
      </c>
      <c r="AC29" s="13" t="s">
        <v>16</v>
      </c>
      <c r="AD29" s="13" t="s">
        <v>15</v>
      </c>
      <c r="AE29" s="13" t="s">
        <v>462</v>
      </c>
      <c r="AF29" s="13" t="s">
        <v>79</v>
      </c>
      <c r="AH29" s="13" t="s">
        <v>13</v>
      </c>
      <c r="AI29" s="13" t="s">
        <v>14</v>
      </c>
      <c r="AJ29" s="13" t="s">
        <v>16</v>
      </c>
      <c r="AK29" s="13" t="s">
        <v>15</v>
      </c>
      <c r="AO29" s="1" t="s">
        <v>212</v>
      </c>
      <c r="AP29" s="1" t="s">
        <v>129</v>
      </c>
      <c r="AQ29" s="1" t="s">
        <v>126</v>
      </c>
      <c r="AR29" s="87" t="s">
        <v>79</v>
      </c>
      <c r="AS29" s="87" t="s">
        <v>210</v>
      </c>
      <c r="AT29" s="331" t="str">
        <f>MassCalcUnit</f>
        <v>tonne</v>
      </c>
      <c r="AU29" s="87" t="str">
        <f>'CPCI Data'!$W$14</f>
        <v>kg</v>
      </c>
      <c r="AV29" s="329" t="str">
        <f>MassDisplayUnit</f>
        <v>short ton</v>
      </c>
      <c r="AW29" s="1"/>
      <c r="AX29" s="148" t="s">
        <v>131</v>
      </c>
      <c r="AY29" s="148"/>
      <c r="AZ29" s="148"/>
      <c r="BA29" s="148"/>
      <c r="BB29" s="148"/>
      <c r="BC29" s="146"/>
      <c r="BD29" s="146"/>
      <c r="BE29" s="146"/>
      <c r="BF29" s="146"/>
      <c r="BG29" s="146"/>
      <c r="BH29" s="146"/>
      <c r="BI29" s="146"/>
      <c r="BJ29" s="146"/>
      <c r="BK29" s="146"/>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row>
    <row r="30" spans="2:137" ht="15" customHeight="1">
      <c r="B30" s="53">
        <f>X30</f>
        <v>0</v>
      </c>
      <c r="C30" s="26">
        <f>ROW($C30)-ROW($C$30)+1</f>
        <v>1</v>
      </c>
      <c r="D30" s="46" t="str">
        <f>'Plant Inputs'!$D30</f>
        <v>Portland Cement</v>
      </c>
      <c r="E30" s="419"/>
      <c r="F30" s="106" t="str">
        <f t="shared" ref="F30:F41" si="6">MassDisplayUnit</f>
        <v>short ton</v>
      </c>
      <c r="G30" s="158">
        <f>$AV30</f>
        <v>0</v>
      </c>
      <c r="H30" s="204" t="str">
        <f t="shared" ref="H30:H66" si="7">MassDisplayUnit</f>
        <v>short ton</v>
      </c>
      <c r="I30" s="156">
        <f t="shared" ref="I30:I65" si="8">IF($G$68=0,0,G30/$G$68)</f>
        <v>0</v>
      </c>
      <c r="J30"/>
      <c r="K30"/>
      <c r="L30"/>
      <c r="M30"/>
      <c r="N30"/>
      <c r="O30"/>
      <c r="P30"/>
      <c r="Q30"/>
      <c r="R30"/>
      <c r="S30"/>
      <c r="T30"/>
      <c r="X30" s="67">
        <f>IF(ISBLANK(E30),0,1)</f>
        <v>0</v>
      </c>
      <c r="Y30" s="216">
        <f>IF(AND($X30=1,'Plant Inputs'!$Y30=1),1,0)</f>
        <v>0</v>
      </c>
      <c r="Z30" s="216"/>
      <c r="AA30" s="216">
        <f>IF($Y30=0,0,IF('Plant Inputs'!J30="",0,'Plant Inputs'!J30))</f>
        <v>0</v>
      </c>
      <c r="AB30" s="216">
        <f>IF($Y30=0,0,IF('Plant Inputs'!K30="",0,'Plant Inputs'!K30))</f>
        <v>0</v>
      </c>
      <c r="AC30" s="216">
        <f>IF($Y30=0,0,IF('Plant Inputs'!L30="",0,'Plant Inputs'!L30))</f>
        <v>0</v>
      </c>
      <c r="AD30" s="216">
        <f>IF($Y30=0,0,IF('Plant Inputs'!M30="",0,'Plant Inputs'!M30))</f>
        <v>0</v>
      </c>
      <c r="AE30" s="217" t="str">
        <f>'Plant Inputs'!$O30</f>
        <v>mile</v>
      </c>
      <c r="AF30" s="217">
        <f t="shared" ref="AF30:AF64" si="9">INDEX(Conversion_Table,MATCH($AE30,Conversion_Rows,0),MATCH($AG$27,Conversion_Columns,0))</f>
        <v>1.6093473468862911</v>
      </c>
      <c r="AG30" s="216" t="str">
        <f>$AG$27&amp;"/"&amp;$AE30</f>
        <v>km/mile</v>
      </c>
      <c r="AH30" s="216">
        <f t="shared" ref="AH30:AK45" si="10">AA30*$AF30</f>
        <v>0</v>
      </c>
      <c r="AI30" s="216">
        <f t="shared" si="10"/>
        <v>0</v>
      </c>
      <c r="AJ30" s="216">
        <f t="shared" si="10"/>
        <v>0</v>
      </c>
      <c r="AK30" s="216">
        <f t="shared" si="10"/>
        <v>0</v>
      </c>
      <c r="AL30" s="216"/>
      <c r="AM30" s="1" t="str">
        <f t="shared" ref="AM30:AM45" si="11">D30</f>
        <v>Portland Cement</v>
      </c>
      <c r="AN30" t="s">
        <v>127</v>
      </c>
      <c r="AO30">
        <f t="shared" ref="AO30:AO45" si="12">VLOOKUP(AM30,Material_Densities,2,FALSE)</f>
        <v>0</v>
      </c>
      <c r="AP30" s="1">
        <f>IF($E30="",0,$E30)</f>
        <v>0</v>
      </c>
      <c r="AQ30" s="1" t="str">
        <f t="shared" ref="AQ30:AQ45" si="13">F30</f>
        <v>short ton</v>
      </c>
      <c r="AR30" s="1">
        <f t="shared" ref="AR30:AR66" si="14">IFERROR(IF($AN30="M",INDEX(Conversion_Table,MATCH($AQ30,Conversion_Rows,0),MATCH($AT$29,Conversion_Columns,0)),IF($AN30="V",INDEX(Conversion_Table,MATCH($AQ30,Conversion_Rows,0),MATCH("m3",Conversion_Columns,0))*$AO30)),NA())</f>
        <v>0.90718499588591606</v>
      </c>
      <c r="AS30" s="87" t="str">
        <f t="shared" ref="AS30:AS45" si="15">$AT$29&amp;"/"&amp;AQ30</f>
        <v>tonne/short ton</v>
      </c>
      <c r="AT30" s="87">
        <f t="shared" ref="AT30:AT45" si="16">AP30*AR30</f>
        <v>0</v>
      </c>
      <c r="AU30" s="87">
        <f t="shared" ref="AU30:AU45" si="17">INDEX(Conversion_Table,MATCH($AT$29,Conversion_Rows,0),MATCH($AU$29,Conversion_Columns,0))*AT30</f>
        <v>0</v>
      </c>
      <c r="AV30" s="87">
        <f t="shared" ref="AV30:AV66" si="18">$AT30*INDEX(Conversion_Table,MATCH($AT$29,Conversion_Rows,0),MATCH($AV$29,Conversion_Columns,0))</f>
        <v>0</v>
      </c>
      <c r="AW30" t="str">
        <f t="shared" ref="AW30:AW45" si="19">AM30</f>
        <v>Portland Cement</v>
      </c>
      <c r="AX30" s="148">
        <f>'Cement Sources'!BC$13*$AU30</f>
        <v>0</v>
      </c>
      <c r="AY30" s="148">
        <f>'Cement Sources'!BD$13*$AU30</f>
        <v>0</v>
      </c>
      <c r="AZ30" s="148">
        <f>'Cement Sources'!BE$13*$AU30</f>
        <v>0</v>
      </c>
      <c r="BA30" s="148">
        <f>'Cement Sources'!BF$13*$AU30</f>
        <v>0</v>
      </c>
      <c r="BB30" s="148">
        <f>'Cement Sources'!BG$13*$AU30</f>
        <v>0</v>
      </c>
      <c r="BC30" s="148">
        <f>'Cement Sources'!BH$13*$AU30</f>
        <v>0</v>
      </c>
      <c r="BD30" s="148">
        <f>'Cement Sources'!BI$13*$AU30</f>
        <v>0</v>
      </c>
      <c r="BE30" s="148">
        <f>'Cement Sources'!BJ$13*$AU30</f>
        <v>0</v>
      </c>
      <c r="BF30" s="148">
        <f>'Cement Sources'!BK$13*$AU30</f>
        <v>0</v>
      </c>
      <c r="BG30" s="148">
        <f>'Cement Sources'!BL$13*$AU30</f>
        <v>0</v>
      </c>
      <c r="BH30" s="148">
        <f>'Cement Sources'!BM$13*$AU30</f>
        <v>0</v>
      </c>
      <c r="BI30" s="148">
        <f>'Cement Sources'!BN$13*$AU30</f>
        <v>0</v>
      </c>
      <c r="BJ30" s="148">
        <f>'Cement Sources'!BO$13*$AU30</f>
        <v>0</v>
      </c>
      <c r="BK30" s="148">
        <f>'Cement Sources'!BP$13*$AU30</f>
        <v>0</v>
      </c>
      <c r="BM30" s="1">
        <f t="array" ref="BM30">IFERROR(INDEX(LCIA_Data,MATCH($AO$15&amp;BM$27,LCIA_Rows_B&amp;LCIA_Rows_C,0),MATCH(BM$26,LCIA_Columns,0)),0)*$AT30*$AH30*$BN$23</f>
        <v>0</v>
      </c>
      <c r="BN30" s="1">
        <f t="array" ref="BN30">IFERROR(INDEX(LCIA_Data,MATCH($AO$15&amp;BN$27,LCIA_Rows_B&amp;LCIA_Rows_C,0),MATCH(BN$26,LCIA_Columns,0)),0)*$AT30*$AH30*$BN$23</f>
        <v>0</v>
      </c>
      <c r="BO30" s="1">
        <f t="array" ref="BO30">IFERROR(INDEX(LCIA_Data,MATCH($AO$15&amp;BO$27,LCIA_Rows_B&amp;LCIA_Rows_C,0),MATCH(BO$26,LCIA_Columns,0)),0)*$AT30*$AH30*$BN$23</f>
        <v>0</v>
      </c>
      <c r="BP30" s="1">
        <f t="array" ref="BP30">IFERROR(INDEX(LCIA_Data,MATCH($AO$15&amp;BP$27,LCIA_Rows_B&amp;LCIA_Rows_C,0),MATCH(BP$26,LCIA_Columns,0)),0)*$AT30*$AH30*$BN$23</f>
        <v>0</v>
      </c>
      <c r="BQ30" s="1">
        <f t="array" ref="BQ30">IFERROR(INDEX(LCIA_Data,MATCH($AO$15&amp;BQ$27,LCIA_Rows_B&amp;LCIA_Rows_C,0),MATCH(BQ$26,LCIA_Columns,0)),0)*$AT30*$AH30*$BN$23</f>
        <v>0</v>
      </c>
      <c r="BR30" s="1">
        <f t="array" ref="BR30">IFERROR(INDEX(LCIA_Data,MATCH($AO$15&amp;BR$27,LCIA_Rows_B&amp;LCIA_Rows_C,0),MATCH(BR$26,LCIA_Columns,0)),0)*$AT30*$AH30*$BN$23</f>
        <v>0</v>
      </c>
      <c r="BS30" s="1">
        <f t="array" ref="BS30">IFERROR(INDEX(LCIA_Data,MATCH($AO$15&amp;BS$27,LCIA_Rows_B&amp;LCIA_Rows_C,0),MATCH(BS$26,LCIA_Columns,0)),0)*$AT30*$AH30*$BN$23</f>
        <v>0</v>
      </c>
      <c r="BT30" s="1">
        <f t="array" ref="BT30">IFERROR(INDEX(LCIA_Data,MATCH($AO$15&amp;BT$27,LCIA_Rows_B&amp;LCIA_Rows_C,0),MATCH(BT$26,LCIA_Columns,0)),0)*$AT30*$AH30*$BN$23</f>
        <v>0</v>
      </c>
      <c r="BU30" s="1">
        <f t="array" ref="BU30">IFERROR(INDEX(LCIA_Data,MATCH($AO$15&amp;BU$27,LCIA_Rows_B&amp;LCIA_Rows_C,0),MATCH(BU$26,LCIA_Columns,0)),0)*$AT30*$AH30*$BN$23</f>
        <v>0</v>
      </c>
      <c r="BV30" s="1">
        <f t="array" ref="BV30">IFERROR(INDEX(LCIA_Data,MATCH($AO$15&amp;BV$27,LCIA_Rows_B&amp;LCIA_Rows_C,0),MATCH(BV$26,LCIA_Columns,0)),0)*$AT30*$AH30*$BN$23</f>
        <v>0</v>
      </c>
      <c r="BW30" s="1">
        <f t="array" ref="BW30">IFERROR(INDEX(LCIA_Data,MATCH($AO$15&amp;BW$27,LCIA_Rows_B&amp;LCIA_Rows_C,0),MATCH(BW$26,LCIA_Columns,0)),0)*$AT30*$AH30*$BN$23</f>
        <v>0</v>
      </c>
      <c r="BX30" s="1">
        <f t="array" ref="BX30">IFERROR(INDEX(LCIA_Data,MATCH($AO$15&amp;BX$27,LCIA_Rows_B&amp;LCIA_Rows_C,0),MATCH(BX$26,LCIA_Columns,0)),0)*$AT30*$AH30*$BN$23</f>
        <v>0</v>
      </c>
      <c r="BY30" s="1">
        <f t="array" ref="BY30">IFERROR(INDEX(LCIA_Data,MATCH($AO$15&amp;BY$27,LCIA_Rows_B&amp;LCIA_Rows_C,0),MATCH(BY$26,LCIA_Columns,0)),0)*$AT30*$AH30*$BN$23</f>
        <v>0</v>
      </c>
      <c r="BZ30" s="1">
        <f t="array" ref="BZ30">IFERROR(INDEX(LCIA_Data,MATCH($AO$15&amp;BZ$27,LCIA_Rows_B&amp;LCIA_Rows_C,0),MATCH(BZ$26,LCIA_Columns,0)),0)*$AT30*$AH30*$BN$23</f>
        <v>0</v>
      </c>
      <c r="CA30" s="1">
        <f t="array" ref="CA30">IFERROR(INDEX(LCIA_Data,MATCH($AO$15&amp;CA$27,LCIA_Rows_B&amp;LCIA_Rows_C,0),MATCH(CA$26,LCIA_Columns,0)),0)*$AT30*$AI30*$BN$23</f>
        <v>0</v>
      </c>
      <c r="CB30" s="1">
        <f t="array" ref="CB30">IFERROR(INDEX(LCIA_Data,MATCH($AO$15&amp;CB$27,LCIA_Rows_B&amp;LCIA_Rows_C,0),MATCH(CB$26,LCIA_Columns,0)),0)*$AT30*$AI30*$BN$23</f>
        <v>0</v>
      </c>
      <c r="CC30" s="1">
        <f t="array" ref="CC30">IFERROR(INDEX(LCIA_Data,MATCH($AO$15&amp;CC$27,LCIA_Rows_B&amp;LCIA_Rows_C,0),MATCH(CC$26,LCIA_Columns,0)),0)*$AT30*$AI30*$BN$23</f>
        <v>0</v>
      </c>
      <c r="CD30" s="1">
        <f t="array" ref="CD30">IFERROR(INDEX(LCIA_Data,MATCH($AO$15&amp;CD$27,LCIA_Rows_B&amp;LCIA_Rows_C,0),MATCH(CD$26,LCIA_Columns,0)),0)*$AT30*$AI30*$BN$23</f>
        <v>0</v>
      </c>
      <c r="CE30" s="1">
        <f t="array" ref="CE30">IFERROR(INDEX(LCIA_Data,MATCH($AO$15&amp;CE$27,LCIA_Rows_B&amp;LCIA_Rows_C,0),MATCH(CE$26,LCIA_Columns,0)),0)*$AT30*$AI30*$BN$23</f>
        <v>0</v>
      </c>
      <c r="CF30" s="1">
        <f t="array" ref="CF30">IFERROR(INDEX(LCIA_Data,MATCH($AO$15&amp;CF$27,LCIA_Rows_B&amp;LCIA_Rows_C,0),MATCH(CF$26,LCIA_Columns,0)),0)*$AT30*$AI30*$BN$23</f>
        <v>0</v>
      </c>
      <c r="CG30" s="1">
        <f t="array" ref="CG30">IFERROR(INDEX(LCIA_Data,MATCH($AO$15&amp;CG$27,LCIA_Rows_B&amp;LCIA_Rows_C,0),MATCH(CG$26,LCIA_Columns,0)),0)*$AT30*$AI30*$BN$23</f>
        <v>0</v>
      </c>
      <c r="CH30" s="1">
        <f t="array" ref="CH30">IFERROR(INDEX(LCIA_Data,MATCH($AO$15&amp;CH$27,LCIA_Rows_B&amp;LCIA_Rows_C,0),MATCH(CH$26,LCIA_Columns,0)),0)*$AT30*$AI30*$BN$23</f>
        <v>0</v>
      </c>
      <c r="CI30" s="1">
        <f t="array" ref="CI30">IFERROR(INDEX(LCIA_Data,MATCH($AO$15&amp;CI$27,LCIA_Rows_B&amp;LCIA_Rows_C,0),MATCH(CI$26,LCIA_Columns,0)),0)*$AT30*$AI30*$BN$23</f>
        <v>0</v>
      </c>
      <c r="CJ30" s="1">
        <f t="array" ref="CJ30">IFERROR(INDEX(LCIA_Data,MATCH($AO$15&amp;CJ$27,LCIA_Rows_B&amp;LCIA_Rows_C,0),MATCH(CJ$26,LCIA_Columns,0)),0)*$AT30*$AI30*$BN$23</f>
        <v>0</v>
      </c>
      <c r="CK30" s="1">
        <f t="array" ref="CK30">IFERROR(INDEX(LCIA_Data,MATCH($AO$15&amp;CK$27,LCIA_Rows_B&amp;LCIA_Rows_C,0),MATCH(CK$26,LCIA_Columns,0)),0)*$AT30*$AI30*$BN$23</f>
        <v>0</v>
      </c>
      <c r="CL30" s="1">
        <f t="array" ref="CL30">IFERROR(INDEX(LCIA_Data,MATCH($AO$15&amp;CL$27,LCIA_Rows_B&amp;LCIA_Rows_C,0),MATCH(CL$26,LCIA_Columns,0)),0)*$AT30*$AI30*$BN$23</f>
        <v>0</v>
      </c>
      <c r="CM30" s="1">
        <f t="array" ref="CM30">IFERROR(INDEX(LCIA_Data,MATCH($AO$15&amp;CM$27,LCIA_Rows_B&amp;LCIA_Rows_C,0),MATCH(CM$26,LCIA_Columns,0)),0)*$AT30*$AJ30*$BN$23</f>
        <v>0</v>
      </c>
      <c r="CN30" s="1">
        <f t="array" ref="CN30">IFERROR(INDEX(LCIA_Data,MATCH($AO$15&amp;CN$27,LCIA_Rows_B&amp;LCIA_Rows_C,0),MATCH(CN$26,LCIA_Columns,0)),0)*$AT30*$AJ30*$BN$23</f>
        <v>0</v>
      </c>
      <c r="CO30" s="1">
        <f t="array" ref="CO30">IFERROR(INDEX(LCIA_Data,MATCH($AO$15&amp;CO$27,LCIA_Rows_B&amp;LCIA_Rows_C,0),MATCH(CO$26,LCIA_Columns,0)),0)*$AT30*$AJ30*$BN$23</f>
        <v>0</v>
      </c>
      <c r="CP30" s="1">
        <f t="array" ref="CP30">IFERROR(INDEX(LCIA_Data,MATCH($AO$15&amp;CP$27,LCIA_Rows_B&amp;LCIA_Rows_C,0),MATCH(CP$26,LCIA_Columns,0)),0)*$AT30*$AJ30*$BN$23</f>
        <v>0</v>
      </c>
      <c r="CQ30" s="1">
        <f t="array" ref="CQ30">IFERROR(INDEX(LCIA_Data,MATCH($AO$15&amp;CQ$27,LCIA_Rows_B&amp;LCIA_Rows_C,0),MATCH(CQ$26,LCIA_Columns,0)),0)*$AT30*$AJ30*$BN$23</f>
        <v>0</v>
      </c>
      <c r="CR30" s="1">
        <f t="array" ref="CR30">IFERROR(INDEX(LCIA_Data,MATCH($AO$15&amp;CR$27,LCIA_Rows_B&amp;LCIA_Rows_C,0),MATCH(CR$26,LCIA_Columns,0)),0)*$AT30*$AJ30*$BN$23</f>
        <v>0</v>
      </c>
      <c r="CS30" s="1">
        <f t="array" ref="CS30">IFERROR(INDEX(LCIA_Data,MATCH($AO$15&amp;CS$27,LCIA_Rows_B&amp;LCIA_Rows_C,0),MATCH(CS$26,LCIA_Columns,0)),0)*$AT30*$AJ30*$BN$23</f>
        <v>0</v>
      </c>
      <c r="CT30" s="1">
        <f t="array" ref="CT30">IFERROR(INDEX(LCIA_Data,MATCH($AO$15&amp;CT$27,LCIA_Rows_B&amp;LCIA_Rows_C,0),MATCH(CT$26,LCIA_Columns,0)),0)*$AT30*$AJ30*$BN$23</f>
        <v>0</v>
      </c>
      <c r="CU30" s="1">
        <f t="array" ref="CU30">IFERROR(INDEX(LCIA_Data,MATCH($AO$15&amp;CU$27,LCIA_Rows_B&amp;LCIA_Rows_C,0),MATCH(CU$26,LCIA_Columns,0)),0)*$AT30*$AJ30*$BN$23</f>
        <v>0</v>
      </c>
      <c r="CV30" s="1">
        <f t="array" ref="CV30">IFERROR(INDEX(LCIA_Data,MATCH($AO$15&amp;CV$27,LCIA_Rows_B&amp;LCIA_Rows_C,0),MATCH(CV$26,LCIA_Columns,0)),0)*$AT30*$AJ30*$BN$23</f>
        <v>0</v>
      </c>
      <c r="CW30" s="1">
        <f t="array" ref="CW30">IFERROR(INDEX(LCIA_Data,MATCH($AO$15&amp;CW$27,LCIA_Rows_B&amp;LCIA_Rows_C,0),MATCH(CW$26,LCIA_Columns,0)),0)*$AT30*$AJ30*$BN$23</f>
        <v>0</v>
      </c>
      <c r="CX30" s="1">
        <f t="array" ref="CX30">IFERROR(INDEX(LCIA_Data,MATCH($AO$15&amp;CX$27,LCIA_Rows_B&amp;LCIA_Rows_C,0),MATCH(CX$26,LCIA_Columns,0)),0)*$AT30*$AJ30*$BN$23</f>
        <v>0</v>
      </c>
      <c r="CY30" s="1">
        <f t="array" ref="CY30">IFERROR(INDEX(LCIA_Data,MATCH($AO$15&amp;CY$27,LCIA_Rows_B&amp;LCIA_Rows_C,0),MATCH(CY$26,LCIA_Columns,0)),0)*$AT30*$AJ30*$BN$23</f>
        <v>0</v>
      </c>
      <c r="CZ30" s="1">
        <f t="array" ref="CZ30">IFERROR(INDEX(LCIA_Data,MATCH($AO$15&amp;CZ$27,LCIA_Rows_B&amp;LCIA_Rows_C,0),MATCH(CZ$26,LCIA_Columns,0)),0)*$AT30*$AJ30*$BN$23</f>
        <v>0</v>
      </c>
      <c r="DA30" s="1">
        <f t="array" ref="DA30">IFERROR(INDEX(LCIA_Data,MATCH($AO$15&amp;DA$27,LCIA_Rows_B&amp;LCIA_Rows_C,0),MATCH(DA$26,LCIA_Columns,0)),0)*$AT30*$AK30*$BN$23</f>
        <v>0</v>
      </c>
      <c r="DB30" s="1">
        <f t="array" ref="DB30">IFERROR(INDEX(LCIA_Data,MATCH($AO$15&amp;DB$27,LCIA_Rows_B&amp;LCIA_Rows_C,0),MATCH(DB$26,LCIA_Columns,0)),0)*$AT30*$AK30*$BN$23</f>
        <v>0</v>
      </c>
      <c r="DC30" s="1">
        <f t="array" ref="DC30">IFERROR(INDEX(LCIA_Data,MATCH($AO$15&amp;DC$27,LCIA_Rows_B&amp;LCIA_Rows_C,0),MATCH(DC$26,LCIA_Columns,0)),0)*$AT30*$AK30*$BN$23</f>
        <v>0</v>
      </c>
      <c r="DD30" s="1">
        <f t="array" ref="DD30">IFERROR(INDEX(LCIA_Data,MATCH($AO$15&amp;DD$27,LCIA_Rows_B&amp;LCIA_Rows_C,0),MATCH(DD$26,LCIA_Columns,0)),0)*$AT30*$AK30*$BN$23</f>
        <v>0</v>
      </c>
      <c r="DE30" s="1">
        <f t="array" ref="DE30">IFERROR(INDEX(LCIA_Data,MATCH($AO$15&amp;DE$27,LCIA_Rows_B&amp;LCIA_Rows_C,0),MATCH(DE$26,LCIA_Columns,0)),0)*$AT30*$AK30*$BN$23</f>
        <v>0</v>
      </c>
      <c r="DF30" s="1">
        <f t="array" ref="DF30">IFERROR(INDEX(LCIA_Data,MATCH($AO$15&amp;DF$27,LCIA_Rows_B&amp;LCIA_Rows_C,0),MATCH(DF$26,LCIA_Columns,0)),0)*$AT30*$AK30*$BN$23</f>
        <v>0</v>
      </c>
      <c r="DG30" s="1">
        <f t="array" ref="DG30">IFERROR(INDEX(LCIA_Data,MATCH($AO$15&amp;DG$27,LCIA_Rows_B&amp;LCIA_Rows_C,0),MATCH(DG$26,LCIA_Columns,0)),0)*$AT30*$AK30*$BN$23</f>
        <v>0</v>
      </c>
      <c r="DH30" s="1">
        <f t="array" ref="DH30">IFERROR(INDEX(LCIA_Data,MATCH($AO$15&amp;DH$27,LCIA_Rows_B&amp;LCIA_Rows_C,0),MATCH(DH$26,LCIA_Columns,0)),0)*$AT30*$AK30*$BN$23</f>
        <v>0</v>
      </c>
      <c r="DI30" s="1">
        <f t="array" ref="DI30">IFERROR(INDEX(LCIA_Data,MATCH($AO$15&amp;DI$27,LCIA_Rows_B&amp;LCIA_Rows_C,0),MATCH(DI$26,LCIA_Columns,0)),0)*$AT30*$AK30*$BN$23</f>
        <v>0</v>
      </c>
      <c r="DJ30" s="1">
        <f t="array" ref="DJ30">IFERROR(INDEX(LCIA_Data,MATCH($AO$15&amp;DJ$27,LCIA_Rows_B&amp;LCIA_Rows_C,0),MATCH(DJ$26,LCIA_Columns,0)),0)*$AT30*$AK30*$BN$23</f>
        <v>0</v>
      </c>
      <c r="DK30" s="1">
        <f t="array" ref="DK30">IFERROR(INDEX(LCIA_Data,MATCH($AO$15&amp;DK$27,LCIA_Rows_B&amp;LCIA_Rows_C,0),MATCH(DK$26,LCIA_Columns,0)),0)*$AT30*$AK30*$BN$23</f>
        <v>0</v>
      </c>
      <c r="DL30" s="1">
        <f t="array" ref="DL30">IFERROR(INDEX(LCIA_Data,MATCH($AO$15&amp;DL$27,LCIA_Rows_B&amp;LCIA_Rows_C,0),MATCH(DL$26,LCIA_Columns,0)),0)*$AT30*$AK30*$BN$23</f>
        <v>0</v>
      </c>
      <c r="DM30" s="1">
        <f t="array" ref="DM30">IFERROR(INDEX(LCIA_Data,MATCH($AO$15&amp;DM$27,LCIA_Rows_B&amp;LCIA_Rows_C,0),MATCH(DM$26,LCIA_Columns,0)),0)*$AT30*$AK30*$BN$23</f>
        <v>0</v>
      </c>
      <c r="DN30" s="1">
        <f t="array" ref="DN30">IFERROR(INDEX(LCIA_Data,MATCH($AO$15&amp;DN$27,LCIA_Rows_B&amp;LCIA_Rows_C,0),MATCH(DN$26,LCIA_Columns,0)),0)*$AT30*$AK30*$BN$23</f>
        <v>0</v>
      </c>
      <c r="DO30">
        <f t="shared" ref="DO30:EA49" si="20">BM30+CA30+CM30+DA30</f>
        <v>0</v>
      </c>
      <c r="DP30">
        <f t="shared" si="20"/>
        <v>0</v>
      </c>
      <c r="DQ30">
        <f t="shared" si="20"/>
        <v>0</v>
      </c>
      <c r="DR30">
        <f t="shared" si="20"/>
        <v>0</v>
      </c>
      <c r="DS30">
        <f t="shared" si="20"/>
        <v>0</v>
      </c>
      <c r="DT30">
        <f t="shared" si="20"/>
        <v>0</v>
      </c>
      <c r="DU30">
        <f t="shared" si="20"/>
        <v>0</v>
      </c>
      <c r="DV30">
        <f t="shared" si="20"/>
        <v>0</v>
      </c>
      <c r="DW30">
        <f t="shared" si="20"/>
        <v>0</v>
      </c>
      <c r="DX30">
        <f t="shared" si="20"/>
        <v>0</v>
      </c>
      <c r="DY30">
        <f t="shared" si="20"/>
        <v>0</v>
      </c>
      <c r="DZ30">
        <f t="shared" si="20"/>
        <v>0</v>
      </c>
      <c r="EA30">
        <f t="shared" si="20"/>
        <v>0</v>
      </c>
      <c r="EB30">
        <f t="shared" ref="EB30:EB64" si="21">BZ30+CL30+CZ30+DN30</f>
        <v>0</v>
      </c>
      <c r="EC30"/>
      <c r="ED30"/>
      <c r="EE30"/>
      <c r="EF30"/>
      <c r="EG30"/>
    </row>
    <row r="31" spans="2:137" ht="15" customHeight="1">
      <c r="B31" s="53">
        <f>X31</f>
        <v>0</v>
      </c>
      <c r="C31" s="26">
        <f t="shared" ref="C31:C67" si="22">ROW($C31)-ROW($C$30)+1</f>
        <v>2</v>
      </c>
      <c r="D31" s="46" t="str">
        <f>'Plant Inputs'!$D31</f>
        <v>Portland Limestone Cement (PLC)</v>
      </c>
      <c r="E31" s="419"/>
      <c r="F31" s="106" t="str">
        <f t="shared" si="6"/>
        <v>short ton</v>
      </c>
      <c r="G31" s="158">
        <f>$AV31</f>
        <v>0</v>
      </c>
      <c r="H31" s="204" t="str">
        <f t="shared" si="7"/>
        <v>short ton</v>
      </c>
      <c r="I31" s="399">
        <f t="shared" si="8"/>
        <v>0</v>
      </c>
      <c r="J31"/>
      <c r="K31"/>
      <c r="L31"/>
      <c r="M31"/>
      <c r="N31"/>
      <c r="O31"/>
      <c r="P31"/>
      <c r="Q31"/>
      <c r="R31"/>
      <c r="S31"/>
      <c r="T31"/>
      <c r="X31" s="67">
        <f>IF(ISBLANK(E31),0,1)</f>
        <v>0</v>
      </c>
      <c r="Y31" s="216">
        <f>IF(AND($X31=1,'Plant Inputs'!$Y31=1),1,0)</f>
        <v>0</v>
      </c>
      <c r="Z31" s="216"/>
      <c r="AA31" s="216">
        <f>IF($Y31=0,0,IF('Plant Inputs'!J31="",0,'Plant Inputs'!J31))</f>
        <v>0</v>
      </c>
      <c r="AB31" s="216">
        <f>IF($Y31=0,0,IF('Plant Inputs'!K31="",0,'Plant Inputs'!K31))</f>
        <v>0</v>
      </c>
      <c r="AC31" s="216">
        <f>IF($Y31=0,0,IF('Plant Inputs'!L31="",0,'Plant Inputs'!L31))</f>
        <v>0</v>
      </c>
      <c r="AD31" s="216">
        <f>IF($Y31=0,0,IF('Plant Inputs'!M31="",0,'Plant Inputs'!M31))</f>
        <v>0</v>
      </c>
      <c r="AE31" s="217" t="str">
        <f>'Plant Inputs'!$O31</f>
        <v>mile</v>
      </c>
      <c r="AF31" s="217">
        <f t="shared" si="9"/>
        <v>1.6093473468862911</v>
      </c>
      <c r="AG31" s="216" t="str">
        <f t="shared" ref="AG31:AG64" si="23">$AG$27&amp;"/"&amp;$AE31</f>
        <v>km/mile</v>
      </c>
      <c r="AH31" s="216">
        <f t="shared" si="10"/>
        <v>0</v>
      </c>
      <c r="AI31" s="216">
        <f t="shared" si="10"/>
        <v>0</v>
      </c>
      <c r="AJ31" s="216">
        <f t="shared" si="10"/>
        <v>0</v>
      </c>
      <c r="AK31" s="216">
        <f t="shared" si="10"/>
        <v>0</v>
      </c>
      <c r="AL31" s="216"/>
      <c r="AM31" s="1" t="str">
        <f t="shared" si="11"/>
        <v>Portland Limestone Cement (PLC)</v>
      </c>
      <c r="AN31" t="s">
        <v>127</v>
      </c>
      <c r="AO31">
        <f t="shared" si="12"/>
        <v>0</v>
      </c>
      <c r="AP31" s="1">
        <f t="shared" ref="AP31:AP67" si="24">IF($E31="",0,$E31)</f>
        <v>0</v>
      </c>
      <c r="AQ31" s="1" t="str">
        <f t="shared" si="13"/>
        <v>short ton</v>
      </c>
      <c r="AR31" s="1">
        <f t="shared" si="14"/>
        <v>0.90718499588591606</v>
      </c>
      <c r="AS31" s="87" t="str">
        <f t="shared" si="15"/>
        <v>tonne/short ton</v>
      </c>
      <c r="AT31" s="87">
        <f t="shared" si="16"/>
        <v>0</v>
      </c>
      <c r="AU31" s="87">
        <f t="shared" si="17"/>
        <v>0</v>
      </c>
      <c r="AV31" s="87">
        <f t="shared" si="18"/>
        <v>0</v>
      </c>
      <c r="AW31" t="str">
        <f t="shared" si="19"/>
        <v>Portland Limestone Cement (PLC)</v>
      </c>
      <c r="AX31" s="148">
        <f>'Cement Sources'!BC$25*$AU31</f>
        <v>0</v>
      </c>
      <c r="AY31" s="148">
        <f>'Cement Sources'!BD$25*$AU31</f>
        <v>0</v>
      </c>
      <c r="AZ31" s="148">
        <f>'Cement Sources'!BE$25*$AU31</f>
        <v>0</v>
      </c>
      <c r="BA31" s="148">
        <f>'Cement Sources'!BF$25*$AU31</f>
        <v>0</v>
      </c>
      <c r="BB31" s="148">
        <f>'Cement Sources'!BG$25*$AU31</f>
        <v>0</v>
      </c>
      <c r="BC31" s="148">
        <f>'Cement Sources'!BH$25*$AU31</f>
        <v>0</v>
      </c>
      <c r="BD31" s="148">
        <f>'Cement Sources'!BI$25*$AU31</f>
        <v>0</v>
      </c>
      <c r="BE31" s="148">
        <f>'Cement Sources'!BJ$25*$AU31</f>
        <v>0</v>
      </c>
      <c r="BF31" s="148">
        <f>'Cement Sources'!BK$25*$AU31</f>
        <v>0</v>
      </c>
      <c r="BG31" s="148">
        <f>'Cement Sources'!BL$25*$AU31</f>
        <v>0</v>
      </c>
      <c r="BH31" s="148">
        <f>'Cement Sources'!BM$25*$AU31</f>
        <v>0</v>
      </c>
      <c r="BI31" s="148">
        <f>'Cement Sources'!BN$25*$AU31</f>
        <v>0</v>
      </c>
      <c r="BJ31" s="148">
        <f>'Cement Sources'!BO$25*$AU31</f>
        <v>0</v>
      </c>
      <c r="BK31" s="148">
        <f>'Cement Sources'!BP$25*$AU31</f>
        <v>0</v>
      </c>
      <c r="BM31" s="1">
        <f t="array" ref="BM31">IFERROR(INDEX(LCIA_Data,MATCH($AO$15&amp;BM$27,LCIA_Rows_B&amp;LCIA_Rows_C,0),MATCH(BM$26,LCIA_Columns,0)),0)*$AT31*$AH31*$BN$23</f>
        <v>0</v>
      </c>
      <c r="BN31" s="1">
        <f t="array" ref="BN31">IFERROR(INDEX(LCIA_Data,MATCH($AO$15&amp;BN$27,LCIA_Rows_B&amp;LCIA_Rows_C,0),MATCH(BN$26,LCIA_Columns,0)),0)*$AT31*$AH31*$BN$23</f>
        <v>0</v>
      </c>
      <c r="BO31" s="1">
        <f t="array" ref="BO31">IFERROR(INDEX(LCIA_Data,MATCH($AO$15&amp;BO$27,LCIA_Rows_B&amp;LCIA_Rows_C,0),MATCH(BO$26,LCIA_Columns,0)),0)*$AT31*$AH31*$BN$23</f>
        <v>0</v>
      </c>
      <c r="BP31" s="1">
        <f t="array" ref="BP31">IFERROR(INDEX(LCIA_Data,MATCH($AO$15&amp;BP$27,LCIA_Rows_B&amp;LCIA_Rows_C,0),MATCH(BP$26,LCIA_Columns,0)),0)*$AT31*$AH31*$BN$23</f>
        <v>0</v>
      </c>
      <c r="BQ31" s="1">
        <f t="array" ref="BQ31">IFERROR(INDEX(LCIA_Data,MATCH($AO$15&amp;BQ$27,LCIA_Rows_B&amp;LCIA_Rows_C,0),MATCH(BQ$26,LCIA_Columns,0)),0)*$AT31*$AH31*$BN$23</f>
        <v>0</v>
      </c>
      <c r="BR31" s="1">
        <f t="array" ref="BR31">IFERROR(INDEX(LCIA_Data,MATCH($AO$15&amp;BR$27,LCIA_Rows_B&amp;LCIA_Rows_C,0),MATCH(BR$26,LCIA_Columns,0)),0)*$AT31*$AH31*$BN$23</f>
        <v>0</v>
      </c>
      <c r="BS31" s="1">
        <f t="array" ref="BS31">IFERROR(INDEX(LCIA_Data,MATCH($AO$15&amp;BS$27,LCIA_Rows_B&amp;LCIA_Rows_C,0),MATCH(BS$26,LCIA_Columns,0)),0)*$AT31*$AH31*$BN$23</f>
        <v>0</v>
      </c>
      <c r="BT31" s="1">
        <f t="array" ref="BT31">IFERROR(INDEX(LCIA_Data,MATCH($AO$15&amp;BT$27,LCIA_Rows_B&amp;LCIA_Rows_C,0),MATCH(BT$26,LCIA_Columns,0)),0)*$AT31*$AH31*$BN$23</f>
        <v>0</v>
      </c>
      <c r="BU31" s="1">
        <f t="array" ref="BU31">IFERROR(INDEX(LCIA_Data,MATCH($AO$15&amp;BU$27,LCIA_Rows_B&amp;LCIA_Rows_C,0),MATCH(BU$26,LCIA_Columns,0)),0)*$AT31*$AH31*$BN$23</f>
        <v>0</v>
      </c>
      <c r="BV31" s="1">
        <f t="array" ref="BV31">IFERROR(INDEX(LCIA_Data,MATCH($AO$15&amp;BV$27,LCIA_Rows_B&amp;LCIA_Rows_C,0),MATCH(BV$26,LCIA_Columns,0)),0)*$AT31*$AH31*$BN$23</f>
        <v>0</v>
      </c>
      <c r="BW31" s="1">
        <f t="array" ref="BW31">IFERROR(INDEX(LCIA_Data,MATCH($AO$15&amp;BW$27,LCIA_Rows_B&amp;LCIA_Rows_C,0),MATCH(BW$26,LCIA_Columns,0)),0)*$AT31*$AH31*$BN$23</f>
        <v>0</v>
      </c>
      <c r="BX31" s="1">
        <f t="array" ref="BX31">IFERROR(INDEX(LCIA_Data,MATCH($AO$15&amp;BX$27,LCIA_Rows_B&amp;LCIA_Rows_C,0),MATCH(BX$26,LCIA_Columns,0)),0)*$AT31*$AH31*$BN$23</f>
        <v>0</v>
      </c>
      <c r="BY31" s="1">
        <f t="array" ref="BY31">IFERROR(INDEX(LCIA_Data,MATCH($AO$15&amp;BY$27,LCIA_Rows_B&amp;LCIA_Rows_C,0),MATCH(BY$26,LCIA_Columns,0)),0)*$AT31*$AH31*$BN$23</f>
        <v>0</v>
      </c>
      <c r="BZ31" s="1">
        <f t="array" ref="BZ31">IFERROR(INDEX(LCIA_Data,MATCH($AO$15&amp;BZ$27,LCIA_Rows_B&amp;LCIA_Rows_C,0),MATCH(BZ$26,LCIA_Columns,0)),0)*$AT31*$AH31*$BN$23</f>
        <v>0</v>
      </c>
      <c r="CA31" s="1">
        <f t="array" ref="CA31">IFERROR(INDEX(LCIA_Data,MATCH($AO$15&amp;CA$27,LCIA_Rows_B&amp;LCIA_Rows_C,0),MATCH(CA$26,LCIA_Columns,0)),0)*$AT31*$AI31*$BN$23</f>
        <v>0</v>
      </c>
      <c r="CB31" s="1">
        <f t="array" ref="CB31">IFERROR(INDEX(LCIA_Data,MATCH($AO$15&amp;CB$27,LCIA_Rows_B&amp;LCIA_Rows_C,0),MATCH(CB$26,LCIA_Columns,0)),0)*$AT31*$AI31*$BN$23</f>
        <v>0</v>
      </c>
      <c r="CC31" s="1">
        <f t="array" ref="CC31">IFERROR(INDEX(LCIA_Data,MATCH($AO$15&amp;CC$27,LCIA_Rows_B&amp;LCIA_Rows_C,0),MATCH(CC$26,LCIA_Columns,0)),0)*$AT31*$AI31*$BN$23</f>
        <v>0</v>
      </c>
      <c r="CD31" s="1">
        <f t="array" ref="CD31">IFERROR(INDEX(LCIA_Data,MATCH($AO$15&amp;CD$27,LCIA_Rows_B&amp;LCIA_Rows_C,0),MATCH(CD$26,LCIA_Columns,0)),0)*$AT31*$AI31*$BN$23</f>
        <v>0</v>
      </c>
      <c r="CE31" s="1">
        <f t="array" ref="CE31">IFERROR(INDEX(LCIA_Data,MATCH($AO$15&amp;CE$27,LCIA_Rows_B&amp;LCIA_Rows_C,0),MATCH(CE$26,LCIA_Columns,0)),0)*$AT31*$AI31*$BN$23</f>
        <v>0</v>
      </c>
      <c r="CF31" s="1">
        <f t="array" ref="CF31">IFERROR(INDEX(LCIA_Data,MATCH($AO$15&amp;CF$27,LCIA_Rows_B&amp;LCIA_Rows_C,0),MATCH(CF$26,LCIA_Columns,0)),0)*$AT31*$AI31*$BN$23</f>
        <v>0</v>
      </c>
      <c r="CG31" s="1">
        <f t="array" ref="CG31">IFERROR(INDEX(LCIA_Data,MATCH($AO$15&amp;CG$27,LCIA_Rows_B&amp;LCIA_Rows_C,0),MATCH(CG$26,LCIA_Columns,0)),0)*$AT31*$AI31*$BN$23</f>
        <v>0</v>
      </c>
      <c r="CH31" s="1">
        <f t="array" ref="CH31">IFERROR(INDEX(LCIA_Data,MATCH($AO$15&amp;CH$27,LCIA_Rows_B&amp;LCIA_Rows_C,0),MATCH(CH$26,LCIA_Columns,0)),0)*$AT31*$AI31*$BN$23</f>
        <v>0</v>
      </c>
      <c r="CI31" s="1">
        <f t="array" ref="CI31">IFERROR(INDEX(LCIA_Data,MATCH($AO$15&amp;CI$27,LCIA_Rows_B&amp;LCIA_Rows_C,0),MATCH(CI$26,LCIA_Columns,0)),0)*$AT31*$AI31*$BN$23</f>
        <v>0</v>
      </c>
      <c r="CJ31" s="1">
        <f t="array" ref="CJ31">IFERROR(INDEX(LCIA_Data,MATCH($AO$15&amp;CJ$27,LCIA_Rows_B&amp;LCIA_Rows_C,0),MATCH(CJ$26,LCIA_Columns,0)),0)*$AT31*$AI31*$BN$23</f>
        <v>0</v>
      </c>
      <c r="CK31" s="1">
        <f t="array" ref="CK31">IFERROR(INDEX(LCIA_Data,MATCH($AO$15&amp;CK$27,LCIA_Rows_B&amp;LCIA_Rows_C,0),MATCH(CK$26,LCIA_Columns,0)),0)*$AT31*$AI31*$BN$23</f>
        <v>0</v>
      </c>
      <c r="CL31" s="1">
        <f t="array" ref="CL31">IFERROR(INDEX(LCIA_Data,MATCH($AO$15&amp;CL$27,LCIA_Rows_B&amp;LCIA_Rows_C,0),MATCH(CL$26,LCIA_Columns,0)),0)*$AT31*$AI31*$BN$23</f>
        <v>0</v>
      </c>
      <c r="CM31" s="1">
        <f t="array" ref="CM31">IFERROR(INDEX(LCIA_Data,MATCH($AO$15&amp;CM$27,LCIA_Rows_B&amp;LCIA_Rows_C,0),MATCH(CM$26,LCIA_Columns,0)),0)*$AT31*$AJ31*$BN$23</f>
        <v>0</v>
      </c>
      <c r="CN31" s="1">
        <f t="array" ref="CN31">IFERROR(INDEX(LCIA_Data,MATCH($AO$15&amp;CN$27,LCIA_Rows_B&amp;LCIA_Rows_C,0),MATCH(CN$26,LCIA_Columns,0)),0)*$AT31*$AJ31*$BN$23</f>
        <v>0</v>
      </c>
      <c r="CO31" s="1">
        <f t="array" ref="CO31">IFERROR(INDEX(LCIA_Data,MATCH($AO$15&amp;CO$27,LCIA_Rows_B&amp;LCIA_Rows_C,0),MATCH(CO$26,LCIA_Columns,0)),0)*$AT31*$AJ31*$BN$23</f>
        <v>0</v>
      </c>
      <c r="CP31" s="1">
        <f t="array" ref="CP31">IFERROR(INDEX(LCIA_Data,MATCH($AO$15&amp;CP$27,LCIA_Rows_B&amp;LCIA_Rows_C,0),MATCH(CP$26,LCIA_Columns,0)),0)*$AT31*$AJ31*$BN$23</f>
        <v>0</v>
      </c>
      <c r="CQ31" s="1">
        <f t="array" ref="CQ31">IFERROR(INDEX(LCIA_Data,MATCH($AO$15&amp;CQ$27,LCIA_Rows_B&amp;LCIA_Rows_C,0),MATCH(CQ$26,LCIA_Columns,0)),0)*$AT31*$AJ31*$BN$23</f>
        <v>0</v>
      </c>
      <c r="CR31" s="1">
        <f t="array" ref="CR31">IFERROR(INDEX(LCIA_Data,MATCH($AO$15&amp;CR$27,LCIA_Rows_B&amp;LCIA_Rows_C,0),MATCH(CR$26,LCIA_Columns,0)),0)*$AT31*$AJ31*$BN$23</f>
        <v>0</v>
      </c>
      <c r="CS31" s="1">
        <f t="array" ref="CS31">IFERROR(INDEX(LCIA_Data,MATCH($AO$15&amp;CS$27,LCIA_Rows_B&amp;LCIA_Rows_C,0),MATCH(CS$26,LCIA_Columns,0)),0)*$AT31*$AJ31*$BN$23</f>
        <v>0</v>
      </c>
      <c r="CT31" s="1">
        <f t="array" ref="CT31">IFERROR(INDEX(LCIA_Data,MATCH($AO$15&amp;CT$27,LCIA_Rows_B&amp;LCIA_Rows_C,0),MATCH(CT$26,LCIA_Columns,0)),0)*$AT31*$AJ31*$BN$23</f>
        <v>0</v>
      </c>
      <c r="CU31" s="1">
        <f t="array" ref="CU31">IFERROR(INDEX(LCIA_Data,MATCH($AO$15&amp;CU$27,LCIA_Rows_B&amp;LCIA_Rows_C,0),MATCH(CU$26,LCIA_Columns,0)),0)*$AT31*$AJ31*$BN$23</f>
        <v>0</v>
      </c>
      <c r="CV31" s="1">
        <f t="array" ref="CV31">IFERROR(INDEX(LCIA_Data,MATCH($AO$15&amp;CV$27,LCIA_Rows_B&amp;LCIA_Rows_C,0),MATCH(CV$26,LCIA_Columns,0)),0)*$AT31*$AJ31*$BN$23</f>
        <v>0</v>
      </c>
      <c r="CW31" s="1">
        <f t="array" ref="CW31">IFERROR(INDEX(LCIA_Data,MATCH($AO$15&amp;CW$27,LCIA_Rows_B&amp;LCIA_Rows_C,0),MATCH(CW$26,LCIA_Columns,0)),0)*$AT31*$AJ31*$BN$23</f>
        <v>0</v>
      </c>
      <c r="CX31" s="1">
        <f t="array" ref="CX31">IFERROR(INDEX(LCIA_Data,MATCH($AO$15&amp;CX$27,LCIA_Rows_B&amp;LCIA_Rows_C,0),MATCH(CX$26,LCIA_Columns,0)),0)*$AT31*$AJ31*$BN$23</f>
        <v>0</v>
      </c>
      <c r="CY31" s="1">
        <f t="array" ref="CY31">IFERROR(INDEX(LCIA_Data,MATCH($AO$15&amp;CY$27,LCIA_Rows_B&amp;LCIA_Rows_C,0),MATCH(CY$26,LCIA_Columns,0)),0)*$AT31*$AJ31*$BN$23</f>
        <v>0</v>
      </c>
      <c r="CZ31" s="1">
        <f t="array" ref="CZ31">IFERROR(INDEX(LCIA_Data,MATCH($AO$15&amp;CZ$27,LCIA_Rows_B&amp;LCIA_Rows_C,0),MATCH(CZ$26,LCIA_Columns,0)),0)*$AT31*$AJ31*$BN$23</f>
        <v>0</v>
      </c>
      <c r="DA31" s="1">
        <f t="array" ref="DA31">IFERROR(INDEX(LCIA_Data,MATCH($AO$15&amp;DA$27,LCIA_Rows_B&amp;LCIA_Rows_C,0),MATCH(DA$26,LCIA_Columns,0)),0)*$AT31*$AK31*$BN$23</f>
        <v>0</v>
      </c>
      <c r="DB31" s="1">
        <f t="array" ref="DB31">IFERROR(INDEX(LCIA_Data,MATCH($AO$15&amp;DB$27,LCIA_Rows_B&amp;LCIA_Rows_C,0),MATCH(DB$26,LCIA_Columns,0)),0)*$AT31*$AK31*$BN$23</f>
        <v>0</v>
      </c>
      <c r="DC31" s="1">
        <f t="array" ref="DC31">IFERROR(INDEX(LCIA_Data,MATCH($AO$15&amp;DC$27,LCIA_Rows_B&amp;LCIA_Rows_C,0),MATCH(DC$26,LCIA_Columns,0)),0)*$AT31*$AK31*$BN$23</f>
        <v>0</v>
      </c>
      <c r="DD31" s="1">
        <f t="array" ref="DD31">IFERROR(INDEX(LCIA_Data,MATCH($AO$15&amp;DD$27,LCIA_Rows_B&amp;LCIA_Rows_C,0),MATCH(DD$26,LCIA_Columns,0)),0)*$AT31*$AK31*$BN$23</f>
        <v>0</v>
      </c>
      <c r="DE31" s="1">
        <f t="array" ref="DE31">IFERROR(INDEX(LCIA_Data,MATCH($AO$15&amp;DE$27,LCIA_Rows_B&amp;LCIA_Rows_C,0),MATCH(DE$26,LCIA_Columns,0)),0)*$AT31*$AK31*$BN$23</f>
        <v>0</v>
      </c>
      <c r="DF31" s="1">
        <f t="array" ref="DF31">IFERROR(INDEX(LCIA_Data,MATCH($AO$15&amp;DF$27,LCIA_Rows_B&amp;LCIA_Rows_C,0),MATCH(DF$26,LCIA_Columns,0)),0)*$AT31*$AK31*$BN$23</f>
        <v>0</v>
      </c>
      <c r="DG31" s="1">
        <f t="array" ref="DG31">IFERROR(INDEX(LCIA_Data,MATCH($AO$15&amp;DG$27,LCIA_Rows_B&amp;LCIA_Rows_C,0),MATCH(DG$26,LCIA_Columns,0)),0)*$AT31*$AK31*$BN$23</f>
        <v>0</v>
      </c>
      <c r="DH31" s="1">
        <f t="array" ref="DH31">IFERROR(INDEX(LCIA_Data,MATCH($AO$15&amp;DH$27,LCIA_Rows_B&amp;LCIA_Rows_C,0),MATCH(DH$26,LCIA_Columns,0)),0)*$AT31*$AK31*$BN$23</f>
        <v>0</v>
      </c>
      <c r="DI31" s="1">
        <f t="array" ref="DI31">IFERROR(INDEX(LCIA_Data,MATCH($AO$15&amp;DI$27,LCIA_Rows_B&amp;LCIA_Rows_C,0),MATCH(DI$26,LCIA_Columns,0)),0)*$AT31*$AK31*$BN$23</f>
        <v>0</v>
      </c>
      <c r="DJ31" s="1">
        <f t="array" ref="DJ31">IFERROR(INDEX(LCIA_Data,MATCH($AO$15&amp;DJ$27,LCIA_Rows_B&amp;LCIA_Rows_C,0),MATCH(DJ$26,LCIA_Columns,0)),0)*$AT31*$AK31*$BN$23</f>
        <v>0</v>
      </c>
      <c r="DK31" s="1">
        <f t="array" ref="DK31">IFERROR(INDEX(LCIA_Data,MATCH($AO$15&amp;DK$27,LCIA_Rows_B&amp;LCIA_Rows_C,0),MATCH(DK$26,LCIA_Columns,0)),0)*$AT31*$AK31*$BN$23</f>
        <v>0</v>
      </c>
      <c r="DL31" s="1">
        <f t="array" ref="DL31">IFERROR(INDEX(LCIA_Data,MATCH($AO$15&amp;DL$27,LCIA_Rows_B&amp;LCIA_Rows_C,0),MATCH(DL$26,LCIA_Columns,0)),0)*$AT31*$AK31*$BN$23</f>
        <v>0</v>
      </c>
      <c r="DM31" s="1">
        <f t="array" ref="DM31">IFERROR(INDEX(LCIA_Data,MATCH($AO$15&amp;DM$27,LCIA_Rows_B&amp;LCIA_Rows_C,0),MATCH(DM$26,LCIA_Columns,0)),0)*$AT31*$AK31*$BN$23</f>
        <v>0</v>
      </c>
      <c r="DN31" s="1">
        <f t="array" ref="DN31">IFERROR(INDEX(LCIA_Data,MATCH($AO$15&amp;DN$27,LCIA_Rows_B&amp;LCIA_Rows_C,0),MATCH(DN$26,LCIA_Columns,0)),0)*$AT31*$AK31*$BN$23</f>
        <v>0</v>
      </c>
      <c r="DO31">
        <f t="shared" si="20"/>
        <v>0</v>
      </c>
      <c r="DP31">
        <f t="shared" si="20"/>
        <v>0</v>
      </c>
      <c r="DQ31">
        <f t="shared" si="20"/>
        <v>0</v>
      </c>
      <c r="DR31">
        <f t="shared" si="20"/>
        <v>0</v>
      </c>
      <c r="DS31">
        <f t="shared" si="20"/>
        <v>0</v>
      </c>
      <c r="DT31">
        <f t="shared" si="20"/>
        <v>0</v>
      </c>
      <c r="DU31">
        <f t="shared" si="20"/>
        <v>0</v>
      </c>
      <c r="DV31">
        <f t="shared" si="20"/>
        <v>0</v>
      </c>
      <c r="DW31">
        <f t="shared" si="20"/>
        <v>0</v>
      </c>
      <c r="DX31">
        <f t="shared" si="20"/>
        <v>0</v>
      </c>
      <c r="DY31">
        <f t="shared" si="20"/>
        <v>0</v>
      </c>
      <c r="DZ31">
        <f t="shared" si="20"/>
        <v>0</v>
      </c>
      <c r="EA31">
        <f t="shared" si="20"/>
        <v>0</v>
      </c>
      <c r="EB31">
        <f t="shared" si="21"/>
        <v>0</v>
      </c>
      <c r="EC31"/>
      <c r="ED31"/>
      <c r="EE31"/>
      <c r="EF31"/>
      <c r="EG31"/>
    </row>
    <row r="32" spans="2:137" ht="15" customHeight="1" thickBot="1">
      <c r="B32" s="53">
        <f>X32</f>
        <v>0</v>
      </c>
      <c r="C32" s="578">
        <f t="shared" si="22"/>
        <v>3</v>
      </c>
      <c r="D32" s="579" t="str">
        <f>'Plant Inputs'!$D32</f>
        <v>Pre-Blended Cement</v>
      </c>
      <c r="E32" s="580"/>
      <c r="F32" s="581" t="str">
        <f t="shared" si="6"/>
        <v>short ton</v>
      </c>
      <c r="G32" s="582">
        <f>$AV32</f>
        <v>0</v>
      </c>
      <c r="H32" s="205" t="str">
        <f t="shared" si="7"/>
        <v>short ton</v>
      </c>
      <c r="I32" s="157">
        <f t="shared" si="8"/>
        <v>0</v>
      </c>
      <c r="J32"/>
      <c r="K32"/>
      <c r="L32"/>
      <c r="M32"/>
      <c r="N32"/>
      <c r="O32"/>
      <c r="P32"/>
      <c r="Q32"/>
      <c r="R32"/>
      <c r="S32"/>
      <c r="T32"/>
      <c r="X32" s="67">
        <f>IF(ISBLANK(E32),0,1)</f>
        <v>0</v>
      </c>
      <c r="Y32" s="216">
        <f>IF(AND($X32=1,'Plant Inputs'!$Y32=1),1,0)</f>
        <v>0</v>
      </c>
      <c r="Z32" s="216"/>
      <c r="AA32" s="216">
        <f>IF($Y32=0,0,IF('Plant Inputs'!J32="",0,'Plant Inputs'!J32))</f>
        <v>0</v>
      </c>
      <c r="AB32" s="216">
        <f>IF($Y32=0,0,IF('Plant Inputs'!K32="",0,'Plant Inputs'!K32))</f>
        <v>0</v>
      </c>
      <c r="AC32" s="216">
        <f>IF($Y32=0,0,IF('Plant Inputs'!L32="",0,'Plant Inputs'!L32))</f>
        <v>0</v>
      </c>
      <c r="AD32" s="216">
        <f>IF($Y32=0,0,IF('Plant Inputs'!M32="",0,'Plant Inputs'!M32))</f>
        <v>0</v>
      </c>
      <c r="AE32" s="217" t="str">
        <f>'Plant Inputs'!$O32</f>
        <v>mile</v>
      </c>
      <c r="AF32" s="217">
        <f t="shared" si="9"/>
        <v>1.6093473468862911</v>
      </c>
      <c r="AG32" s="216" t="str">
        <f t="shared" si="23"/>
        <v>km/mile</v>
      </c>
      <c r="AH32" s="216">
        <f t="shared" si="10"/>
        <v>0</v>
      </c>
      <c r="AI32" s="216">
        <f t="shared" si="10"/>
        <v>0</v>
      </c>
      <c r="AJ32" s="216">
        <f t="shared" si="10"/>
        <v>0</v>
      </c>
      <c r="AK32" s="216">
        <f t="shared" si="10"/>
        <v>0</v>
      </c>
      <c r="AL32" s="216"/>
      <c r="AM32" s="1" t="str">
        <f t="shared" si="11"/>
        <v>Pre-Blended Cement</v>
      </c>
      <c r="AN32" t="s">
        <v>127</v>
      </c>
      <c r="AO32">
        <f t="shared" si="12"/>
        <v>0</v>
      </c>
      <c r="AP32" s="1">
        <f t="shared" si="24"/>
        <v>0</v>
      </c>
      <c r="AQ32" s="1" t="str">
        <f t="shared" si="13"/>
        <v>short ton</v>
      </c>
      <c r="AR32" s="1">
        <f t="shared" si="14"/>
        <v>0.90718499588591606</v>
      </c>
      <c r="AS32" s="87" t="str">
        <f t="shared" si="15"/>
        <v>tonne/short ton</v>
      </c>
      <c r="AT32" s="87">
        <f t="shared" si="16"/>
        <v>0</v>
      </c>
      <c r="AU32" s="87">
        <f t="shared" si="17"/>
        <v>0</v>
      </c>
      <c r="AV32" s="87">
        <f t="shared" si="18"/>
        <v>0</v>
      </c>
      <c r="AW32" t="str">
        <f t="shared" si="19"/>
        <v>Pre-Blended Cement</v>
      </c>
      <c r="AX32" s="148">
        <f>'Cement Sources'!BC$37*$AU32</f>
        <v>0</v>
      </c>
      <c r="AY32" s="148">
        <f>'Cement Sources'!BD$37*$AU32</f>
        <v>0</v>
      </c>
      <c r="AZ32" s="148">
        <f>'Cement Sources'!BE$37*$AU32</f>
        <v>0</v>
      </c>
      <c r="BA32" s="148">
        <f>'Cement Sources'!BF$37*$AU32</f>
        <v>0</v>
      </c>
      <c r="BB32" s="148">
        <f>'Cement Sources'!BG$37*$AU32</f>
        <v>0</v>
      </c>
      <c r="BC32" s="148">
        <f>'Cement Sources'!BH$37*$AU32</f>
        <v>0</v>
      </c>
      <c r="BD32" s="148">
        <f>'Cement Sources'!BI$37*$AU32</f>
        <v>0</v>
      </c>
      <c r="BE32" s="148">
        <f>'Cement Sources'!BJ$37*$AU32</f>
        <v>0</v>
      </c>
      <c r="BF32" s="148">
        <f>'Cement Sources'!BK$37*$AU32</f>
        <v>0</v>
      </c>
      <c r="BG32" s="148">
        <f>'Cement Sources'!BL$37*$AU32</f>
        <v>0</v>
      </c>
      <c r="BH32" s="148">
        <f>'Cement Sources'!BM$37*$AU32</f>
        <v>0</v>
      </c>
      <c r="BI32" s="148">
        <f>'Cement Sources'!BN$37*$AU32</f>
        <v>0</v>
      </c>
      <c r="BJ32" s="148">
        <f>'Cement Sources'!BO$37*$AU32</f>
        <v>0</v>
      </c>
      <c r="BK32" s="148">
        <f>'Cement Sources'!BP$37*$AU32</f>
        <v>0</v>
      </c>
      <c r="BM32" s="1">
        <f t="array" ref="BM32">IFERROR(INDEX(LCIA_Data,MATCH($AO$15&amp;BM$27,LCIA_Rows_B&amp;LCIA_Rows_C,0),MATCH(BM$26,LCIA_Columns,0)),0)*$AT32*$AH32*$BN$23</f>
        <v>0</v>
      </c>
      <c r="BN32" s="1">
        <f t="array" ref="BN32">IFERROR(INDEX(LCIA_Data,MATCH($AO$15&amp;BN$27,LCIA_Rows_B&amp;LCIA_Rows_C,0),MATCH(BN$26,LCIA_Columns,0)),0)*$AT32*$AH32*$BN$23</f>
        <v>0</v>
      </c>
      <c r="BO32" s="1">
        <f t="array" ref="BO32">IFERROR(INDEX(LCIA_Data,MATCH($AO$15&amp;BO$27,LCIA_Rows_B&amp;LCIA_Rows_C,0),MATCH(BO$26,LCIA_Columns,0)),0)*$AT32*$AH32*$BN$23</f>
        <v>0</v>
      </c>
      <c r="BP32" s="1">
        <f t="array" ref="BP32">IFERROR(INDEX(LCIA_Data,MATCH($AO$15&amp;BP$27,LCIA_Rows_B&amp;LCIA_Rows_C,0),MATCH(BP$26,LCIA_Columns,0)),0)*$AT32*$AH32*$BN$23</f>
        <v>0</v>
      </c>
      <c r="BQ32" s="1">
        <f t="array" ref="BQ32">IFERROR(INDEX(LCIA_Data,MATCH($AO$15&amp;BQ$27,LCIA_Rows_B&amp;LCIA_Rows_C,0),MATCH(BQ$26,LCIA_Columns,0)),0)*$AT32*$AH32*$BN$23</f>
        <v>0</v>
      </c>
      <c r="BR32" s="1">
        <f t="array" ref="BR32">IFERROR(INDEX(LCIA_Data,MATCH($AO$15&amp;BR$27,LCIA_Rows_B&amp;LCIA_Rows_C,0),MATCH(BR$26,LCIA_Columns,0)),0)*$AT32*$AH32*$BN$23</f>
        <v>0</v>
      </c>
      <c r="BS32" s="1">
        <f t="array" ref="BS32">IFERROR(INDEX(LCIA_Data,MATCH($AO$15&amp;BS$27,LCIA_Rows_B&amp;LCIA_Rows_C,0),MATCH(BS$26,LCIA_Columns,0)),0)*$AT32*$AH32*$BN$23</f>
        <v>0</v>
      </c>
      <c r="BT32" s="1">
        <f t="array" ref="BT32">IFERROR(INDEX(LCIA_Data,MATCH($AO$15&amp;BT$27,LCIA_Rows_B&amp;LCIA_Rows_C,0),MATCH(BT$26,LCIA_Columns,0)),0)*$AT32*$AH32*$BN$23</f>
        <v>0</v>
      </c>
      <c r="BU32" s="1">
        <f t="array" ref="BU32">IFERROR(INDEX(LCIA_Data,MATCH($AO$15&amp;BU$27,LCIA_Rows_B&amp;LCIA_Rows_C,0),MATCH(BU$26,LCIA_Columns,0)),0)*$AT32*$AH32*$BN$23</f>
        <v>0</v>
      </c>
      <c r="BV32" s="1">
        <f t="array" ref="BV32">IFERROR(INDEX(LCIA_Data,MATCH($AO$15&amp;BV$27,LCIA_Rows_B&amp;LCIA_Rows_C,0),MATCH(BV$26,LCIA_Columns,0)),0)*$AT32*$AH32*$BN$23</f>
        <v>0</v>
      </c>
      <c r="BW32" s="1">
        <f t="array" ref="BW32">IFERROR(INDEX(LCIA_Data,MATCH($AO$15&amp;BW$27,LCIA_Rows_B&amp;LCIA_Rows_C,0),MATCH(BW$26,LCIA_Columns,0)),0)*$AT32*$AH32*$BN$23</f>
        <v>0</v>
      </c>
      <c r="BX32" s="1">
        <f t="array" ref="BX32">IFERROR(INDEX(LCIA_Data,MATCH($AO$15&amp;BX$27,LCIA_Rows_B&amp;LCIA_Rows_C,0),MATCH(BX$26,LCIA_Columns,0)),0)*$AT32*$AH32*$BN$23</f>
        <v>0</v>
      </c>
      <c r="BY32" s="1">
        <f t="array" ref="BY32">IFERROR(INDEX(LCIA_Data,MATCH($AO$15&amp;BY$27,LCIA_Rows_B&amp;LCIA_Rows_C,0),MATCH(BY$26,LCIA_Columns,0)),0)*$AT32*$AH32*$BN$23</f>
        <v>0</v>
      </c>
      <c r="BZ32" s="1">
        <f t="array" ref="BZ32">IFERROR(INDEX(LCIA_Data,MATCH($AO$15&amp;BZ$27,LCIA_Rows_B&amp;LCIA_Rows_C,0),MATCH(BZ$26,LCIA_Columns,0)),0)*$AT32*$AH32*$BN$23</f>
        <v>0</v>
      </c>
      <c r="CA32" s="1">
        <f t="array" ref="CA32">IFERROR(INDEX(LCIA_Data,MATCH($AO$15&amp;CA$27,LCIA_Rows_B&amp;LCIA_Rows_C,0),MATCH(CA$26,LCIA_Columns,0)),0)*$AT32*$AI32*$BN$23</f>
        <v>0</v>
      </c>
      <c r="CB32" s="1">
        <f t="array" ref="CB32">IFERROR(INDEX(LCIA_Data,MATCH($AO$15&amp;CB$27,LCIA_Rows_B&amp;LCIA_Rows_C,0),MATCH(CB$26,LCIA_Columns,0)),0)*$AT32*$AI32*$BN$23</f>
        <v>0</v>
      </c>
      <c r="CC32" s="1">
        <f t="array" ref="CC32">IFERROR(INDEX(LCIA_Data,MATCH($AO$15&amp;CC$27,LCIA_Rows_B&amp;LCIA_Rows_C,0),MATCH(CC$26,LCIA_Columns,0)),0)*$AT32*$AI32*$BN$23</f>
        <v>0</v>
      </c>
      <c r="CD32" s="1">
        <f t="array" ref="CD32">IFERROR(INDEX(LCIA_Data,MATCH($AO$15&amp;CD$27,LCIA_Rows_B&amp;LCIA_Rows_C,0),MATCH(CD$26,LCIA_Columns,0)),0)*$AT32*$AI32*$BN$23</f>
        <v>0</v>
      </c>
      <c r="CE32" s="1">
        <f t="array" ref="CE32">IFERROR(INDEX(LCIA_Data,MATCH($AO$15&amp;CE$27,LCIA_Rows_B&amp;LCIA_Rows_C,0),MATCH(CE$26,LCIA_Columns,0)),0)*$AT32*$AI32*$BN$23</f>
        <v>0</v>
      </c>
      <c r="CF32" s="1">
        <f t="array" ref="CF32">IFERROR(INDEX(LCIA_Data,MATCH($AO$15&amp;CF$27,LCIA_Rows_B&amp;LCIA_Rows_C,0),MATCH(CF$26,LCIA_Columns,0)),0)*$AT32*$AI32*$BN$23</f>
        <v>0</v>
      </c>
      <c r="CG32" s="1">
        <f t="array" ref="CG32">IFERROR(INDEX(LCIA_Data,MATCH($AO$15&amp;CG$27,LCIA_Rows_B&amp;LCIA_Rows_C,0),MATCH(CG$26,LCIA_Columns,0)),0)*$AT32*$AI32*$BN$23</f>
        <v>0</v>
      </c>
      <c r="CH32" s="1">
        <f t="array" ref="CH32">IFERROR(INDEX(LCIA_Data,MATCH($AO$15&amp;CH$27,LCIA_Rows_B&amp;LCIA_Rows_C,0),MATCH(CH$26,LCIA_Columns,0)),0)*$AT32*$AI32*$BN$23</f>
        <v>0</v>
      </c>
      <c r="CI32" s="1">
        <f t="array" ref="CI32">IFERROR(INDEX(LCIA_Data,MATCH($AO$15&amp;CI$27,LCIA_Rows_B&amp;LCIA_Rows_C,0),MATCH(CI$26,LCIA_Columns,0)),0)*$AT32*$AI32*$BN$23</f>
        <v>0</v>
      </c>
      <c r="CJ32" s="1">
        <f t="array" ref="CJ32">IFERROR(INDEX(LCIA_Data,MATCH($AO$15&amp;CJ$27,LCIA_Rows_B&amp;LCIA_Rows_C,0),MATCH(CJ$26,LCIA_Columns,0)),0)*$AT32*$AI32*$BN$23</f>
        <v>0</v>
      </c>
      <c r="CK32" s="1">
        <f t="array" ref="CK32">IFERROR(INDEX(LCIA_Data,MATCH($AO$15&amp;CK$27,LCIA_Rows_B&amp;LCIA_Rows_C,0),MATCH(CK$26,LCIA_Columns,0)),0)*$AT32*$AI32*$BN$23</f>
        <v>0</v>
      </c>
      <c r="CL32" s="1">
        <f t="array" ref="CL32">IFERROR(INDEX(LCIA_Data,MATCH($AO$15&amp;CL$27,LCIA_Rows_B&amp;LCIA_Rows_C,0),MATCH(CL$26,LCIA_Columns,0)),0)*$AT32*$AI32*$BN$23</f>
        <v>0</v>
      </c>
      <c r="CM32" s="1">
        <f t="array" ref="CM32">IFERROR(INDEX(LCIA_Data,MATCH($AO$15&amp;CM$27,LCIA_Rows_B&amp;LCIA_Rows_C,0),MATCH(CM$26,LCIA_Columns,0)),0)*$AT32*$AJ32*$BN$23</f>
        <v>0</v>
      </c>
      <c r="CN32" s="1">
        <f t="array" ref="CN32">IFERROR(INDEX(LCIA_Data,MATCH($AO$15&amp;CN$27,LCIA_Rows_B&amp;LCIA_Rows_C,0),MATCH(CN$26,LCIA_Columns,0)),0)*$AT32*$AJ32*$BN$23</f>
        <v>0</v>
      </c>
      <c r="CO32" s="1">
        <f t="array" ref="CO32">IFERROR(INDEX(LCIA_Data,MATCH($AO$15&amp;CO$27,LCIA_Rows_B&amp;LCIA_Rows_C,0),MATCH(CO$26,LCIA_Columns,0)),0)*$AT32*$AJ32*$BN$23</f>
        <v>0</v>
      </c>
      <c r="CP32" s="1">
        <f t="array" ref="CP32">IFERROR(INDEX(LCIA_Data,MATCH($AO$15&amp;CP$27,LCIA_Rows_B&amp;LCIA_Rows_C,0),MATCH(CP$26,LCIA_Columns,0)),0)*$AT32*$AJ32*$BN$23</f>
        <v>0</v>
      </c>
      <c r="CQ32" s="1">
        <f t="array" ref="CQ32">IFERROR(INDEX(LCIA_Data,MATCH($AO$15&amp;CQ$27,LCIA_Rows_B&amp;LCIA_Rows_C,0),MATCH(CQ$26,LCIA_Columns,0)),0)*$AT32*$AJ32*$BN$23</f>
        <v>0</v>
      </c>
      <c r="CR32" s="1">
        <f t="array" ref="CR32">IFERROR(INDEX(LCIA_Data,MATCH($AO$15&amp;CR$27,LCIA_Rows_B&amp;LCIA_Rows_C,0),MATCH(CR$26,LCIA_Columns,0)),0)*$AT32*$AJ32*$BN$23</f>
        <v>0</v>
      </c>
      <c r="CS32" s="1">
        <f t="array" ref="CS32">IFERROR(INDEX(LCIA_Data,MATCH($AO$15&amp;CS$27,LCIA_Rows_B&amp;LCIA_Rows_C,0),MATCH(CS$26,LCIA_Columns,0)),0)*$AT32*$AJ32*$BN$23</f>
        <v>0</v>
      </c>
      <c r="CT32" s="1">
        <f t="array" ref="CT32">IFERROR(INDEX(LCIA_Data,MATCH($AO$15&amp;CT$27,LCIA_Rows_B&amp;LCIA_Rows_C,0),MATCH(CT$26,LCIA_Columns,0)),0)*$AT32*$AJ32*$BN$23</f>
        <v>0</v>
      </c>
      <c r="CU32" s="1">
        <f t="array" ref="CU32">IFERROR(INDEX(LCIA_Data,MATCH($AO$15&amp;CU$27,LCIA_Rows_B&amp;LCIA_Rows_C,0),MATCH(CU$26,LCIA_Columns,0)),0)*$AT32*$AJ32*$BN$23</f>
        <v>0</v>
      </c>
      <c r="CV32" s="1">
        <f t="array" ref="CV32">IFERROR(INDEX(LCIA_Data,MATCH($AO$15&amp;CV$27,LCIA_Rows_B&amp;LCIA_Rows_C,0),MATCH(CV$26,LCIA_Columns,0)),0)*$AT32*$AJ32*$BN$23</f>
        <v>0</v>
      </c>
      <c r="CW32" s="1">
        <f t="array" ref="CW32">IFERROR(INDEX(LCIA_Data,MATCH($AO$15&amp;CW$27,LCIA_Rows_B&amp;LCIA_Rows_C,0),MATCH(CW$26,LCIA_Columns,0)),0)*$AT32*$AJ32*$BN$23</f>
        <v>0</v>
      </c>
      <c r="CX32" s="1">
        <f t="array" ref="CX32">IFERROR(INDEX(LCIA_Data,MATCH($AO$15&amp;CX$27,LCIA_Rows_B&amp;LCIA_Rows_C,0),MATCH(CX$26,LCIA_Columns,0)),0)*$AT32*$AJ32*$BN$23</f>
        <v>0</v>
      </c>
      <c r="CY32" s="1">
        <f t="array" ref="CY32">IFERROR(INDEX(LCIA_Data,MATCH($AO$15&amp;CY$27,LCIA_Rows_B&amp;LCIA_Rows_C,0),MATCH(CY$26,LCIA_Columns,0)),0)*$AT32*$AJ32*$BN$23</f>
        <v>0</v>
      </c>
      <c r="CZ32" s="1">
        <f t="array" ref="CZ32">IFERROR(INDEX(LCIA_Data,MATCH($AO$15&amp;CZ$27,LCIA_Rows_B&amp;LCIA_Rows_C,0),MATCH(CZ$26,LCIA_Columns,0)),0)*$AT32*$AJ32*$BN$23</f>
        <v>0</v>
      </c>
      <c r="DA32" s="1">
        <f t="array" ref="DA32">IFERROR(INDEX(LCIA_Data,MATCH($AO$15&amp;DA$27,LCIA_Rows_B&amp;LCIA_Rows_C,0),MATCH(DA$26,LCIA_Columns,0)),0)*$AT32*$AK32*$BN$23</f>
        <v>0</v>
      </c>
      <c r="DB32" s="1">
        <f t="array" ref="DB32">IFERROR(INDEX(LCIA_Data,MATCH($AO$15&amp;DB$27,LCIA_Rows_B&amp;LCIA_Rows_C,0),MATCH(DB$26,LCIA_Columns,0)),0)*$AT32*$AK32*$BN$23</f>
        <v>0</v>
      </c>
      <c r="DC32" s="1">
        <f t="array" ref="DC32">IFERROR(INDEX(LCIA_Data,MATCH($AO$15&amp;DC$27,LCIA_Rows_B&amp;LCIA_Rows_C,0),MATCH(DC$26,LCIA_Columns,0)),0)*$AT32*$AK32*$BN$23</f>
        <v>0</v>
      </c>
      <c r="DD32" s="1">
        <f t="array" ref="DD32">IFERROR(INDEX(LCIA_Data,MATCH($AO$15&amp;DD$27,LCIA_Rows_B&amp;LCIA_Rows_C,0),MATCH(DD$26,LCIA_Columns,0)),0)*$AT32*$AK32*$BN$23</f>
        <v>0</v>
      </c>
      <c r="DE32" s="1">
        <f t="array" ref="DE32">IFERROR(INDEX(LCIA_Data,MATCH($AO$15&amp;DE$27,LCIA_Rows_B&amp;LCIA_Rows_C,0),MATCH(DE$26,LCIA_Columns,0)),0)*$AT32*$AK32*$BN$23</f>
        <v>0</v>
      </c>
      <c r="DF32" s="1">
        <f t="array" ref="DF32">IFERROR(INDEX(LCIA_Data,MATCH($AO$15&amp;DF$27,LCIA_Rows_B&amp;LCIA_Rows_C,0),MATCH(DF$26,LCIA_Columns,0)),0)*$AT32*$AK32*$BN$23</f>
        <v>0</v>
      </c>
      <c r="DG32" s="1">
        <f t="array" ref="DG32">IFERROR(INDEX(LCIA_Data,MATCH($AO$15&amp;DG$27,LCIA_Rows_B&amp;LCIA_Rows_C,0),MATCH(DG$26,LCIA_Columns,0)),0)*$AT32*$AK32*$BN$23</f>
        <v>0</v>
      </c>
      <c r="DH32" s="1">
        <f t="array" ref="DH32">IFERROR(INDEX(LCIA_Data,MATCH($AO$15&amp;DH$27,LCIA_Rows_B&amp;LCIA_Rows_C,0),MATCH(DH$26,LCIA_Columns,0)),0)*$AT32*$AK32*$BN$23</f>
        <v>0</v>
      </c>
      <c r="DI32" s="1">
        <f t="array" ref="DI32">IFERROR(INDEX(LCIA_Data,MATCH($AO$15&amp;DI$27,LCIA_Rows_B&amp;LCIA_Rows_C,0),MATCH(DI$26,LCIA_Columns,0)),0)*$AT32*$AK32*$BN$23</f>
        <v>0</v>
      </c>
      <c r="DJ32" s="1">
        <f t="array" ref="DJ32">IFERROR(INDEX(LCIA_Data,MATCH($AO$15&amp;DJ$27,LCIA_Rows_B&amp;LCIA_Rows_C,0),MATCH(DJ$26,LCIA_Columns,0)),0)*$AT32*$AK32*$BN$23</f>
        <v>0</v>
      </c>
      <c r="DK32" s="1">
        <f t="array" ref="DK32">IFERROR(INDEX(LCIA_Data,MATCH($AO$15&amp;DK$27,LCIA_Rows_B&amp;LCIA_Rows_C,0),MATCH(DK$26,LCIA_Columns,0)),0)*$AT32*$AK32*$BN$23</f>
        <v>0</v>
      </c>
      <c r="DL32" s="1">
        <f t="array" ref="DL32">IFERROR(INDEX(LCIA_Data,MATCH($AO$15&amp;DL$27,LCIA_Rows_B&amp;LCIA_Rows_C,0),MATCH(DL$26,LCIA_Columns,0)),0)*$AT32*$AK32*$BN$23</f>
        <v>0</v>
      </c>
      <c r="DM32" s="1">
        <f t="array" ref="DM32">IFERROR(INDEX(LCIA_Data,MATCH($AO$15&amp;DM$27,LCIA_Rows_B&amp;LCIA_Rows_C,0),MATCH(DM$26,LCIA_Columns,0)),0)*$AT32*$AK32*$BN$23</f>
        <v>0</v>
      </c>
      <c r="DN32" s="1">
        <f t="array" ref="DN32">IFERROR(INDEX(LCIA_Data,MATCH($AO$15&amp;DN$27,LCIA_Rows_B&amp;LCIA_Rows_C,0),MATCH(DN$26,LCIA_Columns,0)),0)*$AT32*$AK32*$BN$23</f>
        <v>0</v>
      </c>
      <c r="DO32">
        <f t="shared" si="20"/>
        <v>0</v>
      </c>
      <c r="DP32">
        <f t="shared" si="20"/>
        <v>0</v>
      </c>
      <c r="DQ32">
        <f t="shared" si="20"/>
        <v>0</v>
      </c>
      <c r="DR32">
        <f t="shared" si="20"/>
        <v>0</v>
      </c>
      <c r="DS32">
        <f t="shared" si="20"/>
        <v>0</v>
      </c>
      <c r="DT32">
        <f t="shared" si="20"/>
        <v>0</v>
      </c>
      <c r="DU32">
        <f t="shared" si="20"/>
        <v>0</v>
      </c>
      <c r="DV32">
        <f t="shared" si="20"/>
        <v>0</v>
      </c>
      <c r="DW32">
        <f t="shared" si="20"/>
        <v>0</v>
      </c>
      <c r="DX32">
        <f t="shared" si="20"/>
        <v>0</v>
      </c>
      <c r="DY32">
        <f t="shared" si="20"/>
        <v>0</v>
      </c>
      <c r="DZ32">
        <f t="shared" si="20"/>
        <v>0</v>
      </c>
      <c r="EA32">
        <f t="shared" si="20"/>
        <v>0</v>
      </c>
      <c r="EB32">
        <f t="shared" si="21"/>
        <v>0</v>
      </c>
      <c r="EC32"/>
      <c r="ED32"/>
      <c r="EE32"/>
      <c r="EF32"/>
      <c r="EG32"/>
    </row>
    <row r="33" spans="2:137" ht="15" customHeight="1">
      <c r="B33" s="53">
        <f t="shared" ref="B33:B45" si="25">X33</f>
        <v>0</v>
      </c>
      <c r="C33" s="221">
        <f t="shared" si="22"/>
        <v>4</v>
      </c>
      <c r="D33" s="222" t="str">
        <f>'Plant Inputs'!$D33</f>
        <v>Fine Aggregate - natural sand</v>
      </c>
      <c r="E33" s="154"/>
      <c r="F33" s="223" t="str">
        <f t="shared" si="6"/>
        <v>short ton</v>
      </c>
      <c r="G33" s="224">
        <f>$AV33</f>
        <v>0</v>
      </c>
      <c r="H33" s="225" t="str">
        <f t="shared" si="7"/>
        <v>short ton</v>
      </c>
      <c r="I33" s="156">
        <f t="shared" si="8"/>
        <v>0</v>
      </c>
      <c r="J33"/>
      <c r="K33"/>
      <c r="L33"/>
      <c r="M33"/>
      <c r="N33"/>
      <c r="O33"/>
      <c r="P33"/>
      <c r="Q33"/>
      <c r="R33"/>
      <c r="S33"/>
      <c r="T33"/>
      <c r="X33" s="67">
        <f>IF(ISBLANK(E33),0,1)</f>
        <v>0</v>
      </c>
      <c r="Y33" s="216">
        <f>IF(AND($X33=1,'Plant Inputs'!$Y33=1),1,0)</f>
        <v>0</v>
      </c>
      <c r="Z33" s="216"/>
      <c r="AA33" s="216">
        <f>IF($Y33=0,0,IF('Plant Inputs'!J33="",0,'Plant Inputs'!J33))</f>
        <v>0</v>
      </c>
      <c r="AB33" s="216">
        <f>IF($Y33=0,0,IF('Plant Inputs'!K33="",0,'Plant Inputs'!K33))</f>
        <v>0</v>
      </c>
      <c r="AC33" s="216">
        <f>IF($Y33=0,0,IF('Plant Inputs'!L33="",0,'Plant Inputs'!L33))</f>
        <v>0</v>
      </c>
      <c r="AD33" s="216">
        <f>IF($Y33=0,0,IF('Plant Inputs'!M33="",0,'Plant Inputs'!M33))</f>
        <v>0</v>
      </c>
      <c r="AE33" s="217" t="str">
        <f>'Plant Inputs'!$O33</f>
        <v>mile</v>
      </c>
      <c r="AF33" s="217">
        <f t="shared" si="9"/>
        <v>1.6093473468862911</v>
      </c>
      <c r="AG33" s="216" t="str">
        <f t="shared" si="23"/>
        <v>km/mile</v>
      </c>
      <c r="AH33" s="216">
        <f t="shared" si="10"/>
        <v>0</v>
      </c>
      <c r="AI33" s="216">
        <f t="shared" si="10"/>
        <v>0</v>
      </c>
      <c r="AJ33" s="216">
        <f t="shared" si="10"/>
        <v>0</v>
      </c>
      <c r="AK33" s="216">
        <f t="shared" si="10"/>
        <v>0</v>
      </c>
      <c r="AL33" s="216"/>
      <c r="AM33" s="1" t="str">
        <f t="shared" si="11"/>
        <v>Fine Aggregate - natural sand</v>
      </c>
      <c r="AN33" t="s">
        <v>127</v>
      </c>
      <c r="AO33">
        <f t="shared" si="12"/>
        <v>0</v>
      </c>
      <c r="AP33" s="1">
        <f t="shared" si="24"/>
        <v>0</v>
      </c>
      <c r="AQ33" s="1" t="str">
        <f t="shared" si="13"/>
        <v>short ton</v>
      </c>
      <c r="AR33" s="1">
        <f t="shared" si="14"/>
        <v>0.90718499588591606</v>
      </c>
      <c r="AS33" s="87" t="str">
        <f t="shared" si="15"/>
        <v>tonne/short ton</v>
      </c>
      <c r="AT33" s="87">
        <f t="shared" si="16"/>
        <v>0</v>
      </c>
      <c r="AU33" s="87">
        <f t="shared" si="17"/>
        <v>0</v>
      </c>
      <c r="AV33" s="87">
        <f t="shared" si="18"/>
        <v>0</v>
      </c>
      <c r="AW33" t="str">
        <f t="shared" si="19"/>
        <v>Fine Aggregate - natural sand</v>
      </c>
      <c r="AX33" s="148">
        <f t="array" ref="AX33">IFERROR(INDEX(LCIA_Data,MATCH($AO$15&amp;AX$27,LCIA_Rows_B&amp;LCIA_Rows_C,0),MATCH($D33,LCIA_Columns,0)),0)*$AU33</f>
        <v>0</v>
      </c>
      <c r="AY33" s="148">
        <f t="array" ref="AY33">IFERROR(INDEX(LCIA_Data,MATCH($AO$15&amp;AY$27,LCIA_Rows_B&amp;LCIA_Rows_C,0),MATCH($D33,LCIA_Columns,0)),0)*$AU33</f>
        <v>0</v>
      </c>
      <c r="AZ33" s="148">
        <f t="array" ref="AZ33">IFERROR(INDEX(LCIA_Data,MATCH($AO$15&amp;AZ$27,LCIA_Rows_B&amp;LCIA_Rows_C,0),MATCH($D33,LCIA_Columns,0)),0)*$AU33</f>
        <v>0</v>
      </c>
      <c r="BA33" s="148">
        <f t="array" ref="BA33">IFERROR(INDEX(LCIA_Data,MATCH($AO$15&amp;BA$27,LCIA_Rows_B&amp;LCIA_Rows_C,0),MATCH($D33,LCIA_Columns,0)),0)*$AU33</f>
        <v>0</v>
      </c>
      <c r="BB33" s="148">
        <f t="array" ref="BB33">IFERROR(INDEX(LCIA_Data,MATCH($AO$15&amp;BB$27,LCIA_Rows_B&amp;LCIA_Rows_C,0),MATCH($D33,LCIA_Columns,0)),0)*$AU33</f>
        <v>0</v>
      </c>
      <c r="BC33" s="148">
        <f t="array" ref="BC33">IFERROR(INDEX(LCIA_Data,MATCH($AO$15&amp;BC$27,LCIA_Rows_B&amp;LCIA_Rows_C,0),MATCH($D33,LCIA_Columns,0)),0)*$AU33</f>
        <v>0</v>
      </c>
      <c r="BD33" s="148">
        <f t="array" ref="BD33">IFERROR(INDEX(LCIA_Data,MATCH($AO$15&amp;BD$27,LCIA_Rows_B&amp;LCIA_Rows_C,0),MATCH($D33,LCIA_Columns,0)),0)*$AU33</f>
        <v>0</v>
      </c>
      <c r="BE33" s="148">
        <f t="array" ref="BE33">IFERROR(INDEX(LCIA_Data,MATCH($AO$15&amp;BE$27,LCIA_Rows_B&amp;LCIA_Rows_C,0),MATCH($D33,LCIA_Columns,0)),0)*$AU33</f>
        <v>0</v>
      </c>
      <c r="BF33" s="148">
        <f t="array" ref="BF33">IFERROR(INDEX(LCIA_Data,MATCH($AO$15&amp;BF$27,LCIA_Rows_B&amp;LCIA_Rows_C,0),MATCH($D33,LCIA_Columns,0)),0)*$AU33</f>
        <v>0</v>
      </c>
      <c r="BG33" s="148">
        <f t="array" ref="BG33">IFERROR(INDEX(LCIA_Data,MATCH($AO$15&amp;BG$27,LCIA_Rows_B&amp;LCIA_Rows_C,0),MATCH($D33,LCIA_Columns,0)),0)*$AU33</f>
        <v>0</v>
      </c>
      <c r="BH33" s="148">
        <f t="array" ref="BH33">IFERROR(INDEX(LCIA_Data,MATCH($AO$15&amp;BH$27,LCIA_Rows_B&amp;LCIA_Rows_C,0),MATCH($D33,LCIA_Columns,0)),0)*$AU33</f>
        <v>0</v>
      </c>
      <c r="BI33" s="148">
        <f t="array" ref="BI33">IFERROR(INDEX(LCIA_Data,MATCH($AO$15&amp;BI$27,LCIA_Rows_B&amp;LCIA_Rows_C,0),MATCH($D33,LCIA_Columns,0)),0)*$AU33</f>
        <v>0</v>
      </c>
      <c r="BJ33" s="148">
        <f t="array" ref="BJ33">IFERROR(INDEX(LCIA_Data,MATCH($AO$15&amp;BJ$27,LCIA_Rows_B&amp;LCIA_Rows_C,0),MATCH($D33,LCIA_Columns,0)),0)*$AU33</f>
        <v>0</v>
      </c>
      <c r="BK33" s="148">
        <f t="array" ref="BK33">IFERROR(INDEX(LCIA_Data,MATCH($AO$15&amp;BK$27,LCIA_Rows_B&amp;LCIA_Rows_C,0),MATCH($D33,LCIA_Columns,0)),0)*$AU33</f>
        <v>0</v>
      </c>
      <c r="BM33" s="1">
        <f t="array" ref="BM33">IFERROR(INDEX(LCIA_Data,MATCH($AO$15&amp;BM$27,LCIA_Rows_B&amp;LCIA_Rows_C,0),MATCH(BM$26,LCIA_Columns,0)),0)*$AT33*$AH33*$BN$23</f>
        <v>0</v>
      </c>
      <c r="BN33" s="1">
        <f t="array" ref="BN33">IFERROR(INDEX(LCIA_Data,MATCH($AO$15&amp;BN$27,LCIA_Rows_B&amp;LCIA_Rows_C,0),MATCH(BN$26,LCIA_Columns,0)),0)*$AT33*$AH33*$BN$23</f>
        <v>0</v>
      </c>
      <c r="BO33" s="1">
        <f t="array" ref="BO33">IFERROR(INDEX(LCIA_Data,MATCH($AO$15&amp;BO$27,LCIA_Rows_B&amp;LCIA_Rows_C,0),MATCH(BO$26,LCIA_Columns,0)),0)*$AT33*$AH33*$BN$23</f>
        <v>0</v>
      </c>
      <c r="BP33" s="1">
        <f t="array" ref="BP33">IFERROR(INDEX(LCIA_Data,MATCH($AO$15&amp;BP$27,LCIA_Rows_B&amp;LCIA_Rows_C,0),MATCH(BP$26,LCIA_Columns,0)),0)*$AT33*$AH33*$BN$23</f>
        <v>0</v>
      </c>
      <c r="BQ33" s="1">
        <f t="array" ref="BQ33">IFERROR(INDEX(LCIA_Data,MATCH($AO$15&amp;BQ$27,LCIA_Rows_B&amp;LCIA_Rows_C,0),MATCH(BQ$26,LCIA_Columns,0)),0)*$AT33*$AH33*$BN$23</f>
        <v>0</v>
      </c>
      <c r="BR33" s="1">
        <f t="array" ref="BR33">IFERROR(INDEX(LCIA_Data,MATCH($AO$15&amp;BR$27,LCIA_Rows_B&amp;LCIA_Rows_C,0),MATCH(BR$26,LCIA_Columns,0)),0)*$AT33*$AH33*$BN$23</f>
        <v>0</v>
      </c>
      <c r="BS33" s="1">
        <f t="array" ref="BS33">IFERROR(INDEX(LCIA_Data,MATCH($AO$15&amp;BS$27,LCIA_Rows_B&amp;LCIA_Rows_C,0),MATCH(BS$26,LCIA_Columns,0)),0)*$AT33*$AH33*$BN$23</f>
        <v>0</v>
      </c>
      <c r="BT33" s="1">
        <f t="array" ref="BT33">IFERROR(INDEX(LCIA_Data,MATCH($AO$15&amp;BT$27,LCIA_Rows_B&amp;LCIA_Rows_C,0),MATCH(BT$26,LCIA_Columns,0)),0)*$AT33*$AH33*$BN$23</f>
        <v>0</v>
      </c>
      <c r="BU33" s="1">
        <f t="array" ref="BU33">IFERROR(INDEX(LCIA_Data,MATCH($AO$15&amp;BU$27,LCIA_Rows_B&amp;LCIA_Rows_C,0),MATCH(BU$26,LCIA_Columns,0)),0)*$AT33*$AH33*$BN$23</f>
        <v>0</v>
      </c>
      <c r="BV33" s="1">
        <f t="array" ref="BV33">IFERROR(INDEX(LCIA_Data,MATCH($AO$15&amp;BV$27,LCIA_Rows_B&amp;LCIA_Rows_C,0),MATCH(BV$26,LCIA_Columns,0)),0)*$AT33*$AH33*$BN$23</f>
        <v>0</v>
      </c>
      <c r="BW33" s="1">
        <f t="array" ref="BW33">IFERROR(INDEX(LCIA_Data,MATCH($AO$15&amp;BW$27,LCIA_Rows_B&amp;LCIA_Rows_C,0),MATCH(BW$26,LCIA_Columns,0)),0)*$AT33*$AH33*$BN$23</f>
        <v>0</v>
      </c>
      <c r="BX33" s="1">
        <f t="array" ref="BX33">IFERROR(INDEX(LCIA_Data,MATCH($AO$15&amp;BX$27,LCIA_Rows_B&amp;LCIA_Rows_C,0),MATCH(BX$26,LCIA_Columns,0)),0)*$AT33*$AH33*$BN$23</f>
        <v>0</v>
      </c>
      <c r="BY33" s="1">
        <f t="array" ref="BY33">IFERROR(INDEX(LCIA_Data,MATCH($AO$15&amp;BY$27,LCIA_Rows_B&amp;LCIA_Rows_C,0),MATCH(BY$26,LCIA_Columns,0)),0)*$AT33*$AH33*$BN$23</f>
        <v>0</v>
      </c>
      <c r="BZ33" s="1">
        <f t="array" ref="BZ33">IFERROR(INDEX(LCIA_Data,MATCH($AO$15&amp;BZ$27,LCIA_Rows_B&amp;LCIA_Rows_C,0),MATCH(BZ$26,LCIA_Columns,0)),0)*$AT33*$AH33*$BN$23</f>
        <v>0</v>
      </c>
      <c r="CA33" s="1">
        <f t="array" ref="CA33">IFERROR(INDEX(LCIA_Data,MATCH($AO$15&amp;CA$27,LCIA_Rows_B&amp;LCIA_Rows_C,0),MATCH(CA$26,LCIA_Columns,0)),0)*$AT33*$AI33*$BN$23</f>
        <v>0</v>
      </c>
      <c r="CB33" s="1">
        <f t="array" ref="CB33">IFERROR(INDEX(LCIA_Data,MATCH($AO$15&amp;CB$27,LCIA_Rows_B&amp;LCIA_Rows_C,0),MATCH(CB$26,LCIA_Columns,0)),0)*$AT33*$AI33*$BN$23</f>
        <v>0</v>
      </c>
      <c r="CC33" s="1">
        <f t="array" ref="CC33">IFERROR(INDEX(LCIA_Data,MATCH($AO$15&amp;CC$27,LCIA_Rows_B&amp;LCIA_Rows_C,0),MATCH(CC$26,LCIA_Columns,0)),0)*$AT33*$AI33*$BN$23</f>
        <v>0</v>
      </c>
      <c r="CD33" s="1">
        <f t="array" ref="CD33">IFERROR(INDEX(LCIA_Data,MATCH($AO$15&amp;CD$27,LCIA_Rows_B&amp;LCIA_Rows_C,0),MATCH(CD$26,LCIA_Columns,0)),0)*$AT33*$AI33*$BN$23</f>
        <v>0</v>
      </c>
      <c r="CE33" s="1">
        <f t="array" ref="CE33">IFERROR(INDEX(LCIA_Data,MATCH($AO$15&amp;CE$27,LCIA_Rows_B&amp;LCIA_Rows_C,0),MATCH(CE$26,LCIA_Columns,0)),0)*$AT33*$AI33*$BN$23</f>
        <v>0</v>
      </c>
      <c r="CF33" s="1">
        <f t="array" ref="CF33">IFERROR(INDEX(LCIA_Data,MATCH($AO$15&amp;CF$27,LCIA_Rows_B&amp;LCIA_Rows_C,0),MATCH(CF$26,LCIA_Columns,0)),0)*$AT33*$AI33*$BN$23</f>
        <v>0</v>
      </c>
      <c r="CG33" s="1">
        <f t="array" ref="CG33">IFERROR(INDEX(LCIA_Data,MATCH($AO$15&amp;CG$27,LCIA_Rows_B&amp;LCIA_Rows_C,0),MATCH(CG$26,LCIA_Columns,0)),0)*$AT33*$AI33*$BN$23</f>
        <v>0</v>
      </c>
      <c r="CH33" s="1">
        <f t="array" ref="CH33">IFERROR(INDEX(LCIA_Data,MATCH($AO$15&amp;CH$27,LCIA_Rows_B&amp;LCIA_Rows_C,0),MATCH(CH$26,LCIA_Columns,0)),0)*$AT33*$AI33*$BN$23</f>
        <v>0</v>
      </c>
      <c r="CI33" s="1">
        <f t="array" ref="CI33">IFERROR(INDEX(LCIA_Data,MATCH($AO$15&amp;CI$27,LCIA_Rows_B&amp;LCIA_Rows_C,0),MATCH(CI$26,LCIA_Columns,0)),0)*$AT33*$AI33*$BN$23</f>
        <v>0</v>
      </c>
      <c r="CJ33" s="1">
        <f t="array" ref="CJ33">IFERROR(INDEX(LCIA_Data,MATCH($AO$15&amp;CJ$27,LCIA_Rows_B&amp;LCIA_Rows_C,0),MATCH(CJ$26,LCIA_Columns,0)),0)*$AT33*$AI33*$BN$23</f>
        <v>0</v>
      </c>
      <c r="CK33" s="1">
        <f t="array" ref="CK33">IFERROR(INDEX(LCIA_Data,MATCH($AO$15&amp;CK$27,LCIA_Rows_B&amp;LCIA_Rows_C,0),MATCH(CK$26,LCIA_Columns,0)),0)*$AT33*$AI33*$BN$23</f>
        <v>0</v>
      </c>
      <c r="CL33" s="1">
        <f t="array" ref="CL33">IFERROR(INDEX(LCIA_Data,MATCH($AO$15&amp;CL$27,LCIA_Rows_B&amp;LCIA_Rows_C,0),MATCH(CL$26,LCIA_Columns,0)),0)*$AT33*$AI33*$BN$23</f>
        <v>0</v>
      </c>
      <c r="CM33" s="1">
        <f t="array" ref="CM33">IFERROR(INDEX(LCIA_Data,MATCH($AO$15&amp;CM$27,LCIA_Rows_B&amp;LCIA_Rows_C,0),MATCH(CM$26,LCIA_Columns,0)),0)*$AT33*$AJ33*$BN$23</f>
        <v>0</v>
      </c>
      <c r="CN33" s="1">
        <f t="array" ref="CN33">IFERROR(INDEX(LCIA_Data,MATCH($AO$15&amp;CN$27,LCIA_Rows_B&amp;LCIA_Rows_C,0),MATCH(CN$26,LCIA_Columns,0)),0)*$AT33*$AJ33*$BN$23</f>
        <v>0</v>
      </c>
      <c r="CO33" s="1">
        <f t="array" ref="CO33">IFERROR(INDEX(LCIA_Data,MATCH($AO$15&amp;CO$27,LCIA_Rows_B&amp;LCIA_Rows_C,0),MATCH(CO$26,LCIA_Columns,0)),0)*$AT33*$AJ33*$BN$23</f>
        <v>0</v>
      </c>
      <c r="CP33" s="1">
        <f t="array" ref="CP33">IFERROR(INDEX(LCIA_Data,MATCH($AO$15&amp;CP$27,LCIA_Rows_B&amp;LCIA_Rows_C,0),MATCH(CP$26,LCIA_Columns,0)),0)*$AT33*$AJ33*$BN$23</f>
        <v>0</v>
      </c>
      <c r="CQ33" s="1">
        <f t="array" ref="CQ33">IFERROR(INDEX(LCIA_Data,MATCH($AO$15&amp;CQ$27,LCIA_Rows_B&amp;LCIA_Rows_C,0),MATCH(CQ$26,LCIA_Columns,0)),0)*$AT33*$AJ33*$BN$23</f>
        <v>0</v>
      </c>
      <c r="CR33" s="1">
        <f t="array" ref="CR33">IFERROR(INDEX(LCIA_Data,MATCH($AO$15&amp;CR$27,LCIA_Rows_B&amp;LCIA_Rows_C,0),MATCH(CR$26,LCIA_Columns,0)),0)*$AT33*$AJ33*$BN$23</f>
        <v>0</v>
      </c>
      <c r="CS33" s="1">
        <f t="array" ref="CS33">IFERROR(INDEX(LCIA_Data,MATCH($AO$15&amp;CS$27,LCIA_Rows_B&amp;LCIA_Rows_C,0),MATCH(CS$26,LCIA_Columns,0)),0)*$AT33*$AJ33*$BN$23</f>
        <v>0</v>
      </c>
      <c r="CT33" s="1">
        <f t="array" ref="CT33">IFERROR(INDEX(LCIA_Data,MATCH($AO$15&amp;CT$27,LCIA_Rows_B&amp;LCIA_Rows_C,0),MATCH(CT$26,LCIA_Columns,0)),0)*$AT33*$AJ33*$BN$23</f>
        <v>0</v>
      </c>
      <c r="CU33" s="1">
        <f t="array" ref="CU33">IFERROR(INDEX(LCIA_Data,MATCH($AO$15&amp;CU$27,LCIA_Rows_B&amp;LCIA_Rows_C,0),MATCH(CU$26,LCIA_Columns,0)),0)*$AT33*$AJ33*$BN$23</f>
        <v>0</v>
      </c>
      <c r="CV33" s="1">
        <f t="array" ref="CV33">IFERROR(INDEX(LCIA_Data,MATCH($AO$15&amp;CV$27,LCIA_Rows_B&amp;LCIA_Rows_C,0),MATCH(CV$26,LCIA_Columns,0)),0)*$AT33*$AJ33*$BN$23</f>
        <v>0</v>
      </c>
      <c r="CW33" s="1">
        <f t="array" ref="CW33">IFERROR(INDEX(LCIA_Data,MATCH($AO$15&amp;CW$27,LCIA_Rows_B&amp;LCIA_Rows_C,0),MATCH(CW$26,LCIA_Columns,0)),0)*$AT33*$AJ33*$BN$23</f>
        <v>0</v>
      </c>
      <c r="CX33" s="1">
        <f t="array" ref="CX33">IFERROR(INDEX(LCIA_Data,MATCH($AO$15&amp;CX$27,LCIA_Rows_B&amp;LCIA_Rows_C,0),MATCH(CX$26,LCIA_Columns,0)),0)*$AT33*$AJ33*$BN$23</f>
        <v>0</v>
      </c>
      <c r="CY33" s="1">
        <f t="array" ref="CY33">IFERROR(INDEX(LCIA_Data,MATCH($AO$15&amp;CY$27,LCIA_Rows_B&amp;LCIA_Rows_C,0),MATCH(CY$26,LCIA_Columns,0)),0)*$AT33*$AJ33*$BN$23</f>
        <v>0</v>
      </c>
      <c r="CZ33" s="1">
        <f t="array" ref="CZ33">IFERROR(INDEX(LCIA_Data,MATCH($AO$15&amp;CZ$27,LCIA_Rows_B&amp;LCIA_Rows_C,0),MATCH(CZ$26,LCIA_Columns,0)),0)*$AT33*$AJ33*$BN$23</f>
        <v>0</v>
      </c>
      <c r="DA33" s="1">
        <f t="array" ref="DA33">IFERROR(INDEX(LCIA_Data,MATCH($AO$15&amp;DA$27,LCIA_Rows_B&amp;LCIA_Rows_C,0),MATCH(DA$26,LCIA_Columns,0)),0)*$AT33*$AK33*$BN$23</f>
        <v>0</v>
      </c>
      <c r="DB33" s="1">
        <f t="array" ref="DB33">IFERROR(INDEX(LCIA_Data,MATCH($AO$15&amp;DB$27,LCIA_Rows_B&amp;LCIA_Rows_C,0),MATCH(DB$26,LCIA_Columns,0)),0)*$AT33*$AK33*$BN$23</f>
        <v>0</v>
      </c>
      <c r="DC33" s="1">
        <f t="array" ref="DC33">IFERROR(INDEX(LCIA_Data,MATCH($AO$15&amp;DC$27,LCIA_Rows_B&amp;LCIA_Rows_C,0),MATCH(DC$26,LCIA_Columns,0)),0)*$AT33*$AK33*$BN$23</f>
        <v>0</v>
      </c>
      <c r="DD33" s="1">
        <f t="array" ref="DD33">IFERROR(INDEX(LCIA_Data,MATCH($AO$15&amp;DD$27,LCIA_Rows_B&amp;LCIA_Rows_C,0),MATCH(DD$26,LCIA_Columns,0)),0)*$AT33*$AK33*$BN$23</f>
        <v>0</v>
      </c>
      <c r="DE33" s="1">
        <f t="array" ref="DE33">IFERROR(INDEX(LCIA_Data,MATCH($AO$15&amp;DE$27,LCIA_Rows_B&amp;LCIA_Rows_C,0),MATCH(DE$26,LCIA_Columns,0)),0)*$AT33*$AK33*$BN$23</f>
        <v>0</v>
      </c>
      <c r="DF33" s="1">
        <f t="array" ref="DF33">IFERROR(INDEX(LCIA_Data,MATCH($AO$15&amp;DF$27,LCIA_Rows_B&amp;LCIA_Rows_C,0),MATCH(DF$26,LCIA_Columns,0)),0)*$AT33*$AK33*$BN$23</f>
        <v>0</v>
      </c>
      <c r="DG33" s="1">
        <f t="array" ref="DG33">IFERROR(INDEX(LCIA_Data,MATCH($AO$15&amp;DG$27,LCIA_Rows_B&amp;LCIA_Rows_C,0),MATCH(DG$26,LCIA_Columns,0)),0)*$AT33*$AK33*$BN$23</f>
        <v>0</v>
      </c>
      <c r="DH33" s="1">
        <f t="array" ref="DH33">IFERROR(INDEX(LCIA_Data,MATCH($AO$15&amp;DH$27,LCIA_Rows_B&amp;LCIA_Rows_C,0),MATCH(DH$26,LCIA_Columns,0)),0)*$AT33*$AK33*$BN$23</f>
        <v>0</v>
      </c>
      <c r="DI33" s="1">
        <f t="array" ref="DI33">IFERROR(INDEX(LCIA_Data,MATCH($AO$15&amp;DI$27,LCIA_Rows_B&amp;LCIA_Rows_C,0),MATCH(DI$26,LCIA_Columns,0)),0)*$AT33*$AK33*$BN$23</f>
        <v>0</v>
      </c>
      <c r="DJ33" s="1">
        <f t="array" ref="DJ33">IFERROR(INDEX(LCIA_Data,MATCH($AO$15&amp;DJ$27,LCIA_Rows_B&amp;LCIA_Rows_C,0),MATCH(DJ$26,LCIA_Columns,0)),0)*$AT33*$AK33*$BN$23</f>
        <v>0</v>
      </c>
      <c r="DK33" s="1">
        <f t="array" ref="DK33">IFERROR(INDEX(LCIA_Data,MATCH($AO$15&amp;DK$27,LCIA_Rows_B&amp;LCIA_Rows_C,0),MATCH(DK$26,LCIA_Columns,0)),0)*$AT33*$AK33*$BN$23</f>
        <v>0</v>
      </c>
      <c r="DL33" s="1">
        <f t="array" ref="DL33">IFERROR(INDEX(LCIA_Data,MATCH($AO$15&amp;DL$27,LCIA_Rows_B&amp;LCIA_Rows_C,0),MATCH(DL$26,LCIA_Columns,0)),0)*$AT33*$AK33*$BN$23</f>
        <v>0</v>
      </c>
      <c r="DM33" s="1">
        <f t="array" ref="DM33">IFERROR(INDEX(LCIA_Data,MATCH($AO$15&amp;DM$27,LCIA_Rows_B&amp;LCIA_Rows_C,0),MATCH(DM$26,LCIA_Columns,0)),0)*$AT33*$AK33*$BN$23</f>
        <v>0</v>
      </c>
      <c r="DN33" s="1">
        <f t="array" ref="DN33">IFERROR(INDEX(LCIA_Data,MATCH($AO$15&amp;DN$27,LCIA_Rows_B&amp;LCIA_Rows_C,0),MATCH(DN$26,LCIA_Columns,0)),0)*$AT33*$AK33*$BN$23</f>
        <v>0</v>
      </c>
      <c r="DO33">
        <f t="shared" si="20"/>
        <v>0</v>
      </c>
      <c r="DP33">
        <f t="shared" si="20"/>
        <v>0</v>
      </c>
      <c r="DQ33">
        <f t="shared" si="20"/>
        <v>0</v>
      </c>
      <c r="DR33">
        <f t="shared" si="20"/>
        <v>0</v>
      </c>
      <c r="DS33">
        <f t="shared" si="20"/>
        <v>0</v>
      </c>
      <c r="DT33">
        <f t="shared" si="20"/>
        <v>0</v>
      </c>
      <c r="DU33">
        <f t="shared" si="20"/>
        <v>0</v>
      </c>
      <c r="DV33">
        <f t="shared" si="20"/>
        <v>0</v>
      </c>
      <c r="DW33">
        <f t="shared" si="20"/>
        <v>0</v>
      </c>
      <c r="DX33">
        <f t="shared" si="20"/>
        <v>0</v>
      </c>
      <c r="DY33">
        <f t="shared" si="20"/>
        <v>0</v>
      </c>
      <c r="DZ33">
        <f t="shared" si="20"/>
        <v>0</v>
      </c>
      <c r="EA33">
        <f t="shared" si="20"/>
        <v>0</v>
      </c>
      <c r="EB33">
        <f t="shared" si="21"/>
        <v>0</v>
      </c>
      <c r="EC33"/>
      <c r="ED33"/>
      <c r="EE33"/>
      <c r="EF33"/>
      <c r="EG33"/>
    </row>
    <row r="34" spans="2:137" ht="15" customHeight="1">
      <c r="B34" s="53">
        <f t="shared" si="25"/>
        <v>0</v>
      </c>
      <c r="C34" s="26">
        <f t="shared" si="22"/>
        <v>5</v>
      </c>
      <c r="D34" s="46" t="str">
        <f>'Plant Inputs'!$D34</f>
        <v>Fine Aggregate - manufactured</v>
      </c>
      <c r="E34" s="99"/>
      <c r="F34" s="119" t="str">
        <f t="shared" si="6"/>
        <v>short ton</v>
      </c>
      <c r="G34" s="158">
        <f t="shared" ref="G34:G66" si="26">$AV34</f>
        <v>0</v>
      </c>
      <c r="H34" s="204" t="str">
        <f t="shared" si="7"/>
        <v>short ton</v>
      </c>
      <c r="I34" s="156">
        <f t="shared" si="8"/>
        <v>0</v>
      </c>
      <c r="J34"/>
      <c r="K34"/>
      <c r="L34"/>
      <c r="M34"/>
      <c r="N34"/>
      <c r="O34"/>
      <c r="P34"/>
      <c r="Q34"/>
      <c r="R34"/>
      <c r="S34"/>
      <c r="T34"/>
      <c r="X34" s="67">
        <f t="shared" ref="X34:X45" si="27">IF(ISBLANK(E34),0,1)</f>
        <v>0</v>
      </c>
      <c r="Y34" s="216">
        <f>IF(AND($X34=1,'Plant Inputs'!$Y34=1),1,0)</f>
        <v>0</v>
      </c>
      <c r="Z34" s="216"/>
      <c r="AA34" s="216">
        <f>IF($Y34=0,0,IF('Plant Inputs'!J34="",0,'Plant Inputs'!J34))</f>
        <v>0</v>
      </c>
      <c r="AB34" s="216">
        <f>IF($Y34=0,0,IF('Plant Inputs'!K34="",0,'Plant Inputs'!K34))</f>
        <v>0</v>
      </c>
      <c r="AC34" s="216">
        <f>IF($Y34=0,0,IF('Plant Inputs'!L34="",0,'Plant Inputs'!L34))</f>
        <v>0</v>
      </c>
      <c r="AD34" s="216">
        <f>IF($Y34=0,0,IF('Plant Inputs'!M34="",0,'Plant Inputs'!M34))</f>
        <v>0</v>
      </c>
      <c r="AE34" s="217" t="str">
        <f>'Plant Inputs'!$O34</f>
        <v>mile</v>
      </c>
      <c r="AF34" s="217">
        <f t="shared" si="9"/>
        <v>1.6093473468862911</v>
      </c>
      <c r="AG34" s="216" t="str">
        <f t="shared" si="23"/>
        <v>km/mile</v>
      </c>
      <c r="AH34" s="216">
        <f t="shared" si="10"/>
        <v>0</v>
      </c>
      <c r="AI34" s="216">
        <f t="shared" si="10"/>
        <v>0</v>
      </c>
      <c r="AJ34" s="216">
        <f t="shared" si="10"/>
        <v>0</v>
      </c>
      <c r="AK34" s="216">
        <f t="shared" si="10"/>
        <v>0</v>
      </c>
      <c r="AL34" s="216"/>
      <c r="AM34" s="1" t="str">
        <f t="shared" si="11"/>
        <v>Fine Aggregate - manufactured</v>
      </c>
      <c r="AN34" t="s">
        <v>127</v>
      </c>
      <c r="AO34">
        <f t="shared" si="12"/>
        <v>0</v>
      </c>
      <c r="AP34" s="1">
        <f t="shared" si="24"/>
        <v>0</v>
      </c>
      <c r="AQ34" s="1" t="str">
        <f t="shared" si="13"/>
        <v>short ton</v>
      </c>
      <c r="AR34" s="1">
        <f t="shared" si="14"/>
        <v>0.90718499588591606</v>
      </c>
      <c r="AS34" s="87" t="str">
        <f t="shared" si="15"/>
        <v>tonne/short ton</v>
      </c>
      <c r="AT34" s="87">
        <f t="shared" si="16"/>
        <v>0</v>
      </c>
      <c r="AU34" s="87">
        <f t="shared" si="17"/>
        <v>0</v>
      </c>
      <c r="AV34" s="87">
        <f t="shared" si="18"/>
        <v>0</v>
      </c>
      <c r="AW34" t="str">
        <f t="shared" si="19"/>
        <v>Fine Aggregate - manufactured</v>
      </c>
      <c r="AX34" s="148">
        <f t="array" ref="AX34">IFERROR(INDEX(LCIA_Data,MATCH($AO$15&amp;AX$27,LCIA_Rows_B&amp;LCIA_Rows_C,0),MATCH($D34,LCIA_Columns,0)),0)*$AU34</f>
        <v>0</v>
      </c>
      <c r="AY34" s="148">
        <f t="array" ref="AY34">IFERROR(INDEX(LCIA_Data,MATCH($AO$15&amp;AY$27,LCIA_Rows_B&amp;LCIA_Rows_C,0),MATCH($D34,LCIA_Columns,0)),0)*$AU34</f>
        <v>0</v>
      </c>
      <c r="AZ34" s="148">
        <f t="array" ref="AZ34">IFERROR(INDEX(LCIA_Data,MATCH($AO$15&amp;AZ$27,LCIA_Rows_B&amp;LCIA_Rows_C,0),MATCH($D34,LCIA_Columns,0)),0)*$AU34</f>
        <v>0</v>
      </c>
      <c r="BA34" s="148">
        <f t="array" ref="BA34">IFERROR(INDEX(LCIA_Data,MATCH($AO$15&amp;BA$27,LCIA_Rows_B&amp;LCIA_Rows_C,0),MATCH($D34,LCIA_Columns,0)),0)*$AU34</f>
        <v>0</v>
      </c>
      <c r="BB34" s="148">
        <f t="array" ref="BB34">IFERROR(INDEX(LCIA_Data,MATCH($AO$15&amp;BB$27,LCIA_Rows_B&amp;LCIA_Rows_C,0),MATCH($D34,LCIA_Columns,0)),0)*$AU34</f>
        <v>0</v>
      </c>
      <c r="BC34" s="148">
        <f t="array" ref="BC34">IFERROR(INDEX(LCIA_Data,MATCH($AO$15&amp;BC$27,LCIA_Rows_B&amp;LCIA_Rows_C,0),MATCH($D34,LCIA_Columns,0)),0)*$AU34</f>
        <v>0</v>
      </c>
      <c r="BD34" s="148">
        <f t="array" ref="BD34">IFERROR(INDEX(LCIA_Data,MATCH($AO$15&amp;BD$27,LCIA_Rows_B&amp;LCIA_Rows_C,0),MATCH($D34,LCIA_Columns,0)),0)*$AU34</f>
        <v>0</v>
      </c>
      <c r="BE34" s="148">
        <f t="array" ref="BE34">IFERROR(INDEX(LCIA_Data,MATCH($AO$15&amp;BE$27,LCIA_Rows_B&amp;LCIA_Rows_C,0),MATCH($D34,LCIA_Columns,0)),0)*$AU34</f>
        <v>0</v>
      </c>
      <c r="BF34" s="148">
        <f t="array" ref="BF34">IFERROR(INDEX(LCIA_Data,MATCH($AO$15&amp;BF$27,LCIA_Rows_B&amp;LCIA_Rows_C,0),MATCH($D34,LCIA_Columns,0)),0)*$AU34</f>
        <v>0</v>
      </c>
      <c r="BG34" s="148">
        <f t="array" ref="BG34">IFERROR(INDEX(LCIA_Data,MATCH($AO$15&amp;BG$27,LCIA_Rows_B&amp;LCIA_Rows_C,0),MATCH($D34,LCIA_Columns,0)),0)*$AU34</f>
        <v>0</v>
      </c>
      <c r="BH34" s="148">
        <f t="array" ref="BH34">IFERROR(INDEX(LCIA_Data,MATCH($AO$15&amp;BH$27,LCIA_Rows_B&amp;LCIA_Rows_C,0),MATCH($D34,LCIA_Columns,0)),0)*$AU34</f>
        <v>0</v>
      </c>
      <c r="BI34" s="148">
        <f t="array" ref="BI34">IFERROR(INDEX(LCIA_Data,MATCH($AO$15&amp;BI$27,LCIA_Rows_B&amp;LCIA_Rows_C,0),MATCH($D34,LCIA_Columns,0)),0)*$AU34</f>
        <v>0</v>
      </c>
      <c r="BJ34" s="148">
        <f t="array" ref="BJ34">IFERROR(INDEX(LCIA_Data,MATCH($AO$15&amp;BJ$27,LCIA_Rows_B&amp;LCIA_Rows_C,0),MATCH($D34,LCIA_Columns,0)),0)*$AU34</f>
        <v>0</v>
      </c>
      <c r="BK34" s="148">
        <f t="array" ref="BK34">IFERROR(INDEX(LCIA_Data,MATCH($AO$15&amp;BK$27,LCIA_Rows_B&amp;LCIA_Rows_C,0),MATCH($D34,LCIA_Columns,0)),0)*$AU34</f>
        <v>0</v>
      </c>
      <c r="BM34" s="1">
        <f t="array" ref="BM34">IFERROR(INDEX(LCIA_Data,MATCH($AO$15&amp;BM$27,LCIA_Rows_B&amp;LCIA_Rows_C,0),MATCH(BM$26,LCIA_Columns,0)),0)*$AT34*$AH34*$BN$23</f>
        <v>0</v>
      </c>
      <c r="BN34" s="1">
        <f t="array" ref="BN34">IFERROR(INDEX(LCIA_Data,MATCH($AO$15&amp;BN$27,LCIA_Rows_B&amp;LCIA_Rows_C,0),MATCH(BN$26,LCIA_Columns,0)),0)*$AT34*$AH34*$BN$23</f>
        <v>0</v>
      </c>
      <c r="BO34" s="1">
        <f t="array" ref="BO34">IFERROR(INDEX(LCIA_Data,MATCH($AO$15&amp;BO$27,LCIA_Rows_B&amp;LCIA_Rows_C,0),MATCH(BO$26,LCIA_Columns,0)),0)*$AT34*$AH34*$BN$23</f>
        <v>0</v>
      </c>
      <c r="BP34" s="1">
        <f t="array" ref="BP34">IFERROR(INDEX(LCIA_Data,MATCH($AO$15&amp;BP$27,LCIA_Rows_B&amp;LCIA_Rows_C,0),MATCH(BP$26,LCIA_Columns,0)),0)*$AT34*$AH34*$BN$23</f>
        <v>0</v>
      </c>
      <c r="BQ34" s="1">
        <f t="array" ref="BQ34">IFERROR(INDEX(LCIA_Data,MATCH($AO$15&amp;BQ$27,LCIA_Rows_B&amp;LCIA_Rows_C,0),MATCH(BQ$26,LCIA_Columns,0)),0)*$AT34*$AH34*$BN$23</f>
        <v>0</v>
      </c>
      <c r="BR34" s="1">
        <f t="array" ref="BR34">IFERROR(INDEX(LCIA_Data,MATCH($AO$15&amp;BR$27,LCIA_Rows_B&amp;LCIA_Rows_C,0),MATCH(BR$26,LCIA_Columns,0)),0)*$AT34*$AH34*$BN$23</f>
        <v>0</v>
      </c>
      <c r="BS34" s="1">
        <f t="array" ref="BS34">IFERROR(INDEX(LCIA_Data,MATCH($AO$15&amp;BS$27,LCIA_Rows_B&amp;LCIA_Rows_C,0),MATCH(BS$26,LCIA_Columns,0)),0)*$AT34*$AH34*$BN$23</f>
        <v>0</v>
      </c>
      <c r="BT34" s="1">
        <f t="array" ref="BT34">IFERROR(INDEX(LCIA_Data,MATCH($AO$15&amp;BT$27,LCIA_Rows_B&amp;LCIA_Rows_C,0),MATCH(BT$26,LCIA_Columns,0)),0)*$AT34*$AH34*$BN$23</f>
        <v>0</v>
      </c>
      <c r="BU34" s="1">
        <f t="array" ref="BU34">IFERROR(INDEX(LCIA_Data,MATCH($AO$15&amp;BU$27,LCIA_Rows_B&amp;LCIA_Rows_C,0),MATCH(BU$26,LCIA_Columns,0)),0)*$AT34*$AH34*$BN$23</f>
        <v>0</v>
      </c>
      <c r="BV34" s="1">
        <f t="array" ref="BV34">IFERROR(INDEX(LCIA_Data,MATCH($AO$15&amp;BV$27,LCIA_Rows_B&amp;LCIA_Rows_C,0),MATCH(BV$26,LCIA_Columns,0)),0)*$AT34*$AH34*$BN$23</f>
        <v>0</v>
      </c>
      <c r="BW34" s="1">
        <f t="array" ref="BW34">IFERROR(INDEX(LCIA_Data,MATCH($AO$15&amp;BW$27,LCIA_Rows_B&amp;LCIA_Rows_C,0),MATCH(BW$26,LCIA_Columns,0)),0)*$AT34*$AH34*$BN$23</f>
        <v>0</v>
      </c>
      <c r="BX34" s="1">
        <f t="array" ref="BX34">IFERROR(INDEX(LCIA_Data,MATCH($AO$15&amp;BX$27,LCIA_Rows_B&amp;LCIA_Rows_C,0),MATCH(BX$26,LCIA_Columns,0)),0)*$AT34*$AH34*$BN$23</f>
        <v>0</v>
      </c>
      <c r="BY34" s="1">
        <f t="array" ref="BY34">IFERROR(INDEX(LCIA_Data,MATCH($AO$15&amp;BY$27,LCIA_Rows_B&amp;LCIA_Rows_C,0),MATCH(BY$26,LCIA_Columns,0)),0)*$AT34*$AH34*$BN$23</f>
        <v>0</v>
      </c>
      <c r="BZ34" s="1">
        <f t="array" ref="BZ34">IFERROR(INDEX(LCIA_Data,MATCH($AO$15&amp;BZ$27,LCIA_Rows_B&amp;LCIA_Rows_C,0),MATCH(BZ$26,LCIA_Columns,0)),0)*$AT34*$AH34*$BN$23</f>
        <v>0</v>
      </c>
      <c r="CA34" s="1">
        <f t="array" ref="CA34">IFERROR(INDEX(LCIA_Data,MATCH($AO$15&amp;CA$27,LCIA_Rows_B&amp;LCIA_Rows_C,0),MATCH(CA$26,LCIA_Columns,0)),0)*$AT34*$AI34*$BN$23</f>
        <v>0</v>
      </c>
      <c r="CB34" s="1">
        <f t="array" ref="CB34">IFERROR(INDEX(LCIA_Data,MATCH($AO$15&amp;CB$27,LCIA_Rows_B&amp;LCIA_Rows_C,0),MATCH(CB$26,LCIA_Columns,0)),0)*$AT34*$AI34*$BN$23</f>
        <v>0</v>
      </c>
      <c r="CC34" s="1">
        <f t="array" ref="CC34">IFERROR(INDEX(LCIA_Data,MATCH($AO$15&amp;CC$27,LCIA_Rows_B&amp;LCIA_Rows_C,0),MATCH(CC$26,LCIA_Columns,0)),0)*$AT34*$AI34*$BN$23</f>
        <v>0</v>
      </c>
      <c r="CD34" s="1">
        <f t="array" ref="CD34">IFERROR(INDEX(LCIA_Data,MATCH($AO$15&amp;CD$27,LCIA_Rows_B&amp;LCIA_Rows_C,0),MATCH(CD$26,LCIA_Columns,0)),0)*$AT34*$AI34*$BN$23</f>
        <v>0</v>
      </c>
      <c r="CE34" s="1">
        <f t="array" ref="CE34">IFERROR(INDEX(LCIA_Data,MATCH($AO$15&amp;CE$27,LCIA_Rows_B&amp;LCIA_Rows_C,0),MATCH(CE$26,LCIA_Columns,0)),0)*$AT34*$AI34*$BN$23</f>
        <v>0</v>
      </c>
      <c r="CF34" s="1">
        <f t="array" ref="CF34">IFERROR(INDEX(LCIA_Data,MATCH($AO$15&amp;CF$27,LCIA_Rows_B&amp;LCIA_Rows_C,0),MATCH(CF$26,LCIA_Columns,0)),0)*$AT34*$AI34*$BN$23</f>
        <v>0</v>
      </c>
      <c r="CG34" s="1">
        <f t="array" ref="CG34">IFERROR(INDEX(LCIA_Data,MATCH($AO$15&amp;CG$27,LCIA_Rows_B&amp;LCIA_Rows_C,0),MATCH(CG$26,LCIA_Columns,0)),0)*$AT34*$AI34*$BN$23</f>
        <v>0</v>
      </c>
      <c r="CH34" s="1">
        <f t="array" ref="CH34">IFERROR(INDEX(LCIA_Data,MATCH($AO$15&amp;CH$27,LCIA_Rows_B&amp;LCIA_Rows_C,0),MATCH(CH$26,LCIA_Columns,0)),0)*$AT34*$AI34*$BN$23</f>
        <v>0</v>
      </c>
      <c r="CI34" s="1">
        <f t="array" ref="CI34">IFERROR(INDEX(LCIA_Data,MATCH($AO$15&amp;CI$27,LCIA_Rows_B&amp;LCIA_Rows_C,0),MATCH(CI$26,LCIA_Columns,0)),0)*$AT34*$AI34*$BN$23</f>
        <v>0</v>
      </c>
      <c r="CJ34" s="1">
        <f t="array" ref="CJ34">IFERROR(INDEX(LCIA_Data,MATCH($AO$15&amp;CJ$27,LCIA_Rows_B&amp;LCIA_Rows_C,0),MATCH(CJ$26,LCIA_Columns,0)),0)*$AT34*$AI34*$BN$23</f>
        <v>0</v>
      </c>
      <c r="CK34" s="1">
        <f t="array" ref="CK34">IFERROR(INDEX(LCIA_Data,MATCH($AO$15&amp;CK$27,LCIA_Rows_B&amp;LCIA_Rows_C,0),MATCH(CK$26,LCIA_Columns,0)),0)*$AT34*$AI34*$BN$23</f>
        <v>0</v>
      </c>
      <c r="CL34" s="1">
        <f t="array" ref="CL34">IFERROR(INDEX(LCIA_Data,MATCH($AO$15&amp;CL$27,LCIA_Rows_B&amp;LCIA_Rows_C,0),MATCH(CL$26,LCIA_Columns,0)),0)*$AT34*$AI34*$BN$23</f>
        <v>0</v>
      </c>
      <c r="CM34" s="1">
        <f t="array" ref="CM34">IFERROR(INDEX(LCIA_Data,MATCH($AO$15&amp;CM$27,LCIA_Rows_B&amp;LCIA_Rows_C,0),MATCH(CM$26,LCIA_Columns,0)),0)*$AT34*$AJ34*$BN$23</f>
        <v>0</v>
      </c>
      <c r="CN34" s="1">
        <f t="array" ref="CN34">IFERROR(INDEX(LCIA_Data,MATCH($AO$15&amp;CN$27,LCIA_Rows_B&amp;LCIA_Rows_C,0),MATCH(CN$26,LCIA_Columns,0)),0)*$AT34*$AJ34*$BN$23</f>
        <v>0</v>
      </c>
      <c r="CO34" s="1">
        <f t="array" ref="CO34">IFERROR(INDEX(LCIA_Data,MATCH($AO$15&amp;CO$27,LCIA_Rows_B&amp;LCIA_Rows_C,0),MATCH(CO$26,LCIA_Columns,0)),0)*$AT34*$AJ34*$BN$23</f>
        <v>0</v>
      </c>
      <c r="CP34" s="1">
        <f t="array" ref="CP34">IFERROR(INDEX(LCIA_Data,MATCH($AO$15&amp;CP$27,LCIA_Rows_B&amp;LCIA_Rows_C,0),MATCH(CP$26,LCIA_Columns,0)),0)*$AT34*$AJ34*$BN$23</f>
        <v>0</v>
      </c>
      <c r="CQ34" s="1">
        <f t="array" ref="CQ34">IFERROR(INDEX(LCIA_Data,MATCH($AO$15&amp;CQ$27,LCIA_Rows_B&amp;LCIA_Rows_C,0),MATCH(CQ$26,LCIA_Columns,0)),0)*$AT34*$AJ34*$BN$23</f>
        <v>0</v>
      </c>
      <c r="CR34" s="1">
        <f t="array" ref="CR34">IFERROR(INDEX(LCIA_Data,MATCH($AO$15&amp;CR$27,LCIA_Rows_B&amp;LCIA_Rows_C,0),MATCH(CR$26,LCIA_Columns,0)),0)*$AT34*$AJ34*$BN$23</f>
        <v>0</v>
      </c>
      <c r="CS34" s="1">
        <f t="array" ref="CS34">IFERROR(INDEX(LCIA_Data,MATCH($AO$15&amp;CS$27,LCIA_Rows_B&amp;LCIA_Rows_C,0),MATCH(CS$26,LCIA_Columns,0)),0)*$AT34*$AJ34*$BN$23</f>
        <v>0</v>
      </c>
      <c r="CT34" s="1">
        <f t="array" ref="CT34">IFERROR(INDEX(LCIA_Data,MATCH($AO$15&amp;CT$27,LCIA_Rows_B&amp;LCIA_Rows_C,0),MATCH(CT$26,LCIA_Columns,0)),0)*$AT34*$AJ34*$BN$23</f>
        <v>0</v>
      </c>
      <c r="CU34" s="1">
        <f t="array" ref="CU34">IFERROR(INDEX(LCIA_Data,MATCH($AO$15&amp;CU$27,LCIA_Rows_B&amp;LCIA_Rows_C,0),MATCH(CU$26,LCIA_Columns,0)),0)*$AT34*$AJ34*$BN$23</f>
        <v>0</v>
      </c>
      <c r="CV34" s="1">
        <f t="array" ref="CV34">IFERROR(INDEX(LCIA_Data,MATCH($AO$15&amp;CV$27,LCIA_Rows_B&amp;LCIA_Rows_C,0),MATCH(CV$26,LCIA_Columns,0)),0)*$AT34*$AJ34*$BN$23</f>
        <v>0</v>
      </c>
      <c r="CW34" s="1">
        <f t="array" ref="CW34">IFERROR(INDEX(LCIA_Data,MATCH($AO$15&amp;CW$27,LCIA_Rows_B&amp;LCIA_Rows_C,0),MATCH(CW$26,LCIA_Columns,0)),0)*$AT34*$AJ34*$BN$23</f>
        <v>0</v>
      </c>
      <c r="CX34" s="1">
        <f t="array" ref="CX34">IFERROR(INDEX(LCIA_Data,MATCH($AO$15&amp;CX$27,LCIA_Rows_B&amp;LCIA_Rows_C,0),MATCH(CX$26,LCIA_Columns,0)),0)*$AT34*$AJ34*$BN$23</f>
        <v>0</v>
      </c>
      <c r="CY34" s="1">
        <f t="array" ref="CY34">IFERROR(INDEX(LCIA_Data,MATCH($AO$15&amp;CY$27,LCIA_Rows_B&amp;LCIA_Rows_C,0),MATCH(CY$26,LCIA_Columns,0)),0)*$AT34*$AJ34*$BN$23</f>
        <v>0</v>
      </c>
      <c r="CZ34" s="1">
        <f t="array" ref="CZ34">IFERROR(INDEX(LCIA_Data,MATCH($AO$15&amp;CZ$27,LCIA_Rows_B&amp;LCIA_Rows_C,0),MATCH(CZ$26,LCIA_Columns,0)),0)*$AT34*$AJ34*$BN$23</f>
        <v>0</v>
      </c>
      <c r="DA34" s="1">
        <f t="array" ref="DA34">IFERROR(INDEX(LCIA_Data,MATCH($AO$15&amp;DA$27,LCIA_Rows_B&amp;LCIA_Rows_C,0),MATCH(DA$26,LCIA_Columns,0)),0)*$AT34*$AK34*$BN$23</f>
        <v>0</v>
      </c>
      <c r="DB34" s="1">
        <f t="array" ref="DB34">IFERROR(INDEX(LCIA_Data,MATCH($AO$15&amp;DB$27,LCIA_Rows_B&amp;LCIA_Rows_C,0),MATCH(DB$26,LCIA_Columns,0)),0)*$AT34*$AK34*$BN$23</f>
        <v>0</v>
      </c>
      <c r="DC34" s="1">
        <f t="array" ref="DC34">IFERROR(INDEX(LCIA_Data,MATCH($AO$15&amp;DC$27,LCIA_Rows_B&amp;LCIA_Rows_C,0),MATCH(DC$26,LCIA_Columns,0)),0)*$AT34*$AK34*$BN$23</f>
        <v>0</v>
      </c>
      <c r="DD34" s="1">
        <f t="array" ref="DD34">IFERROR(INDEX(LCIA_Data,MATCH($AO$15&amp;DD$27,LCIA_Rows_B&amp;LCIA_Rows_C,0),MATCH(DD$26,LCIA_Columns,0)),0)*$AT34*$AK34*$BN$23</f>
        <v>0</v>
      </c>
      <c r="DE34" s="1">
        <f t="array" ref="DE34">IFERROR(INDEX(LCIA_Data,MATCH($AO$15&amp;DE$27,LCIA_Rows_B&amp;LCIA_Rows_C,0),MATCH(DE$26,LCIA_Columns,0)),0)*$AT34*$AK34*$BN$23</f>
        <v>0</v>
      </c>
      <c r="DF34" s="1">
        <f t="array" ref="DF34">IFERROR(INDEX(LCIA_Data,MATCH($AO$15&amp;DF$27,LCIA_Rows_B&amp;LCIA_Rows_C,0),MATCH(DF$26,LCIA_Columns,0)),0)*$AT34*$AK34*$BN$23</f>
        <v>0</v>
      </c>
      <c r="DG34" s="1">
        <f t="array" ref="DG34">IFERROR(INDEX(LCIA_Data,MATCH($AO$15&amp;DG$27,LCIA_Rows_B&amp;LCIA_Rows_C,0),MATCH(DG$26,LCIA_Columns,0)),0)*$AT34*$AK34*$BN$23</f>
        <v>0</v>
      </c>
      <c r="DH34" s="1">
        <f t="array" ref="DH34">IFERROR(INDEX(LCIA_Data,MATCH($AO$15&amp;DH$27,LCIA_Rows_B&amp;LCIA_Rows_C,0),MATCH(DH$26,LCIA_Columns,0)),0)*$AT34*$AK34*$BN$23</f>
        <v>0</v>
      </c>
      <c r="DI34" s="1">
        <f t="array" ref="DI34">IFERROR(INDEX(LCIA_Data,MATCH($AO$15&amp;DI$27,LCIA_Rows_B&amp;LCIA_Rows_C,0),MATCH(DI$26,LCIA_Columns,0)),0)*$AT34*$AK34*$BN$23</f>
        <v>0</v>
      </c>
      <c r="DJ34" s="1">
        <f t="array" ref="DJ34">IFERROR(INDEX(LCIA_Data,MATCH($AO$15&amp;DJ$27,LCIA_Rows_B&amp;LCIA_Rows_C,0),MATCH(DJ$26,LCIA_Columns,0)),0)*$AT34*$AK34*$BN$23</f>
        <v>0</v>
      </c>
      <c r="DK34" s="1">
        <f t="array" ref="DK34">IFERROR(INDEX(LCIA_Data,MATCH($AO$15&amp;DK$27,LCIA_Rows_B&amp;LCIA_Rows_C,0),MATCH(DK$26,LCIA_Columns,0)),0)*$AT34*$AK34*$BN$23</f>
        <v>0</v>
      </c>
      <c r="DL34" s="1">
        <f t="array" ref="DL34">IFERROR(INDEX(LCIA_Data,MATCH($AO$15&amp;DL$27,LCIA_Rows_B&amp;LCIA_Rows_C,0),MATCH(DL$26,LCIA_Columns,0)),0)*$AT34*$AK34*$BN$23</f>
        <v>0</v>
      </c>
      <c r="DM34" s="1">
        <f t="array" ref="DM34">IFERROR(INDEX(LCIA_Data,MATCH($AO$15&amp;DM$27,LCIA_Rows_B&amp;LCIA_Rows_C,0),MATCH(DM$26,LCIA_Columns,0)),0)*$AT34*$AK34*$BN$23</f>
        <v>0</v>
      </c>
      <c r="DN34" s="1">
        <f t="array" ref="DN34">IFERROR(INDEX(LCIA_Data,MATCH($AO$15&amp;DN$27,LCIA_Rows_B&amp;LCIA_Rows_C,0),MATCH(DN$26,LCIA_Columns,0)),0)*$AT34*$AK34*$BN$23</f>
        <v>0</v>
      </c>
      <c r="DO34">
        <f t="shared" si="20"/>
        <v>0</v>
      </c>
      <c r="DP34">
        <f t="shared" si="20"/>
        <v>0</v>
      </c>
      <c r="DQ34">
        <f t="shared" si="20"/>
        <v>0</v>
      </c>
      <c r="DR34">
        <f t="shared" si="20"/>
        <v>0</v>
      </c>
      <c r="DS34">
        <f t="shared" si="20"/>
        <v>0</v>
      </c>
      <c r="DT34">
        <f t="shared" si="20"/>
        <v>0</v>
      </c>
      <c r="DU34">
        <f t="shared" si="20"/>
        <v>0</v>
      </c>
      <c r="DV34">
        <f t="shared" si="20"/>
        <v>0</v>
      </c>
      <c r="DW34">
        <f t="shared" si="20"/>
        <v>0</v>
      </c>
      <c r="DX34">
        <f t="shared" si="20"/>
        <v>0</v>
      </c>
      <c r="DY34">
        <f t="shared" si="20"/>
        <v>0</v>
      </c>
      <c r="DZ34">
        <f t="shared" si="20"/>
        <v>0</v>
      </c>
      <c r="EA34">
        <f t="shared" si="20"/>
        <v>0</v>
      </c>
      <c r="EB34">
        <f t="shared" si="21"/>
        <v>0</v>
      </c>
      <c r="EC34"/>
      <c r="ED34"/>
      <c r="EE34"/>
      <c r="EF34"/>
      <c r="EG34"/>
    </row>
    <row r="35" spans="2:137" ht="15" customHeight="1">
      <c r="B35" s="53">
        <f t="shared" si="25"/>
        <v>0</v>
      </c>
      <c r="C35" s="26">
        <f t="shared" si="22"/>
        <v>6</v>
      </c>
      <c r="D35" s="41" t="str">
        <f>'Plant Inputs'!$D35</f>
        <v>Coarse Aggregate - natural gravel</v>
      </c>
      <c r="E35" s="99"/>
      <c r="F35" s="119" t="str">
        <f t="shared" si="6"/>
        <v>short ton</v>
      </c>
      <c r="G35" s="158">
        <f t="shared" si="26"/>
        <v>0</v>
      </c>
      <c r="H35" s="204" t="str">
        <f t="shared" si="7"/>
        <v>short ton</v>
      </c>
      <c r="I35" s="156">
        <f t="shared" si="8"/>
        <v>0</v>
      </c>
      <c r="J35"/>
      <c r="K35"/>
      <c r="L35"/>
      <c r="M35"/>
      <c r="N35"/>
      <c r="O35"/>
      <c r="P35"/>
      <c r="Q35"/>
      <c r="R35"/>
      <c r="S35"/>
      <c r="T35"/>
      <c r="X35" s="67">
        <f t="shared" si="27"/>
        <v>0</v>
      </c>
      <c r="Y35" s="216">
        <f>IF(AND($X35=1,'Plant Inputs'!$Y35=1),1,0)</f>
        <v>0</v>
      </c>
      <c r="Z35" s="216"/>
      <c r="AA35" s="216">
        <f>IF($Y35=0,0,IF('Plant Inputs'!J35="",0,'Plant Inputs'!J35))</f>
        <v>0</v>
      </c>
      <c r="AB35" s="216">
        <f>IF($Y35=0,0,IF('Plant Inputs'!K35="",0,'Plant Inputs'!K35))</f>
        <v>0</v>
      </c>
      <c r="AC35" s="216">
        <f>IF($Y35=0,0,IF('Plant Inputs'!L35="",0,'Plant Inputs'!L35))</f>
        <v>0</v>
      </c>
      <c r="AD35" s="216">
        <f>IF($Y35=0,0,IF('Plant Inputs'!M35="",0,'Plant Inputs'!M35))</f>
        <v>0</v>
      </c>
      <c r="AE35" s="217" t="str">
        <f>'Plant Inputs'!$O35</f>
        <v>mile</v>
      </c>
      <c r="AF35" s="217">
        <f t="shared" si="9"/>
        <v>1.6093473468862911</v>
      </c>
      <c r="AG35" s="216" t="str">
        <f t="shared" si="23"/>
        <v>km/mile</v>
      </c>
      <c r="AH35" s="216">
        <f t="shared" si="10"/>
        <v>0</v>
      </c>
      <c r="AI35" s="216">
        <f t="shared" si="10"/>
        <v>0</v>
      </c>
      <c r="AJ35" s="216">
        <f t="shared" si="10"/>
        <v>0</v>
      </c>
      <c r="AK35" s="216">
        <f t="shared" si="10"/>
        <v>0</v>
      </c>
      <c r="AL35" s="216"/>
      <c r="AM35" s="1" t="str">
        <f t="shared" si="11"/>
        <v>Coarse Aggregate - natural gravel</v>
      </c>
      <c r="AN35" t="s">
        <v>127</v>
      </c>
      <c r="AO35">
        <f t="shared" si="12"/>
        <v>0</v>
      </c>
      <c r="AP35" s="1">
        <f t="shared" si="24"/>
        <v>0</v>
      </c>
      <c r="AQ35" s="1" t="str">
        <f t="shared" si="13"/>
        <v>short ton</v>
      </c>
      <c r="AR35" s="1">
        <f t="shared" si="14"/>
        <v>0.90718499588591606</v>
      </c>
      <c r="AS35" s="87" t="str">
        <f t="shared" si="15"/>
        <v>tonne/short ton</v>
      </c>
      <c r="AT35" s="87">
        <f t="shared" si="16"/>
        <v>0</v>
      </c>
      <c r="AU35" s="87">
        <f t="shared" si="17"/>
        <v>0</v>
      </c>
      <c r="AV35" s="87">
        <f t="shared" si="18"/>
        <v>0</v>
      </c>
      <c r="AW35" t="str">
        <f t="shared" si="19"/>
        <v>Coarse Aggregate - natural gravel</v>
      </c>
      <c r="AX35" s="148">
        <f t="array" ref="AX35">IFERROR(INDEX(LCIA_Data,MATCH($AO$15&amp;AX$27,LCIA_Rows_B&amp;LCIA_Rows_C,0),MATCH($D35,LCIA_Columns,0)),0)*$AU35</f>
        <v>0</v>
      </c>
      <c r="AY35" s="148">
        <f t="array" ref="AY35">IFERROR(INDEX(LCIA_Data,MATCH($AO$15&amp;AY$27,LCIA_Rows_B&amp;LCIA_Rows_C,0),MATCH($D35,LCIA_Columns,0)),0)*$AU35</f>
        <v>0</v>
      </c>
      <c r="AZ35" s="148">
        <f t="array" ref="AZ35">IFERROR(INDEX(LCIA_Data,MATCH($AO$15&amp;AZ$27,LCIA_Rows_B&amp;LCIA_Rows_C,0),MATCH($D35,LCIA_Columns,0)),0)*$AU35</f>
        <v>0</v>
      </c>
      <c r="BA35" s="148">
        <f t="array" ref="BA35">IFERROR(INDEX(LCIA_Data,MATCH($AO$15&amp;BA$27,LCIA_Rows_B&amp;LCIA_Rows_C,0),MATCH($D35,LCIA_Columns,0)),0)*$AU35</f>
        <v>0</v>
      </c>
      <c r="BB35" s="148">
        <f t="array" ref="BB35">IFERROR(INDEX(LCIA_Data,MATCH($AO$15&amp;BB$27,LCIA_Rows_B&amp;LCIA_Rows_C,0),MATCH($D35,LCIA_Columns,0)),0)*$AU35</f>
        <v>0</v>
      </c>
      <c r="BC35" s="148">
        <f t="array" ref="BC35">IFERROR(INDEX(LCIA_Data,MATCH($AO$15&amp;BC$27,LCIA_Rows_B&amp;LCIA_Rows_C,0),MATCH($D35,LCIA_Columns,0)),0)*$AU35</f>
        <v>0</v>
      </c>
      <c r="BD35" s="148">
        <f t="array" ref="BD35">IFERROR(INDEX(LCIA_Data,MATCH($AO$15&amp;BD$27,LCIA_Rows_B&amp;LCIA_Rows_C,0),MATCH($D35,LCIA_Columns,0)),0)*$AU35</f>
        <v>0</v>
      </c>
      <c r="BE35" s="148">
        <f t="array" ref="BE35">IFERROR(INDEX(LCIA_Data,MATCH($AO$15&amp;BE$27,LCIA_Rows_B&amp;LCIA_Rows_C,0),MATCH($D35,LCIA_Columns,0)),0)*$AU35</f>
        <v>0</v>
      </c>
      <c r="BF35" s="148">
        <f t="array" ref="BF35">IFERROR(INDEX(LCIA_Data,MATCH($AO$15&amp;BF$27,LCIA_Rows_B&amp;LCIA_Rows_C,0),MATCH($D35,LCIA_Columns,0)),0)*$AU35</f>
        <v>0</v>
      </c>
      <c r="BG35" s="148">
        <f t="array" ref="BG35">IFERROR(INDEX(LCIA_Data,MATCH($AO$15&amp;BG$27,LCIA_Rows_B&amp;LCIA_Rows_C,0),MATCH($D35,LCIA_Columns,0)),0)*$AU35</f>
        <v>0</v>
      </c>
      <c r="BH35" s="148">
        <f t="array" ref="BH35">IFERROR(INDEX(LCIA_Data,MATCH($AO$15&amp;BH$27,LCIA_Rows_B&amp;LCIA_Rows_C,0),MATCH($D35,LCIA_Columns,0)),0)*$AU35</f>
        <v>0</v>
      </c>
      <c r="BI35" s="148">
        <f t="array" ref="BI35">IFERROR(INDEX(LCIA_Data,MATCH($AO$15&amp;BI$27,LCIA_Rows_B&amp;LCIA_Rows_C,0),MATCH($D35,LCIA_Columns,0)),0)*$AU35</f>
        <v>0</v>
      </c>
      <c r="BJ35" s="148">
        <f t="array" ref="BJ35">IFERROR(INDEX(LCIA_Data,MATCH($AO$15&amp;BJ$27,LCIA_Rows_B&amp;LCIA_Rows_C,0),MATCH($D35,LCIA_Columns,0)),0)*$AU35</f>
        <v>0</v>
      </c>
      <c r="BK35" s="148">
        <f t="array" ref="BK35">IFERROR(INDEX(LCIA_Data,MATCH($AO$15&amp;BK$27,LCIA_Rows_B&amp;LCIA_Rows_C,0),MATCH($D35,LCIA_Columns,0)),0)*$AU35</f>
        <v>0</v>
      </c>
      <c r="BM35" s="1">
        <f t="array" ref="BM35">IFERROR(INDEX(LCIA_Data,MATCH($AO$15&amp;BM$27,LCIA_Rows_B&amp;LCIA_Rows_C,0),MATCH(BM$26,LCIA_Columns,0)),0)*$AT35*$AH35*$BN$23</f>
        <v>0</v>
      </c>
      <c r="BN35" s="1">
        <f t="array" ref="BN35">IFERROR(INDEX(LCIA_Data,MATCH($AO$15&amp;BN$27,LCIA_Rows_B&amp;LCIA_Rows_C,0),MATCH(BN$26,LCIA_Columns,0)),0)*$AT35*$AH35*$BN$23</f>
        <v>0</v>
      </c>
      <c r="BO35" s="1">
        <f t="array" ref="BO35">IFERROR(INDEX(LCIA_Data,MATCH($AO$15&amp;BO$27,LCIA_Rows_B&amp;LCIA_Rows_C,0),MATCH(BO$26,LCIA_Columns,0)),0)*$AT35*$AH35*$BN$23</f>
        <v>0</v>
      </c>
      <c r="BP35" s="1">
        <f t="array" ref="BP35">IFERROR(INDEX(LCIA_Data,MATCH($AO$15&amp;BP$27,LCIA_Rows_B&amp;LCIA_Rows_C,0),MATCH(BP$26,LCIA_Columns,0)),0)*$AT35*$AH35*$BN$23</f>
        <v>0</v>
      </c>
      <c r="BQ35" s="1">
        <f t="array" ref="BQ35">IFERROR(INDEX(LCIA_Data,MATCH($AO$15&amp;BQ$27,LCIA_Rows_B&amp;LCIA_Rows_C,0),MATCH(BQ$26,LCIA_Columns,0)),0)*$AT35*$AH35*$BN$23</f>
        <v>0</v>
      </c>
      <c r="BR35" s="1">
        <f t="array" ref="BR35">IFERROR(INDEX(LCIA_Data,MATCH($AO$15&amp;BR$27,LCIA_Rows_B&amp;LCIA_Rows_C,0),MATCH(BR$26,LCIA_Columns,0)),0)*$AT35*$AH35*$BN$23</f>
        <v>0</v>
      </c>
      <c r="BS35" s="1">
        <f t="array" ref="BS35">IFERROR(INDEX(LCIA_Data,MATCH($AO$15&amp;BS$27,LCIA_Rows_B&amp;LCIA_Rows_C,0),MATCH(BS$26,LCIA_Columns,0)),0)*$AT35*$AH35*$BN$23</f>
        <v>0</v>
      </c>
      <c r="BT35" s="1">
        <f t="array" ref="BT35">IFERROR(INDEX(LCIA_Data,MATCH($AO$15&amp;BT$27,LCIA_Rows_B&amp;LCIA_Rows_C,0),MATCH(BT$26,LCIA_Columns,0)),0)*$AT35*$AH35*$BN$23</f>
        <v>0</v>
      </c>
      <c r="BU35" s="1">
        <f t="array" ref="BU35">IFERROR(INDEX(LCIA_Data,MATCH($AO$15&amp;BU$27,LCIA_Rows_B&amp;LCIA_Rows_C,0),MATCH(BU$26,LCIA_Columns,0)),0)*$AT35*$AH35*$BN$23</f>
        <v>0</v>
      </c>
      <c r="BV35" s="1">
        <f t="array" ref="BV35">IFERROR(INDEX(LCIA_Data,MATCH($AO$15&amp;BV$27,LCIA_Rows_B&amp;LCIA_Rows_C,0),MATCH(BV$26,LCIA_Columns,0)),0)*$AT35*$AH35*$BN$23</f>
        <v>0</v>
      </c>
      <c r="BW35" s="1">
        <f t="array" ref="BW35">IFERROR(INDEX(LCIA_Data,MATCH($AO$15&amp;BW$27,LCIA_Rows_B&amp;LCIA_Rows_C,0),MATCH(BW$26,LCIA_Columns,0)),0)*$AT35*$AH35*$BN$23</f>
        <v>0</v>
      </c>
      <c r="BX35" s="1">
        <f t="array" ref="BX35">IFERROR(INDEX(LCIA_Data,MATCH($AO$15&amp;BX$27,LCIA_Rows_B&amp;LCIA_Rows_C,0),MATCH(BX$26,LCIA_Columns,0)),0)*$AT35*$AH35*$BN$23</f>
        <v>0</v>
      </c>
      <c r="BY35" s="1">
        <f t="array" ref="BY35">IFERROR(INDEX(LCIA_Data,MATCH($AO$15&amp;BY$27,LCIA_Rows_B&amp;LCIA_Rows_C,0),MATCH(BY$26,LCIA_Columns,0)),0)*$AT35*$AH35*$BN$23</f>
        <v>0</v>
      </c>
      <c r="BZ35" s="1">
        <f t="array" ref="BZ35">IFERROR(INDEX(LCIA_Data,MATCH($AO$15&amp;BZ$27,LCIA_Rows_B&amp;LCIA_Rows_C,0),MATCH(BZ$26,LCIA_Columns,0)),0)*$AT35*$AH35*$BN$23</f>
        <v>0</v>
      </c>
      <c r="CA35" s="1">
        <f t="array" ref="CA35">IFERROR(INDEX(LCIA_Data,MATCH($AO$15&amp;CA$27,LCIA_Rows_B&amp;LCIA_Rows_C,0),MATCH(CA$26,LCIA_Columns,0)),0)*$AT35*$AI35*$BN$23</f>
        <v>0</v>
      </c>
      <c r="CB35" s="1">
        <f t="array" ref="CB35">IFERROR(INDEX(LCIA_Data,MATCH($AO$15&amp;CB$27,LCIA_Rows_B&amp;LCIA_Rows_C,0),MATCH(CB$26,LCIA_Columns,0)),0)*$AT35*$AI35*$BN$23</f>
        <v>0</v>
      </c>
      <c r="CC35" s="1">
        <f t="array" ref="CC35">IFERROR(INDEX(LCIA_Data,MATCH($AO$15&amp;CC$27,LCIA_Rows_B&amp;LCIA_Rows_C,0),MATCH(CC$26,LCIA_Columns,0)),0)*$AT35*$AI35*$BN$23</f>
        <v>0</v>
      </c>
      <c r="CD35" s="1">
        <f t="array" ref="CD35">IFERROR(INDEX(LCIA_Data,MATCH($AO$15&amp;CD$27,LCIA_Rows_B&amp;LCIA_Rows_C,0),MATCH(CD$26,LCIA_Columns,0)),0)*$AT35*$AI35*$BN$23</f>
        <v>0</v>
      </c>
      <c r="CE35" s="1">
        <f t="array" ref="CE35">IFERROR(INDEX(LCIA_Data,MATCH($AO$15&amp;CE$27,LCIA_Rows_B&amp;LCIA_Rows_C,0),MATCH(CE$26,LCIA_Columns,0)),0)*$AT35*$AI35*$BN$23</f>
        <v>0</v>
      </c>
      <c r="CF35" s="1">
        <f t="array" ref="CF35">IFERROR(INDEX(LCIA_Data,MATCH($AO$15&amp;CF$27,LCIA_Rows_B&amp;LCIA_Rows_C,0),MATCH(CF$26,LCIA_Columns,0)),0)*$AT35*$AI35*$BN$23</f>
        <v>0</v>
      </c>
      <c r="CG35" s="1">
        <f t="array" ref="CG35">IFERROR(INDEX(LCIA_Data,MATCH($AO$15&amp;CG$27,LCIA_Rows_B&amp;LCIA_Rows_C,0),MATCH(CG$26,LCIA_Columns,0)),0)*$AT35*$AI35*$BN$23</f>
        <v>0</v>
      </c>
      <c r="CH35" s="1">
        <f t="array" ref="CH35">IFERROR(INDEX(LCIA_Data,MATCH($AO$15&amp;CH$27,LCIA_Rows_B&amp;LCIA_Rows_C,0),MATCH(CH$26,LCIA_Columns,0)),0)*$AT35*$AI35*$BN$23</f>
        <v>0</v>
      </c>
      <c r="CI35" s="1">
        <f t="array" ref="CI35">IFERROR(INDEX(LCIA_Data,MATCH($AO$15&amp;CI$27,LCIA_Rows_B&amp;LCIA_Rows_C,0),MATCH(CI$26,LCIA_Columns,0)),0)*$AT35*$AI35*$BN$23</f>
        <v>0</v>
      </c>
      <c r="CJ35" s="1">
        <f t="array" ref="CJ35">IFERROR(INDEX(LCIA_Data,MATCH($AO$15&amp;CJ$27,LCIA_Rows_B&amp;LCIA_Rows_C,0),MATCH(CJ$26,LCIA_Columns,0)),0)*$AT35*$AI35*$BN$23</f>
        <v>0</v>
      </c>
      <c r="CK35" s="1">
        <f t="array" ref="CK35">IFERROR(INDEX(LCIA_Data,MATCH($AO$15&amp;CK$27,LCIA_Rows_B&amp;LCIA_Rows_C,0),MATCH(CK$26,LCIA_Columns,0)),0)*$AT35*$AI35*$BN$23</f>
        <v>0</v>
      </c>
      <c r="CL35" s="1">
        <f t="array" ref="CL35">IFERROR(INDEX(LCIA_Data,MATCH($AO$15&amp;CL$27,LCIA_Rows_B&amp;LCIA_Rows_C,0),MATCH(CL$26,LCIA_Columns,0)),0)*$AT35*$AI35*$BN$23</f>
        <v>0</v>
      </c>
      <c r="CM35" s="1">
        <f t="array" ref="CM35">IFERROR(INDEX(LCIA_Data,MATCH($AO$15&amp;CM$27,LCIA_Rows_B&amp;LCIA_Rows_C,0),MATCH(CM$26,LCIA_Columns,0)),0)*$AT35*$AJ35*$BN$23</f>
        <v>0</v>
      </c>
      <c r="CN35" s="1">
        <f t="array" ref="CN35">IFERROR(INDEX(LCIA_Data,MATCH($AO$15&amp;CN$27,LCIA_Rows_B&amp;LCIA_Rows_C,0),MATCH(CN$26,LCIA_Columns,0)),0)*$AT35*$AJ35*$BN$23</f>
        <v>0</v>
      </c>
      <c r="CO35" s="1">
        <f t="array" ref="CO35">IFERROR(INDEX(LCIA_Data,MATCH($AO$15&amp;CO$27,LCIA_Rows_B&amp;LCIA_Rows_C,0),MATCH(CO$26,LCIA_Columns,0)),0)*$AT35*$AJ35*$BN$23</f>
        <v>0</v>
      </c>
      <c r="CP35" s="1">
        <f t="array" ref="CP35">IFERROR(INDEX(LCIA_Data,MATCH($AO$15&amp;CP$27,LCIA_Rows_B&amp;LCIA_Rows_C,0),MATCH(CP$26,LCIA_Columns,0)),0)*$AT35*$AJ35*$BN$23</f>
        <v>0</v>
      </c>
      <c r="CQ35" s="1">
        <f t="array" ref="CQ35">IFERROR(INDEX(LCIA_Data,MATCH($AO$15&amp;CQ$27,LCIA_Rows_B&amp;LCIA_Rows_C,0),MATCH(CQ$26,LCIA_Columns,0)),0)*$AT35*$AJ35*$BN$23</f>
        <v>0</v>
      </c>
      <c r="CR35" s="1">
        <f t="array" ref="CR35">IFERROR(INDEX(LCIA_Data,MATCH($AO$15&amp;CR$27,LCIA_Rows_B&amp;LCIA_Rows_C,0),MATCH(CR$26,LCIA_Columns,0)),0)*$AT35*$AJ35*$BN$23</f>
        <v>0</v>
      </c>
      <c r="CS35" s="1">
        <f t="array" ref="CS35">IFERROR(INDEX(LCIA_Data,MATCH($AO$15&amp;CS$27,LCIA_Rows_B&amp;LCIA_Rows_C,0),MATCH(CS$26,LCIA_Columns,0)),0)*$AT35*$AJ35*$BN$23</f>
        <v>0</v>
      </c>
      <c r="CT35" s="1">
        <f t="array" ref="CT35">IFERROR(INDEX(LCIA_Data,MATCH($AO$15&amp;CT$27,LCIA_Rows_B&amp;LCIA_Rows_C,0),MATCH(CT$26,LCIA_Columns,0)),0)*$AT35*$AJ35*$BN$23</f>
        <v>0</v>
      </c>
      <c r="CU35" s="1">
        <f t="array" ref="CU35">IFERROR(INDEX(LCIA_Data,MATCH($AO$15&amp;CU$27,LCIA_Rows_B&amp;LCIA_Rows_C,0),MATCH(CU$26,LCIA_Columns,0)),0)*$AT35*$AJ35*$BN$23</f>
        <v>0</v>
      </c>
      <c r="CV35" s="1">
        <f t="array" ref="CV35">IFERROR(INDEX(LCIA_Data,MATCH($AO$15&amp;CV$27,LCIA_Rows_B&amp;LCIA_Rows_C,0),MATCH(CV$26,LCIA_Columns,0)),0)*$AT35*$AJ35*$BN$23</f>
        <v>0</v>
      </c>
      <c r="CW35" s="1">
        <f t="array" ref="CW35">IFERROR(INDEX(LCIA_Data,MATCH($AO$15&amp;CW$27,LCIA_Rows_B&amp;LCIA_Rows_C,0),MATCH(CW$26,LCIA_Columns,0)),0)*$AT35*$AJ35*$BN$23</f>
        <v>0</v>
      </c>
      <c r="CX35" s="1">
        <f t="array" ref="CX35">IFERROR(INDEX(LCIA_Data,MATCH($AO$15&amp;CX$27,LCIA_Rows_B&amp;LCIA_Rows_C,0),MATCH(CX$26,LCIA_Columns,0)),0)*$AT35*$AJ35*$BN$23</f>
        <v>0</v>
      </c>
      <c r="CY35" s="1">
        <f t="array" ref="CY35">IFERROR(INDEX(LCIA_Data,MATCH($AO$15&amp;CY$27,LCIA_Rows_B&amp;LCIA_Rows_C,0),MATCH(CY$26,LCIA_Columns,0)),0)*$AT35*$AJ35*$BN$23</f>
        <v>0</v>
      </c>
      <c r="CZ35" s="1">
        <f t="array" ref="CZ35">IFERROR(INDEX(LCIA_Data,MATCH($AO$15&amp;CZ$27,LCIA_Rows_B&amp;LCIA_Rows_C,0),MATCH(CZ$26,LCIA_Columns,0)),0)*$AT35*$AJ35*$BN$23</f>
        <v>0</v>
      </c>
      <c r="DA35" s="1">
        <f t="array" ref="DA35">IFERROR(INDEX(LCIA_Data,MATCH($AO$15&amp;DA$27,LCIA_Rows_B&amp;LCIA_Rows_C,0),MATCH(DA$26,LCIA_Columns,0)),0)*$AT35*$AK35*$BN$23</f>
        <v>0</v>
      </c>
      <c r="DB35" s="1">
        <f t="array" ref="DB35">IFERROR(INDEX(LCIA_Data,MATCH($AO$15&amp;DB$27,LCIA_Rows_B&amp;LCIA_Rows_C,0),MATCH(DB$26,LCIA_Columns,0)),0)*$AT35*$AK35*$BN$23</f>
        <v>0</v>
      </c>
      <c r="DC35" s="1">
        <f t="array" ref="DC35">IFERROR(INDEX(LCIA_Data,MATCH($AO$15&amp;DC$27,LCIA_Rows_B&amp;LCIA_Rows_C,0),MATCH(DC$26,LCIA_Columns,0)),0)*$AT35*$AK35*$BN$23</f>
        <v>0</v>
      </c>
      <c r="DD35" s="1">
        <f t="array" ref="DD35">IFERROR(INDEX(LCIA_Data,MATCH($AO$15&amp;DD$27,LCIA_Rows_B&amp;LCIA_Rows_C,0),MATCH(DD$26,LCIA_Columns,0)),0)*$AT35*$AK35*$BN$23</f>
        <v>0</v>
      </c>
      <c r="DE35" s="1">
        <f t="array" ref="DE35">IFERROR(INDEX(LCIA_Data,MATCH($AO$15&amp;DE$27,LCIA_Rows_B&amp;LCIA_Rows_C,0),MATCH(DE$26,LCIA_Columns,0)),0)*$AT35*$AK35*$BN$23</f>
        <v>0</v>
      </c>
      <c r="DF35" s="1">
        <f t="array" ref="DF35">IFERROR(INDEX(LCIA_Data,MATCH($AO$15&amp;DF$27,LCIA_Rows_B&amp;LCIA_Rows_C,0),MATCH(DF$26,LCIA_Columns,0)),0)*$AT35*$AK35*$BN$23</f>
        <v>0</v>
      </c>
      <c r="DG35" s="1">
        <f t="array" ref="DG35">IFERROR(INDEX(LCIA_Data,MATCH($AO$15&amp;DG$27,LCIA_Rows_B&amp;LCIA_Rows_C,0),MATCH(DG$26,LCIA_Columns,0)),0)*$AT35*$AK35*$BN$23</f>
        <v>0</v>
      </c>
      <c r="DH35" s="1">
        <f t="array" ref="DH35">IFERROR(INDEX(LCIA_Data,MATCH($AO$15&amp;DH$27,LCIA_Rows_B&amp;LCIA_Rows_C,0),MATCH(DH$26,LCIA_Columns,0)),0)*$AT35*$AK35*$BN$23</f>
        <v>0</v>
      </c>
      <c r="DI35" s="1">
        <f t="array" ref="DI35">IFERROR(INDEX(LCIA_Data,MATCH($AO$15&amp;DI$27,LCIA_Rows_B&amp;LCIA_Rows_C,0),MATCH(DI$26,LCIA_Columns,0)),0)*$AT35*$AK35*$BN$23</f>
        <v>0</v>
      </c>
      <c r="DJ35" s="1">
        <f t="array" ref="DJ35">IFERROR(INDEX(LCIA_Data,MATCH($AO$15&amp;DJ$27,LCIA_Rows_B&amp;LCIA_Rows_C,0),MATCH(DJ$26,LCIA_Columns,0)),0)*$AT35*$AK35*$BN$23</f>
        <v>0</v>
      </c>
      <c r="DK35" s="1">
        <f t="array" ref="DK35">IFERROR(INDEX(LCIA_Data,MATCH($AO$15&amp;DK$27,LCIA_Rows_B&amp;LCIA_Rows_C,0),MATCH(DK$26,LCIA_Columns,0)),0)*$AT35*$AK35*$BN$23</f>
        <v>0</v>
      </c>
      <c r="DL35" s="1">
        <f t="array" ref="DL35">IFERROR(INDEX(LCIA_Data,MATCH($AO$15&amp;DL$27,LCIA_Rows_B&amp;LCIA_Rows_C,0),MATCH(DL$26,LCIA_Columns,0)),0)*$AT35*$AK35*$BN$23</f>
        <v>0</v>
      </c>
      <c r="DM35" s="1">
        <f t="array" ref="DM35">IFERROR(INDEX(LCIA_Data,MATCH($AO$15&amp;DM$27,LCIA_Rows_B&amp;LCIA_Rows_C,0),MATCH(DM$26,LCIA_Columns,0)),0)*$AT35*$AK35*$BN$23</f>
        <v>0</v>
      </c>
      <c r="DN35" s="1">
        <f t="array" ref="DN35">IFERROR(INDEX(LCIA_Data,MATCH($AO$15&amp;DN$27,LCIA_Rows_B&amp;LCIA_Rows_C,0),MATCH(DN$26,LCIA_Columns,0)),0)*$AT35*$AK35*$BN$23</f>
        <v>0</v>
      </c>
      <c r="DO35">
        <f t="shared" si="20"/>
        <v>0</v>
      </c>
      <c r="DP35">
        <f t="shared" si="20"/>
        <v>0</v>
      </c>
      <c r="DQ35">
        <f t="shared" si="20"/>
        <v>0</v>
      </c>
      <c r="DR35">
        <f t="shared" si="20"/>
        <v>0</v>
      </c>
      <c r="DS35">
        <f t="shared" si="20"/>
        <v>0</v>
      </c>
      <c r="DT35">
        <f t="shared" si="20"/>
        <v>0</v>
      </c>
      <c r="DU35">
        <f t="shared" si="20"/>
        <v>0</v>
      </c>
      <c r="DV35">
        <f t="shared" si="20"/>
        <v>0</v>
      </c>
      <c r="DW35">
        <f t="shared" si="20"/>
        <v>0</v>
      </c>
      <c r="DX35">
        <f t="shared" si="20"/>
        <v>0</v>
      </c>
      <c r="DY35">
        <f t="shared" si="20"/>
        <v>0</v>
      </c>
      <c r="DZ35">
        <f t="shared" si="20"/>
        <v>0</v>
      </c>
      <c r="EA35">
        <f t="shared" si="20"/>
        <v>0</v>
      </c>
      <c r="EB35">
        <f t="shared" si="21"/>
        <v>0</v>
      </c>
      <c r="EC35"/>
      <c r="ED35"/>
      <c r="EE35"/>
      <c r="EF35"/>
      <c r="EG35"/>
    </row>
    <row r="36" spans="2:137" ht="15" customHeight="1">
      <c r="B36" s="53">
        <f t="shared" si="25"/>
        <v>0</v>
      </c>
      <c r="C36" s="26">
        <f t="shared" si="22"/>
        <v>7</v>
      </c>
      <c r="D36" s="41" t="str">
        <f>'Plant Inputs'!$D36</f>
        <v>Coarse Aggregate - crushed</v>
      </c>
      <c r="E36" s="99"/>
      <c r="F36" s="119" t="str">
        <f t="shared" si="6"/>
        <v>short ton</v>
      </c>
      <c r="G36" s="158">
        <f t="shared" si="26"/>
        <v>0</v>
      </c>
      <c r="H36" s="204" t="str">
        <f t="shared" si="7"/>
        <v>short ton</v>
      </c>
      <c r="I36" s="156">
        <f t="shared" si="8"/>
        <v>0</v>
      </c>
      <c r="J36"/>
      <c r="K36"/>
      <c r="L36"/>
      <c r="M36"/>
      <c r="N36"/>
      <c r="O36"/>
      <c r="P36"/>
      <c r="Q36"/>
      <c r="R36"/>
      <c r="S36"/>
      <c r="T36"/>
      <c r="X36" s="67">
        <f t="shared" si="27"/>
        <v>0</v>
      </c>
      <c r="Y36" s="216">
        <f>IF(AND($X36=1,'Plant Inputs'!$Y36=1),1,0)</f>
        <v>0</v>
      </c>
      <c r="Z36" s="216"/>
      <c r="AA36" s="216">
        <f>IF($Y36=0,0,IF('Plant Inputs'!J36="",0,'Plant Inputs'!J36))</f>
        <v>0</v>
      </c>
      <c r="AB36" s="216">
        <f>IF($Y36=0,0,IF('Plant Inputs'!K36="",0,'Plant Inputs'!K36))</f>
        <v>0</v>
      </c>
      <c r="AC36" s="216">
        <f>IF($Y36=0,0,IF('Plant Inputs'!L36="",0,'Plant Inputs'!L36))</f>
        <v>0</v>
      </c>
      <c r="AD36" s="216">
        <f>IF($Y36=0,0,IF('Plant Inputs'!M36="",0,'Plant Inputs'!M36))</f>
        <v>0</v>
      </c>
      <c r="AE36" s="217" t="str">
        <f>'Plant Inputs'!$O36</f>
        <v>mile</v>
      </c>
      <c r="AF36" s="217">
        <f t="shared" si="9"/>
        <v>1.6093473468862911</v>
      </c>
      <c r="AG36" s="216" t="str">
        <f t="shared" si="23"/>
        <v>km/mile</v>
      </c>
      <c r="AH36" s="216">
        <f t="shared" si="10"/>
        <v>0</v>
      </c>
      <c r="AI36" s="216">
        <f t="shared" si="10"/>
        <v>0</v>
      </c>
      <c r="AJ36" s="216">
        <f t="shared" si="10"/>
        <v>0</v>
      </c>
      <c r="AK36" s="216">
        <f t="shared" si="10"/>
        <v>0</v>
      </c>
      <c r="AL36" s="216"/>
      <c r="AM36" s="1" t="str">
        <f t="shared" si="11"/>
        <v>Coarse Aggregate - crushed</v>
      </c>
      <c r="AN36" t="s">
        <v>127</v>
      </c>
      <c r="AO36">
        <f t="shared" si="12"/>
        <v>0</v>
      </c>
      <c r="AP36" s="1">
        <f t="shared" si="24"/>
        <v>0</v>
      </c>
      <c r="AQ36" s="1" t="str">
        <f t="shared" si="13"/>
        <v>short ton</v>
      </c>
      <c r="AR36" s="1">
        <f t="shared" si="14"/>
        <v>0.90718499588591606</v>
      </c>
      <c r="AS36" s="87" t="str">
        <f t="shared" si="15"/>
        <v>tonne/short ton</v>
      </c>
      <c r="AT36" s="87">
        <f t="shared" si="16"/>
        <v>0</v>
      </c>
      <c r="AU36" s="87">
        <f t="shared" si="17"/>
        <v>0</v>
      </c>
      <c r="AV36" s="87">
        <f t="shared" si="18"/>
        <v>0</v>
      </c>
      <c r="AW36" t="str">
        <f t="shared" si="19"/>
        <v>Coarse Aggregate - crushed</v>
      </c>
      <c r="AX36" s="148">
        <f t="array" ref="AX36">IFERROR(INDEX(LCIA_Data,MATCH($AO$15&amp;AX$27,LCIA_Rows_B&amp;LCIA_Rows_C,0),MATCH($D36,LCIA_Columns,0)),0)*$AU36</f>
        <v>0</v>
      </c>
      <c r="AY36" s="148">
        <f t="array" ref="AY36">IFERROR(INDEX(LCIA_Data,MATCH($AO$15&amp;AY$27,LCIA_Rows_B&amp;LCIA_Rows_C,0),MATCH($D36,LCIA_Columns,0)),0)*$AU36</f>
        <v>0</v>
      </c>
      <c r="AZ36" s="148">
        <f t="array" ref="AZ36">IFERROR(INDEX(LCIA_Data,MATCH($AO$15&amp;AZ$27,LCIA_Rows_B&amp;LCIA_Rows_C,0),MATCH($D36,LCIA_Columns,0)),0)*$AU36</f>
        <v>0</v>
      </c>
      <c r="BA36" s="148">
        <f t="array" ref="BA36">IFERROR(INDEX(LCIA_Data,MATCH($AO$15&amp;BA$27,LCIA_Rows_B&amp;LCIA_Rows_C,0),MATCH($D36,LCIA_Columns,0)),0)*$AU36</f>
        <v>0</v>
      </c>
      <c r="BB36" s="148">
        <f t="array" ref="BB36">IFERROR(INDEX(LCIA_Data,MATCH($AO$15&amp;BB$27,LCIA_Rows_B&amp;LCIA_Rows_C,0),MATCH($D36,LCIA_Columns,0)),0)*$AU36</f>
        <v>0</v>
      </c>
      <c r="BC36" s="148">
        <f t="array" ref="BC36">IFERROR(INDEX(LCIA_Data,MATCH($AO$15&amp;BC$27,LCIA_Rows_B&amp;LCIA_Rows_C,0),MATCH($D36,LCIA_Columns,0)),0)*$AU36</f>
        <v>0</v>
      </c>
      <c r="BD36" s="148">
        <f t="array" ref="BD36">IFERROR(INDEX(LCIA_Data,MATCH($AO$15&amp;BD$27,LCIA_Rows_B&amp;LCIA_Rows_C,0),MATCH($D36,LCIA_Columns,0)),0)*$AU36</f>
        <v>0</v>
      </c>
      <c r="BE36" s="148">
        <f t="array" ref="BE36">IFERROR(INDEX(LCIA_Data,MATCH($AO$15&amp;BE$27,LCIA_Rows_B&amp;LCIA_Rows_C,0),MATCH($D36,LCIA_Columns,0)),0)*$AU36</f>
        <v>0</v>
      </c>
      <c r="BF36" s="148">
        <f t="array" ref="BF36">IFERROR(INDEX(LCIA_Data,MATCH($AO$15&amp;BF$27,LCIA_Rows_B&amp;LCIA_Rows_C,0),MATCH($D36,LCIA_Columns,0)),0)*$AU36</f>
        <v>0</v>
      </c>
      <c r="BG36" s="148">
        <f t="array" ref="BG36">IFERROR(INDEX(LCIA_Data,MATCH($AO$15&amp;BG$27,LCIA_Rows_B&amp;LCIA_Rows_C,0),MATCH($D36,LCIA_Columns,0)),0)*$AU36</f>
        <v>0</v>
      </c>
      <c r="BH36" s="148">
        <f t="array" ref="BH36">IFERROR(INDEX(LCIA_Data,MATCH($AO$15&amp;BH$27,LCIA_Rows_B&amp;LCIA_Rows_C,0),MATCH($D36,LCIA_Columns,0)),0)*$AU36</f>
        <v>0</v>
      </c>
      <c r="BI36" s="148">
        <f t="array" ref="BI36">IFERROR(INDEX(LCIA_Data,MATCH($AO$15&amp;BI$27,LCIA_Rows_B&amp;LCIA_Rows_C,0),MATCH($D36,LCIA_Columns,0)),0)*$AU36</f>
        <v>0</v>
      </c>
      <c r="BJ36" s="148">
        <f t="array" ref="BJ36">IFERROR(INDEX(LCIA_Data,MATCH($AO$15&amp;BJ$27,LCIA_Rows_B&amp;LCIA_Rows_C,0),MATCH($D36,LCIA_Columns,0)),0)*$AU36</f>
        <v>0</v>
      </c>
      <c r="BK36" s="148">
        <f t="array" ref="BK36">IFERROR(INDEX(LCIA_Data,MATCH($AO$15&amp;BK$27,LCIA_Rows_B&amp;LCIA_Rows_C,0),MATCH($D36,LCIA_Columns,0)),0)*$AU36</f>
        <v>0</v>
      </c>
      <c r="BM36" s="1">
        <f t="array" ref="BM36">IFERROR(INDEX(LCIA_Data,MATCH($AO$15&amp;BM$27,LCIA_Rows_B&amp;LCIA_Rows_C,0),MATCH(BM$26,LCIA_Columns,0)),0)*$AT36*$AH36*$BN$23</f>
        <v>0</v>
      </c>
      <c r="BN36" s="1">
        <f t="array" ref="BN36">IFERROR(INDEX(LCIA_Data,MATCH($AO$15&amp;BN$27,LCIA_Rows_B&amp;LCIA_Rows_C,0),MATCH(BN$26,LCIA_Columns,0)),0)*$AT36*$AH36*$BN$23</f>
        <v>0</v>
      </c>
      <c r="BO36" s="1">
        <f t="array" ref="BO36">IFERROR(INDEX(LCIA_Data,MATCH($AO$15&amp;BO$27,LCIA_Rows_B&amp;LCIA_Rows_C,0),MATCH(BO$26,LCIA_Columns,0)),0)*$AT36*$AH36*$BN$23</f>
        <v>0</v>
      </c>
      <c r="BP36" s="1">
        <f t="array" ref="BP36">IFERROR(INDEX(LCIA_Data,MATCH($AO$15&amp;BP$27,LCIA_Rows_B&amp;LCIA_Rows_C,0),MATCH(BP$26,LCIA_Columns,0)),0)*$AT36*$AH36*$BN$23</f>
        <v>0</v>
      </c>
      <c r="BQ36" s="1">
        <f t="array" ref="BQ36">IFERROR(INDEX(LCIA_Data,MATCH($AO$15&amp;BQ$27,LCIA_Rows_B&amp;LCIA_Rows_C,0),MATCH(BQ$26,LCIA_Columns,0)),0)*$AT36*$AH36*$BN$23</f>
        <v>0</v>
      </c>
      <c r="BR36" s="1">
        <f t="array" ref="BR36">IFERROR(INDEX(LCIA_Data,MATCH($AO$15&amp;BR$27,LCIA_Rows_B&amp;LCIA_Rows_C,0),MATCH(BR$26,LCIA_Columns,0)),0)*$AT36*$AH36*$BN$23</f>
        <v>0</v>
      </c>
      <c r="BS36" s="1">
        <f t="array" ref="BS36">IFERROR(INDEX(LCIA_Data,MATCH($AO$15&amp;BS$27,LCIA_Rows_B&amp;LCIA_Rows_C,0),MATCH(BS$26,LCIA_Columns,0)),0)*$AT36*$AH36*$BN$23</f>
        <v>0</v>
      </c>
      <c r="BT36" s="1">
        <f t="array" ref="BT36">IFERROR(INDEX(LCIA_Data,MATCH($AO$15&amp;BT$27,LCIA_Rows_B&amp;LCIA_Rows_C,0),MATCH(BT$26,LCIA_Columns,0)),0)*$AT36*$AH36*$BN$23</f>
        <v>0</v>
      </c>
      <c r="BU36" s="1">
        <f t="array" ref="BU36">IFERROR(INDEX(LCIA_Data,MATCH($AO$15&amp;BU$27,LCIA_Rows_B&amp;LCIA_Rows_C,0),MATCH(BU$26,LCIA_Columns,0)),0)*$AT36*$AH36*$BN$23</f>
        <v>0</v>
      </c>
      <c r="BV36" s="1">
        <f t="array" ref="BV36">IFERROR(INDEX(LCIA_Data,MATCH($AO$15&amp;BV$27,LCIA_Rows_B&amp;LCIA_Rows_C,0),MATCH(BV$26,LCIA_Columns,0)),0)*$AT36*$AH36*$BN$23</f>
        <v>0</v>
      </c>
      <c r="BW36" s="1">
        <f t="array" ref="BW36">IFERROR(INDEX(LCIA_Data,MATCH($AO$15&amp;BW$27,LCIA_Rows_B&amp;LCIA_Rows_C,0),MATCH(BW$26,LCIA_Columns,0)),0)*$AT36*$AH36*$BN$23</f>
        <v>0</v>
      </c>
      <c r="BX36" s="1">
        <f t="array" ref="BX36">IFERROR(INDEX(LCIA_Data,MATCH($AO$15&amp;BX$27,LCIA_Rows_B&amp;LCIA_Rows_C,0),MATCH(BX$26,LCIA_Columns,0)),0)*$AT36*$AH36*$BN$23</f>
        <v>0</v>
      </c>
      <c r="BY36" s="1">
        <f t="array" ref="BY36">IFERROR(INDEX(LCIA_Data,MATCH($AO$15&amp;BY$27,LCIA_Rows_B&amp;LCIA_Rows_C,0),MATCH(BY$26,LCIA_Columns,0)),0)*$AT36*$AH36*$BN$23</f>
        <v>0</v>
      </c>
      <c r="BZ36" s="1">
        <f t="array" ref="BZ36">IFERROR(INDEX(LCIA_Data,MATCH($AO$15&amp;BZ$27,LCIA_Rows_B&amp;LCIA_Rows_C,0),MATCH(BZ$26,LCIA_Columns,0)),0)*$AT36*$AH36*$BN$23</f>
        <v>0</v>
      </c>
      <c r="CA36" s="1">
        <f t="array" ref="CA36">IFERROR(INDEX(LCIA_Data,MATCH($AO$15&amp;CA$27,LCIA_Rows_B&amp;LCIA_Rows_C,0),MATCH(CA$26,LCIA_Columns,0)),0)*$AT36*$AI36*$BN$23</f>
        <v>0</v>
      </c>
      <c r="CB36" s="1">
        <f t="array" ref="CB36">IFERROR(INDEX(LCIA_Data,MATCH($AO$15&amp;CB$27,LCIA_Rows_B&amp;LCIA_Rows_C,0),MATCH(CB$26,LCIA_Columns,0)),0)*$AT36*$AI36*$BN$23</f>
        <v>0</v>
      </c>
      <c r="CC36" s="1">
        <f t="array" ref="CC36">IFERROR(INDEX(LCIA_Data,MATCH($AO$15&amp;CC$27,LCIA_Rows_B&amp;LCIA_Rows_C,0),MATCH(CC$26,LCIA_Columns,0)),0)*$AT36*$AI36*$BN$23</f>
        <v>0</v>
      </c>
      <c r="CD36" s="1">
        <f t="array" ref="CD36">IFERROR(INDEX(LCIA_Data,MATCH($AO$15&amp;CD$27,LCIA_Rows_B&amp;LCIA_Rows_C,0),MATCH(CD$26,LCIA_Columns,0)),0)*$AT36*$AI36*$BN$23</f>
        <v>0</v>
      </c>
      <c r="CE36" s="1">
        <f t="array" ref="CE36">IFERROR(INDEX(LCIA_Data,MATCH($AO$15&amp;CE$27,LCIA_Rows_B&amp;LCIA_Rows_C,0),MATCH(CE$26,LCIA_Columns,0)),0)*$AT36*$AI36*$BN$23</f>
        <v>0</v>
      </c>
      <c r="CF36" s="1">
        <f t="array" ref="CF36">IFERROR(INDEX(LCIA_Data,MATCH($AO$15&amp;CF$27,LCIA_Rows_B&amp;LCIA_Rows_C,0),MATCH(CF$26,LCIA_Columns,0)),0)*$AT36*$AI36*$BN$23</f>
        <v>0</v>
      </c>
      <c r="CG36" s="1">
        <f t="array" ref="CG36">IFERROR(INDEX(LCIA_Data,MATCH($AO$15&amp;CG$27,LCIA_Rows_B&amp;LCIA_Rows_C,0),MATCH(CG$26,LCIA_Columns,0)),0)*$AT36*$AI36*$BN$23</f>
        <v>0</v>
      </c>
      <c r="CH36" s="1">
        <f t="array" ref="CH36">IFERROR(INDEX(LCIA_Data,MATCH($AO$15&amp;CH$27,LCIA_Rows_B&amp;LCIA_Rows_C,0),MATCH(CH$26,LCIA_Columns,0)),0)*$AT36*$AI36*$BN$23</f>
        <v>0</v>
      </c>
      <c r="CI36" s="1">
        <f t="array" ref="CI36">IFERROR(INDEX(LCIA_Data,MATCH($AO$15&amp;CI$27,LCIA_Rows_B&amp;LCIA_Rows_C,0),MATCH(CI$26,LCIA_Columns,0)),0)*$AT36*$AI36*$BN$23</f>
        <v>0</v>
      </c>
      <c r="CJ36" s="1">
        <f t="array" ref="CJ36">IFERROR(INDEX(LCIA_Data,MATCH($AO$15&amp;CJ$27,LCIA_Rows_B&amp;LCIA_Rows_C,0),MATCH(CJ$26,LCIA_Columns,0)),0)*$AT36*$AI36*$BN$23</f>
        <v>0</v>
      </c>
      <c r="CK36" s="1">
        <f t="array" ref="CK36">IFERROR(INDEX(LCIA_Data,MATCH($AO$15&amp;CK$27,LCIA_Rows_B&amp;LCIA_Rows_C,0),MATCH(CK$26,LCIA_Columns,0)),0)*$AT36*$AI36*$BN$23</f>
        <v>0</v>
      </c>
      <c r="CL36" s="1">
        <f t="array" ref="CL36">IFERROR(INDEX(LCIA_Data,MATCH($AO$15&amp;CL$27,LCIA_Rows_B&amp;LCIA_Rows_C,0),MATCH(CL$26,LCIA_Columns,0)),0)*$AT36*$AI36*$BN$23</f>
        <v>0</v>
      </c>
      <c r="CM36" s="1">
        <f t="array" ref="CM36">IFERROR(INDEX(LCIA_Data,MATCH($AO$15&amp;CM$27,LCIA_Rows_B&amp;LCIA_Rows_C,0),MATCH(CM$26,LCIA_Columns,0)),0)*$AT36*$AJ36*$BN$23</f>
        <v>0</v>
      </c>
      <c r="CN36" s="1">
        <f t="array" ref="CN36">IFERROR(INDEX(LCIA_Data,MATCH($AO$15&amp;CN$27,LCIA_Rows_B&amp;LCIA_Rows_C,0),MATCH(CN$26,LCIA_Columns,0)),0)*$AT36*$AJ36*$BN$23</f>
        <v>0</v>
      </c>
      <c r="CO36" s="1">
        <f t="array" ref="CO36">IFERROR(INDEX(LCIA_Data,MATCH($AO$15&amp;CO$27,LCIA_Rows_B&amp;LCIA_Rows_C,0),MATCH(CO$26,LCIA_Columns,0)),0)*$AT36*$AJ36*$BN$23</f>
        <v>0</v>
      </c>
      <c r="CP36" s="1">
        <f t="array" ref="CP36">IFERROR(INDEX(LCIA_Data,MATCH($AO$15&amp;CP$27,LCIA_Rows_B&amp;LCIA_Rows_C,0),MATCH(CP$26,LCIA_Columns,0)),0)*$AT36*$AJ36*$BN$23</f>
        <v>0</v>
      </c>
      <c r="CQ36" s="1">
        <f t="array" ref="CQ36">IFERROR(INDEX(LCIA_Data,MATCH($AO$15&amp;CQ$27,LCIA_Rows_B&amp;LCIA_Rows_C,0),MATCH(CQ$26,LCIA_Columns,0)),0)*$AT36*$AJ36*$BN$23</f>
        <v>0</v>
      </c>
      <c r="CR36" s="1">
        <f t="array" ref="CR36">IFERROR(INDEX(LCIA_Data,MATCH($AO$15&amp;CR$27,LCIA_Rows_B&amp;LCIA_Rows_C,0),MATCH(CR$26,LCIA_Columns,0)),0)*$AT36*$AJ36*$BN$23</f>
        <v>0</v>
      </c>
      <c r="CS36" s="1">
        <f t="array" ref="CS36">IFERROR(INDEX(LCIA_Data,MATCH($AO$15&amp;CS$27,LCIA_Rows_B&amp;LCIA_Rows_C,0),MATCH(CS$26,LCIA_Columns,0)),0)*$AT36*$AJ36*$BN$23</f>
        <v>0</v>
      </c>
      <c r="CT36" s="1">
        <f t="array" ref="CT36">IFERROR(INDEX(LCIA_Data,MATCH($AO$15&amp;CT$27,LCIA_Rows_B&amp;LCIA_Rows_C,0),MATCH(CT$26,LCIA_Columns,0)),0)*$AT36*$AJ36*$BN$23</f>
        <v>0</v>
      </c>
      <c r="CU36" s="1">
        <f t="array" ref="CU36">IFERROR(INDEX(LCIA_Data,MATCH($AO$15&amp;CU$27,LCIA_Rows_B&amp;LCIA_Rows_C,0),MATCH(CU$26,LCIA_Columns,0)),0)*$AT36*$AJ36*$BN$23</f>
        <v>0</v>
      </c>
      <c r="CV36" s="1">
        <f t="array" ref="CV36">IFERROR(INDEX(LCIA_Data,MATCH($AO$15&amp;CV$27,LCIA_Rows_B&amp;LCIA_Rows_C,0),MATCH(CV$26,LCIA_Columns,0)),0)*$AT36*$AJ36*$BN$23</f>
        <v>0</v>
      </c>
      <c r="CW36" s="1">
        <f t="array" ref="CW36">IFERROR(INDEX(LCIA_Data,MATCH($AO$15&amp;CW$27,LCIA_Rows_B&amp;LCIA_Rows_C,0),MATCH(CW$26,LCIA_Columns,0)),0)*$AT36*$AJ36*$BN$23</f>
        <v>0</v>
      </c>
      <c r="CX36" s="1">
        <f t="array" ref="CX36">IFERROR(INDEX(LCIA_Data,MATCH($AO$15&amp;CX$27,LCIA_Rows_B&amp;LCIA_Rows_C,0),MATCH(CX$26,LCIA_Columns,0)),0)*$AT36*$AJ36*$BN$23</f>
        <v>0</v>
      </c>
      <c r="CY36" s="1">
        <f t="array" ref="CY36">IFERROR(INDEX(LCIA_Data,MATCH($AO$15&amp;CY$27,LCIA_Rows_B&amp;LCIA_Rows_C,0),MATCH(CY$26,LCIA_Columns,0)),0)*$AT36*$AJ36*$BN$23</f>
        <v>0</v>
      </c>
      <c r="CZ36" s="1">
        <f t="array" ref="CZ36">IFERROR(INDEX(LCIA_Data,MATCH($AO$15&amp;CZ$27,LCIA_Rows_B&amp;LCIA_Rows_C,0),MATCH(CZ$26,LCIA_Columns,0)),0)*$AT36*$AJ36*$BN$23</f>
        <v>0</v>
      </c>
      <c r="DA36" s="1">
        <f t="array" ref="DA36">IFERROR(INDEX(LCIA_Data,MATCH($AO$15&amp;DA$27,LCIA_Rows_B&amp;LCIA_Rows_C,0),MATCH(DA$26,LCIA_Columns,0)),0)*$AT36*$AK36*$BN$23</f>
        <v>0</v>
      </c>
      <c r="DB36" s="1">
        <f t="array" ref="DB36">IFERROR(INDEX(LCIA_Data,MATCH($AO$15&amp;DB$27,LCIA_Rows_B&amp;LCIA_Rows_C,0),MATCH(DB$26,LCIA_Columns,0)),0)*$AT36*$AK36*$BN$23</f>
        <v>0</v>
      </c>
      <c r="DC36" s="1">
        <f t="array" ref="DC36">IFERROR(INDEX(LCIA_Data,MATCH($AO$15&amp;DC$27,LCIA_Rows_B&amp;LCIA_Rows_C,0),MATCH(DC$26,LCIA_Columns,0)),0)*$AT36*$AK36*$BN$23</f>
        <v>0</v>
      </c>
      <c r="DD36" s="1">
        <f t="array" ref="DD36">IFERROR(INDEX(LCIA_Data,MATCH($AO$15&amp;DD$27,LCIA_Rows_B&amp;LCIA_Rows_C,0),MATCH(DD$26,LCIA_Columns,0)),0)*$AT36*$AK36*$BN$23</f>
        <v>0</v>
      </c>
      <c r="DE36" s="1">
        <f t="array" ref="DE36">IFERROR(INDEX(LCIA_Data,MATCH($AO$15&amp;DE$27,LCIA_Rows_B&amp;LCIA_Rows_C,0),MATCH(DE$26,LCIA_Columns,0)),0)*$AT36*$AK36*$BN$23</f>
        <v>0</v>
      </c>
      <c r="DF36" s="1">
        <f t="array" ref="DF36">IFERROR(INDEX(LCIA_Data,MATCH($AO$15&amp;DF$27,LCIA_Rows_B&amp;LCIA_Rows_C,0),MATCH(DF$26,LCIA_Columns,0)),0)*$AT36*$AK36*$BN$23</f>
        <v>0</v>
      </c>
      <c r="DG36" s="1">
        <f t="array" ref="DG36">IFERROR(INDEX(LCIA_Data,MATCH($AO$15&amp;DG$27,LCIA_Rows_B&amp;LCIA_Rows_C,0),MATCH(DG$26,LCIA_Columns,0)),0)*$AT36*$AK36*$BN$23</f>
        <v>0</v>
      </c>
      <c r="DH36" s="1">
        <f t="array" ref="DH36">IFERROR(INDEX(LCIA_Data,MATCH($AO$15&amp;DH$27,LCIA_Rows_B&amp;LCIA_Rows_C,0),MATCH(DH$26,LCIA_Columns,0)),0)*$AT36*$AK36*$BN$23</f>
        <v>0</v>
      </c>
      <c r="DI36" s="1">
        <f t="array" ref="DI36">IFERROR(INDEX(LCIA_Data,MATCH($AO$15&amp;DI$27,LCIA_Rows_B&amp;LCIA_Rows_C,0),MATCH(DI$26,LCIA_Columns,0)),0)*$AT36*$AK36*$BN$23</f>
        <v>0</v>
      </c>
      <c r="DJ36" s="1">
        <f t="array" ref="DJ36">IFERROR(INDEX(LCIA_Data,MATCH($AO$15&amp;DJ$27,LCIA_Rows_B&amp;LCIA_Rows_C,0),MATCH(DJ$26,LCIA_Columns,0)),0)*$AT36*$AK36*$BN$23</f>
        <v>0</v>
      </c>
      <c r="DK36" s="1">
        <f t="array" ref="DK36">IFERROR(INDEX(LCIA_Data,MATCH($AO$15&amp;DK$27,LCIA_Rows_B&amp;LCIA_Rows_C,0),MATCH(DK$26,LCIA_Columns,0)),0)*$AT36*$AK36*$BN$23</f>
        <v>0</v>
      </c>
      <c r="DL36" s="1">
        <f t="array" ref="DL36">IFERROR(INDEX(LCIA_Data,MATCH($AO$15&amp;DL$27,LCIA_Rows_B&amp;LCIA_Rows_C,0),MATCH(DL$26,LCIA_Columns,0)),0)*$AT36*$AK36*$BN$23</f>
        <v>0</v>
      </c>
      <c r="DM36" s="1">
        <f t="array" ref="DM36">IFERROR(INDEX(LCIA_Data,MATCH($AO$15&amp;DM$27,LCIA_Rows_B&amp;LCIA_Rows_C,0),MATCH(DM$26,LCIA_Columns,0)),0)*$AT36*$AK36*$BN$23</f>
        <v>0</v>
      </c>
      <c r="DN36" s="1">
        <f t="array" ref="DN36">IFERROR(INDEX(LCIA_Data,MATCH($AO$15&amp;DN$27,LCIA_Rows_B&amp;LCIA_Rows_C,0),MATCH(DN$26,LCIA_Columns,0)),0)*$AT36*$AK36*$BN$23</f>
        <v>0</v>
      </c>
      <c r="DO36">
        <f t="shared" si="20"/>
        <v>0</v>
      </c>
      <c r="DP36">
        <f t="shared" si="20"/>
        <v>0</v>
      </c>
      <c r="DQ36">
        <f t="shared" si="20"/>
        <v>0</v>
      </c>
      <c r="DR36">
        <f t="shared" si="20"/>
        <v>0</v>
      </c>
      <c r="DS36">
        <f t="shared" si="20"/>
        <v>0</v>
      </c>
      <c r="DT36">
        <f t="shared" si="20"/>
        <v>0</v>
      </c>
      <c r="DU36">
        <f t="shared" si="20"/>
        <v>0</v>
      </c>
      <c r="DV36">
        <f t="shared" si="20"/>
        <v>0</v>
      </c>
      <c r="DW36">
        <f t="shared" si="20"/>
        <v>0</v>
      </c>
      <c r="DX36">
        <f t="shared" si="20"/>
        <v>0</v>
      </c>
      <c r="DY36">
        <f t="shared" si="20"/>
        <v>0</v>
      </c>
      <c r="DZ36">
        <f t="shared" si="20"/>
        <v>0</v>
      </c>
      <c r="EA36">
        <f t="shared" si="20"/>
        <v>0</v>
      </c>
      <c r="EB36">
        <f t="shared" si="21"/>
        <v>0</v>
      </c>
      <c r="EC36"/>
      <c r="ED36"/>
      <c r="EE36"/>
      <c r="EF36"/>
      <c r="EG36"/>
    </row>
    <row r="37" spans="2:137" ht="15" customHeight="1">
      <c r="B37" s="53">
        <f t="shared" si="25"/>
        <v>0</v>
      </c>
      <c r="C37" s="26">
        <f t="shared" si="22"/>
        <v>8</v>
      </c>
      <c r="D37" s="41" t="str">
        <f>'Plant Inputs'!$D37</f>
        <v>Manufactured Lightweight Aggregate</v>
      </c>
      <c r="E37" s="99"/>
      <c r="F37" s="119" t="str">
        <f t="shared" si="6"/>
        <v>short ton</v>
      </c>
      <c r="G37" s="158">
        <f t="shared" si="26"/>
        <v>0</v>
      </c>
      <c r="H37" s="204" t="str">
        <f t="shared" si="7"/>
        <v>short ton</v>
      </c>
      <c r="I37" s="156">
        <f t="shared" si="8"/>
        <v>0</v>
      </c>
      <c r="J37"/>
      <c r="K37"/>
      <c r="L37"/>
      <c r="M37"/>
      <c r="N37"/>
      <c r="O37"/>
      <c r="P37"/>
      <c r="Q37"/>
      <c r="R37"/>
      <c r="S37"/>
      <c r="T37"/>
      <c r="X37" s="67">
        <f t="shared" si="27"/>
        <v>0</v>
      </c>
      <c r="Y37" s="216">
        <f>IF(AND($X37=1,'Plant Inputs'!$Y37=1),1,0)</f>
        <v>0</v>
      </c>
      <c r="Z37" s="216"/>
      <c r="AA37" s="216">
        <f>IF($Y37=0,0,IF('Plant Inputs'!J37="",0,'Plant Inputs'!J37))</f>
        <v>0</v>
      </c>
      <c r="AB37" s="216">
        <f>IF($Y37=0,0,IF('Plant Inputs'!K37="",0,'Plant Inputs'!K37))</f>
        <v>0</v>
      </c>
      <c r="AC37" s="216">
        <f>IF($Y37=0,0,IF('Plant Inputs'!L37="",0,'Plant Inputs'!L37))</f>
        <v>0</v>
      </c>
      <c r="AD37" s="216">
        <f>IF($Y37=0,0,IF('Plant Inputs'!M37="",0,'Plant Inputs'!M37))</f>
        <v>0</v>
      </c>
      <c r="AE37" s="217" t="str">
        <f>'Plant Inputs'!$O37</f>
        <v>mile</v>
      </c>
      <c r="AF37" s="217">
        <f t="shared" si="9"/>
        <v>1.6093473468862911</v>
      </c>
      <c r="AG37" s="216" t="str">
        <f t="shared" si="23"/>
        <v>km/mile</v>
      </c>
      <c r="AH37" s="216">
        <f t="shared" si="10"/>
        <v>0</v>
      </c>
      <c r="AI37" s="216">
        <f t="shared" si="10"/>
        <v>0</v>
      </c>
      <c r="AJ37" s="216">
        <f t="shared" si="10"/>
        <v>0</v>
      </c>
      <c r="AK37" s="216">
        <f t="shared" si="10"/>
        <v>0</v>
      </c>
      <c r="AL37" s="216"/>
      <c r="AM37" s="1" t="str">
        <f t="shared" si="11"/>
        <v>Manufactured Lightweight Aggregate</v>
      </c>
      <c r="AN37" t="s">
        <v>127</v>
      </c>
      <c r="AO37">
        <f t="shared" si="12"/>
        <v>0</v>
      </c>
      <c r="AP37" s="1">
        <f t="shared" si="24"/>
        <v>0</v>
      </c>
      <c r="AQ37" s="1" t="str">
        <f t="shared" si="13"/>
        <v>short ton</v>
      </c>
      <c r="AR37" s="1">
        <f t="shared" si="14"/>
        <v>0.90718499588591606</v>
      </c>
      <c r="AS37" s="87" t="str">
        <f t="shared" si="15"/>
        <v>tonne/short ton</v>
      </c>
      <c r="AT37" s="87">
        <f t="shared" si="16"/>
        <v>0</v>
      </c>
      <c r="AU37" s="87">
        <f t="shared" si="17"/>
        <v>0</v>
      </c>
      <c r="AV37" s="87">
        <f t="shared" si="18"/>
        <v>0</v>
      </c>
      <c r="AW37" t="str">
        <f t="shared" si="19"/>
        <v>Manufactured Lightweight Aggregate</v>
      </c>
      <c r="AX37" s="148">
        <f t="array" ref="AX37">IFERROR(INDEX(LCIA_Data,MATCH($AO$15&amp;AX$27,LCIA_Rows_B&amp;LCIA_Rows_C,0),MATCH($D37,LCIA_Columns,0)),0)*$AU37</f>
        <v>0</v>
      </c>
      <c r="AY37" s="148">
        <f t="array" ref="AY37">IFERROR(INDEX(LCIA_Data,MATCH($AO$15&amp;AY$27,LCIA_Rows_B&amp;LCIA_Rows_C,0),MATCH($D37,LCIA_Columns,0)),0)*$AU37</f>
        <v>0</v>
      </c>
      <c r="AZ37" s="148">
        <f t="array" ref="AZ37">IFERROR(INDEX(LCIA_Data,MATCH($AO$15&amp;AZ$27,LCIA_Rows_B&amp;LCIA_Rows_C,0),MATCH($D37,LCIA_Columns,0)),0)*$AU37</f>
        <v>0</v>
      </c>
      <c r="BA37" s="148">
        <f t="array" ref="BA37">IFERROR(INDEX(LCIA_Data,MATCH($AO$15&amp;BA$27,LCIA_Rows_B&amp;LCIA_Rows_C,0),MATCH($D37,LCIA_Columns,0)),0)*$AU37</f>
        <v>0</v>
      </c>
      <c r="BB37" s="148">
        <f t="array" ref="BB37">IFERROR(INDEX(LCIA_Data,MATCH($AO$15&amp;BB$27,LCIA_Rows_B&amp;LCIA_Rows_C,0),MATCH($D37,LCIA_Columns,0)),0)*$AU37</f>
        <v>0</v>
      </c>
      <c r="BC37" s="148">
        <f t="array" ref="BC37">IFERROR(INDEX(LCIA_Data,MATCH($AO$15&amp;BC$27,LCIA_Rows_B&amp;LCIA_Rows_C,0),MATCH($D37,LCIA_Columns,0)),0)*$AU37</f>
        <v>0</v>
      </c>
      <c r="BD37" s="148">
        <f t="array" ref="BD37">IFERROR(INDEX(LCIA_Data,MATCH($AO$15&amp;BD$27,LCIA_Rows_B&amp;LCIA_Rows_C,0),MATCH($D37,LCIA_Columns,0)),0)*$AU37</f>
        <v>0</v>
      </c>
      <c r="BE37" s="148">
        <f t="array" ref="BE37">IFERROR(INDEX(LCIA_Data,MATCH($AO$15&amp;BE$27,LCIA_Rows_B&amp;LCIA_Rows_C,0),MATCH($D37,LCIA_Columns,0)),0)*$AU37</f>
        <v>0</v>
      </c>
      <c r="BF37" s="148">
        <f t="array" ref="BF37">IFERROR(INDEX(LCIA_Data,MATCH($AO$15&amp;BF$27,LCIA_Rows_B&amp;LCIA_Rows_C,0),MATCH($D37,LCIA_Columns,0)),0)*$AU37</f>
        <v>0</v>
      </c>
      <c r="BG37" s="148">
        <f t="array" ref="BG37">IFERROR(INDEX(LCIA_Data,MATCH($AO$15&amp;BG$27,LCIA_Rows_B&amp;LCIA_Rows_C,0),MATCH($D37,LCIA_Columns,0)),0)*$AU37</f>
        <v>0</v>
      </c>
      <c r="BH37" s="148">
        <f t="array" ref="BH37">IFERROR(INDEX(LCIA_Data,MATCH($AO$15&amp;BH$27,LCIA_Rows_B&amp;LCIA_Rows_C,0),MATCH($D37,LCIA_Columns,0)),0)*$AU37</f>
        <v>0</v>
      </c>
      <c r="BI37" s="148">
        <f t="array" ref="BI37">IFERROR(INDEX(LCIA_Data,MATCH($AO$15&amp;BI$27,LCIA_Rows_B&amp;LCIA_Rows_C,0),MATCH($D37,LCIA_Columns,0)),0)*$AU37</f>
        <v>0</v>
      </c>
      <c r="BJ37" s="148">
        <f t="array" ref="BJ37">IFERROR(INDEX(LCIA_Data,MATCH($AO$15&amp;BJ$27,LCIA_Rows_B&amp;LCIA_Rows_C,0),MATCH($D37,LCIA_Columns,0)),0)*$AU37</f>
        <v>0</v>
      </c>
      <c r="BK37" s="148">
        <f t="array" ref="BK37">IFERROR(INDEX(LCIA_Data,MATCH($AO$15&amp;BK$27,LCIA_Rows_B&amp;LCIA_Rows_C,0),MATCH($D37,LCIA_Columns,0)),0)*$AU37</f>
        <v>0</v>
      </c>
      <c r="BM37" s="1">
        <f t="array" ref="BM37">IFERROR(INDEX(LCIA_Data,MATCH($AO$15&amp;BM$27,LCIA_Rows_B&amp;LCIA_Rows_C,0),MATCH(BM$26,LCIA_Columns,0)),0)*$AT37*$AH37*$BN$23</f>
        <v>0</v>
      </c>
      <c r="BN37" s="1">
        <f t="array" ref="BN37">IFERROR(INDEX(LCIA_Data,MATCH($AO$15&amp;BN$27,LCIA_Rows_B&amp;LCIA_Rows_C,0),MATCH(BN$26,LCIA_Columns,0)),0)*$AT37*$AH37*$BN$23</f>
        <v>0</v>
      </c>
      <c r="BO37" s="1">
        <f t="array" ref="BO37">IFERROR(INDEX(LCIA_Data,MATCH($AO$15&amp;BO$27,LCIA_Rows_B&amp;LCIA_Rows_C,0),MATCH(BO$26,LCIA_Columns,0)),0)*$AT37*$AH37*$BN$23</f>
        <v>0</v>
      </c>
      <c r="BP37" s="1">
        <f t="array" ref="BP37">IFERROR(INDEX(LCIA_Data,MATCH($AO$15&amp;BP$27,LCIA_Rows_B&amp;LCIA_Rows_C,0),MATCH(BP$26,LCIA_Columns,0)),0)*$AT37*$AH37*$BN$23</f>
        <v>0</v>
      </c>
      <c r="BQ37" s="1">
        <f t="array" ref="BQ37">IFERROR(INDEX(LCIA_Data,MATCH($AO$15&amp;BQ$27,LCIA_Rows_B&amp;LCIA_Rows_C,0),MATCH(BQ$26,LCIA_Columns,0)),0)*$AT37*$AH37*$BN$23</f>
        <v>0</v>
      </c>
      <c r="BR37" s="1">
        <f t="array" ref="BR37">IFERROR(INDEX(LCIA_Data,MATCH($AO$15&amp;BR$27,LCIA_Rows_B&amp;LCIA_Rows_C,0),MATCH(BR$26,LCIA_Columns,0)),0)*$AT37*$AH37*$BN$23</f>
        <v>0</v>
      </c>
      <c r="BS37" s="1">
        <f t="array" ref="BS37">IFERROR(INDEX(LCIA_Data,MATCH($AO$15&amp;BS$27,LCIA_Rows_B&amp;LCIA_Rows_C,0),MATCH(BS$26,LCIA_Columns,0)),0)*$AT37*$AH37*$BN$23</f>
        <v>0</v>
      </c>
      <c r="BT37" s="1">
        <f t="array" ref="BT37">IFERROR(INDEX(LCIA_Data,MATCH($AO$15&amp;BT$27,LCIA_Rows_B&amp;LCIA_Rows_C,0),MATCH(BT$26,LCIA_Columns,0)),0)*$AT37*$AH37*$BN$23</f>
        <v>0</v>
      </c>
      <c r="BU37" s="1">
        <f t="array" ref="BU37">IFERROR(INDEX(LCIA_Data,MATCH($AO$15&amp;BU$27,LCIA_Rows_B&amp;LCIA_Rows_C,0),MATCH(BU$26,LCIA_Columns,0)),0)*$AT37*$AH37*$BN$23</f>
        <v>0</v>
      </c>
      <c r="BV37" s="1">
        <f t="array" ref="BV37">IFERROR(INDEX(LCIA_Data,MATCH($AO$15&amp;BV$27,LCIA_Rows_B&amp;LCIA_Rows_C,0),MATCH(BV$26,LCIA_Columns,0)),0)*$AT37*$AH37*$BN$23</f>
        <v>0</v>
      </c>
      <c r="BW37" s="1">
        <f t="array" ref="BW37">IFERROR(INDEX(LCIA_Data,MATCH($AO$15&amp;BW$27,LCIA_Rows_B&amp;LCIA_Rows_C,0),MATCH(BW$26,LCIA_Columns,0)),0)*$AT37*$AH37*$BN$23</f>
        <v>0</v>
      </c>
      <c r="BX37" s="1">
        <f t="array" ref="BX37">IFERROR(INDEX(LCIA_Data,MATCH($AO$15&amp;BX$27,LCIA_Rows_B&amp;LCIA_Rows_C,0),MATCH(BX$26,LCIA_Columns,0)),0)*$AT37*$AH37*$BN$23</f>
        <v>0</v>
      </c>
      <c r="BY37" s="1">
        <f t="array" ref="BY37">IFERROR(INDEX(LCIA_Data,MATCH($AO$15&amp;BY$27,LCIA_Rows_B&amp;LCIA_Rows_C,0),MATCH(BY$26,LCIA_Columns,0)),0)*$AT37*$AH37*$BN$23</f>
        <v>0</v>
      </c>
      <c r="BZ37" s="1">
        <f t="array" ref="BZ37">IFERROR(INDEX(LCIA_Data,MATCH($AO$15&amp;BZ$27,LCIA_Rows_B&amp;LCIA_Rows_C,0),MATCH(BZ$26,LCIA_Columns,0)),0)*$AT37*$AH37*$BN$23</f>
        <v>0</v>
      </c>
      <c r="CA37" s="1">
        <f t="array" ref="CA37">IFERROR(INDEX(LCIA_Data,MATCH($AO$15&amp;CA$27,LCIA_Rows_B&amp;LCIA_Rows_C,0),MATCH(CA$26,LCIA_Columns,0)),0)*$AT37*$AI37*$BN$23</f>
        <v>0</v>
      </c>
      <c r="CB37" s="1">
        <f t="array" ref="CB37">IFERROR(INDEX(LCIA_Data,MATCH($AO$15&amp;CB$27,LCIA_Rows_B&amp;LCIA_Rows_C,0),MATCH(CB$26,LCIA_Columns,0)),0)*$AT37*$AI37*$BN$23</f>
        <v>0</v>
      </c>
      <c r="CC37" s="1">
        <f t="array" ref="CC37">IFERROR(INDEX(LCIA_Data,MATCH($AO$15&amp;CC$27,LCIA_Rows_B&amp;LCIA_Rows_C,0),MATCH(CC$26,LCIA_Columns,0)),0)*$AT37*$AI37*$BN$23</f>
        <v>0</v>
      </c>
      <c r="CD37" s="1">
        <f t="array" ref="CD37">IFERROR(INDEX(LCIA_Data,MATCH($AO$15&amp;CD$27,LCIA_Rows_B&amp;LCIA_Rows_C,0),MATCH(CD$26,LCIA_Columns,0)),0)*$AT37*$AI37*$BN$23</f>
        <v>0</v>
      </c>
      <c r="CE37" s="1">
        <f t="array" ref="CE37">IFERROR(INDEX(LCIA_Data,MATCH($AO$15&amp;CE$27,LCIA_Rows_B&amp;LCIA_Rows_C,0),MATCH(CE$26,LCIA_Columns,0)),0)*$AT37*$AI37*$BN$23</f>
        <v>0</v>
      </c>
      <c r="CF37" s="1">
        <f t="array" ref="CF37">IFERROR(INDEX(LCIA_Data,MATCH($AO$15&amp;CF$27,LCIA_Rows_B&amp;LCIA_Rows_C,0),MATCH(CF$26,LCIA_Columns,0)),0)*$AT37*$AI37*$BN$23</f>
        <v>0</v>
      </c>
      <c r="CG37" s="1">
        <f t="array" ref="CG37">IFERROR(INDEX(LCIA_Data,MATCH($AO$15&amp;CG$27,LCIA_Rows_B&amp;LCIA_Rows_C,0),MATCH(CG$26,LCIA_Columns,0)),0)*$AT37*$AI37*$BN$23</f>
        <v>0</v>
      </c>
      <c r="CH37" s="1">
        <f t="array" ref="CH37">IFERROR(INDEX(LCIA_Data,MATCH($AO$15&amp;CH$27,LCIA_Rows_B&amp;LCIA_Rows_C,0),MATCH(CH$26,LCIA_Columns,0)),0)*$AT37*$AI37*$BN$23</f>
        <v>0</v>
      </c>
      <c r="CI37" s="1">
        <f t="array" ref="CI37">IFERROR(INDEX(LCIA_Data,MATCH($AO$15&amp;CI$27,LCIA_Rows_B&amp;LCIA_Rows_C,0),MATCH(CI$26,LCIA_Columns,0)),0)*$AT37*$AI37*$BN$23</f>
        <v>0</v>
      </c>
      <c r="CJ37" s="1">
        <f t="array" ref="CJ37">IFERROR(INDEX(LCIA_Data,MATCH($AO$15&amp;CJ$27,LCIA_Rows_B&amp;LCIA_Rows_C,0),MATCH(CJ$26,LCIA_Columns,0)),0)*$AT37*$AI37*$BN$23</f>
        <v>0</v>
      </c>
      <c r="CK37" s="1">
        <f t="array" ref="CK37">IFERROR(INDEX(LCIA_Data,MATCH($AO$15&amp;CK$27,LCIA_Rows_B&amp;LCIA_Rows_C,0),MATCH(CK$26,LCIA_Columns,0)),0)*$AT37*$AI37*$BN$23</f>
        <v>0</v>
      </c>
      <c r="CL37" s="1">
        <f t="array" ref="CL37">IFERROR(INDEX(LCIA_Data,MATCH($AO$15&amp;CL$27,LCIA_Rows_B&amp;LCIA_Rows_C,0),MATCH(CL$26,LCIA_Columns,0)),0)*$AT37*$AI37*$BN$23</f>
        <v>0</v>
      </c>
      <c r="CM37" s="1">
        <f t="array" ref="CM37">IFERROR(INDEX(LCIA_Data,MATCH($AO$15&amp;CM$27,LCIA_Rows_B&amp;LCIA_Rows_C,0),MATCH(CM$26,LCIA_Columns,0)),0)*$AT37*$AJ37*$BN$23</f>
        <v>0</v>
      </c>
      <c r="CN37" s="1">
        <f t="array" ref="CN37">IFERROR(INDEX(LCIA_Data,MATCH($AO$15&amp;CN$27,LCIA_Rows_B&amp;LCIA_Rows_C,0),MATCH(CN$26,LCIA_Columns,0)),0)*$AT37*$AJ37*$BN$23</f>
        <v>0</v>
      </c>
      <c r="CO37" s="1">
        <f t="array" ref="CO37">IFERROR(INDEX(LCIA_Data,MATCH($AO$15&amp;CO$27,LCIA_Rows_B&amp;LCIA_Rows_C,0),MATCH(CO$26,LCIA_Columns,0)),0)*$AT37*$AJ37*$BN$23</f>
        <v>0</v>
      </c>
      <c r="CP37" s="1">
        <f t="array" ref="CP37">IFERROR(INDEX(LCIA_Data,MATCH($AO$15&amp;CP$27,LCIA_Rows_B&amp;LCIA_Rows_C,0),MATCH(CP$26,LCIA_Columns,0)),0)*$AT37*$AJ37*$BN$23</f>
        <v>0</v>
      </c>
      <c r="CQ37" s="1">
        <f t="array" ref="CQ37">IFERROR(INDEX(LCIA_Data,MATCH($AO$15&amp;CQ$27,LCIA_Rows_B&amp;LCIA_Rows_C,0),MATCH(CQ$26,LCIA_Columns,0)),0)*$AT37*$AJ37*$BN$23</f>
        <v>0</v>
      </c>
      <c r="CR37" s="1">
        <f t="array" ref="CR37">IFERROR(INDEX(LCIA_Data,MATCH($AO$15&amp;CR$27,LCIA_Rows_B&amp;LCIA_Rows_C,0),MATCH(CR$26,LCIA_Columns,0)),0)*$AT37*$AJ37*$BN$23</f>
        <v>0</v>
      </c>
      <c r="CS37" s="1">
        <f t="array" ref="CS37">IFERROR(INDEX(LCIA_Data,MATCH($AO$15&amp;CS$27,LCIA_Rows_B&amp;LCIA_Rows_C,0),MATCH(CS$26,LCIA_Columns,0)),0)*$AT37*$AJ37*$BN$23</f>
        <v>0</v>
      </c>
      <c r="CT37" s="1">
        <f t="array" ref="CT37">IFERROR(INDEX(LCIA_Data,MATCH($AO$15&amp;CT$27,LCIA_Rows_B&amp;LCIA_Rows_C,0),MATCH(CT$26,LCIA_Columns,0)),0)*$AT37*$AJ37*$BN$23</f>
        <v>0</v>
      </c>
      <c r="CU37" s="1">
        <f t="array" ref="CU37">IFERROR(INDEX(LCIA_Data,MATCH($AO$15&amp;CU$27,LCIA_Rows_B&amp;LCIA_Rows_C,0),MATCH(CU$26,LCIA_Columns,0)),0)*$AT37*$AJ37*$BN$23</f>
        <v>0</v>
      </c>
      <c r="CV37" s="1">
        <f t="array" ref="CV37">IFERROR(INDEX(LCIA_Data,MATCH($AO$15&amp;CV$27,LCIA_Rows_B&amp;LCIA_Rows_C,0),MATCH(CV$26,LCIA_Columns,0)),0)*$AT37*$AJ37*$BN$23</f>
        <v>0</v>
      </c>
      <c r="CW37" s="1">
        <f t="array" ref="CW37">IFERROR(INDEX(LCIA_Data,MATCH($AO$15&amp;CW$27,LCIA_Rows_B&amp;LCIA_Rows_C,0),MATCH(CW$26,LCIA_Columns,0)),0)*$AT37*$AJ37*$BN$23</f>
        <v>0</v>
      </c>
      <c r="CX37" s="1">
        <f t="array" ref="CX37">IFERROR(INDEX(LCIA_Data,MATCH($AO$15&amp;CX$27,LCIA_Rows_B&amp;LCIA_Rows_C,0),MATCH(CX$26,LCIA_Columns,0)),0)*$AT37*$AJ37*$BN$23</f>
        <v>0</v>
      </c>
      <c r="CY37" s="1">
        <f t="array" ref="CY37">IFERROR(INDEX(LCIA_Data,MATCH($AO$15&amp;CY$27,LCIA_Rows_B&amp;LCIA_Rows_C,0),MATCH(CY$26,LCIA_Columns,0)),0)*$AT37*$AJ37*$BN$23</f>
        <v>0</v>
      </c>
      <c r="CZ37" s="1">
        <f t="array" ref="CZ37">IFERROR(INDEX(LCIA_Data,MATCH($AO$15&amp;CZ$27,LCIA_Rows_B&amp;LCIA_Rows_C,0),MATCH(CZ$26,LCIA_Columns,0)),0)*$AT37*$AJ37*$BN$23</f>
        <v>0</v>
      </c>
      <c r="DA37" s="1">
        <f t="array" ref="DA37">IFERROR(INDEX(LCIA_Data,MATCH($AO$15&amp;DA$27,LCIA_Rows_B&amp;LCIA_Rows_C,0),MATCH(DA$26,LCIA_Columns,0)),0)*$AT37*$AK37*$BN$23</f>
        <v>0</v>
      </c>
      <c r="DB37" s="1">
        <f t="array" ref="DB37">IFERROR(INDEX(LCIA_Data,MATCH($AO$15&amp;DB$27,LCIA_Rows_B&amp;LCIA_Rows_C,0),MATCH(DB$26,LCIA_Columns,0)),0)*$AT37*$AK37*$BN$23</f>
        <v>0</v>
      </c>
      <c r="DC37" s="1">
        <f t="array" ref="DC37">IFERROR(INDEX(LCIA_Data,MATCH($AO$15&amp;DC$27,LCIA_Rows_B&amp;LCIA_Rows_C,0),MATCH(DC$26,LCIA_Columns,0)),0)*$AT37*$AK37*$BN$23</f>
        <v>0</v>
      </c>
      <c r="DD37" s="1">
        <f t="array" ref="DD37">IFERROR(INDEX(LCIA_Data,MATCH($AO$15&amp;DD$27,LCIA_Rows_B&amp;LCIA_Rows_C,0),MATCH(DD$26,LCIA_Columns,0)),0)*$AT37*$AK37*$BN$23</f>
        <v>0</v>
      </c>
      <c r="DE37" s="1">
        <f t="array" ref="DE37">IFERROR(INDEX(LCIA_Data,MATCH($AO$15&amp;DE$27,LCIA_Rows_B&amp;LCIA_Rows_C,0),MATCH(DE$26,LCIA_Columns,0)),0)*$AT37*$AK37*$BN$23</f>
        <v>0</v>
      </c>
      <c r="DF37" s="1">
        <f t="array" ref="DF37">IFERROR(INDEX(LCIA_Data,MATCH($AO$15&amp;DF$27,LCIA_Rows_B&amp;LCIA_Rows_C,0),MATCH(DF$26,LCIA_Columns,0)),0)*$AT37*$AK37*$BN$23</f>
        <v>0</v>
      </c>
      <c r="DG37" s="1">
        <f t="array" ref="DG37">IFERROR(INDEX(LCIA_Data,MATCH($AO$15&amp;DG$27,LCIA_Rows_B&amp;LCIA_Rows_C,0),MATCH(DG$26,LCIA_Columns,0)),0)*$AT37*$AK37*$BN$23</f>
        <v>0</v>
      </c>
      <c r="DH37" s="1">
        <f t="array" ref="DH37">IFERROR(INDEX(LCIA_Data,MATCH($AO$15&amp;DH$27,LCIA_Rows_B&amp;LCIA_Rows_C,0),MATCH(DH$26,LCIA_Columns,0)),0)*$AT37*$AK37*$BN$23</f>
        <v>0</v>
      </c>
      <c r="DI37" s="1">
        <f t="array" ref="DI37">IFERROR(INDEX(LCIA_Data,MATCH($AO$15&amp;DI$27,LCIA_Rows_B&amp;LCIA_Rows_C,0),MATCH(DI$26,LCIA_Columns,0)),0)*$AT37*$AK37*$BN$23</f>
        <v>0</v>
      </c>
      <c r="DJ37" s="1">
        <f t="array" ref="DJ37">IFERROR(INDEX(LCIA_Data,MATCH($AO$15&amp;DJ$27,LCIA_Rows_B&amp;LCIA_Rows_C,0),MATCH(DJ$26,LCIA_Columns,0)),0)*$AT37*$AK37*$BN$23</f>
        <v>0</v>
      </c>
      <c r="DK37" s="1">
        <f t="array" ref="DK37">IFERROR(INDEX(LCIA_Data,MATCH($AO$15&amp;DK$27,LCIA_Rows_B&amp;LCIA_Rows_C,0),MATCH(DK$26,LCIA_Columns,0)),0)*$AT37*$AK37*$BN$23</f>
        <v>0</v>
      </c>
      <c r="DL37" s="1">
        <f t="array" ref="DL37">IFERROR(INDEX(LCIA_Data,MATCH($AO$15&amp;DL$27,LCIA_Rows_B&amp;LCIA_Rows_C,0),MATCH(DL$26,LCIA_Columns,0)),0)*$AT37*$AK37*$BN$23</f>
        <v>0</v>
      </c>
      <c r="DM37" s="1">
        <f t="array" ref="DM37">IFERROR(INDEX(LCIA_Data,MATCH($AO$15&amp;DM$27,LCIA_Rows_B&amp;LCIA_Rows_C,0),MATCH(DM$26,LCIA_Columns,0)),0)*$AT37*$AK37*$BN$23</f>
        <v>0</v>
      </c>
      <c r="DN37" s="1">
        <f t="array" ref="DN37">IFERROR(INDEX(LCIA_Data,MATCH($AO$15&amp;DN$27,LCIA_Rows_B&amp;LCIA_Rows_C,0),MATCH(DN$26,LCIA_Columns,0)),0)*$AT37*$AK37*$BN$23</f>
        <v>0</v>
      </c>
      <c r="DO37">
        <f t="shared" si="20"/>
        <v>0</v>
      </c>
      <c r="DP37">
        <f t="shared" si="20"/>
        <v>0</v>
      </c>
      <c r="DQ37">
        <f t="shared" si="20"/>
        <v>0</v>
      </c>
      <c r="DR37">
        <f t="shared" si="20"/>
        <v>0</v>
      </c>
      <c r="DS37">
        <f t="shared" si="20"/>
        <v>0</v>
      </c>
      <c r="DT37">
        <f t="shared" si="20"/>
        <v>0</v>
      </c>
      <c r="DU37">
        <f t="shared" si="20"/>
        <v>0</v>
      </c>
      <c r="DV37">
        <f t="shared" si="20"/>
        <v>0</v>
      </c>
      <c r="DW37">
        <f t="shared" si="20"/>
        <v>0</v>
      </c>
      <c r="DX37">
        <f t="shared" si="20"/>
        <v>0</v>
      </c>
      <c r="DY37">
        <f t="shared" si="20"/>
        <v>0</v>
      </c>
      <c r="DZ37">
        <f t="shared" si="20"/>
        <v>0</v>
      </c>
      <c r="EA37">
        <f t="shared" si="20"/>
        <v>0</v>
      </c>
      <c r="EB37">
        <f t="shared" si="21"/>
        <v>0</v>
      </c>
      <c r="EC37"/>
      <c r="ED37"/>
      <c r="EE37"/>
      <c r="EF37"/>
      <c r="EG37"/>
    </row>
    <row r="38" spans="2:137" ht="15" customHeight="1">
      <c r="B38" s="53">
        <f t="shared" si="25"/>
        <v>0</v>
      </c>
      <c r="C38" s="233">
        <f t="shared" si="22"/>
        <v>9</v>
      </c>
      <c r="D38" s="234" t="str">
        <f>'Plant Inputs'!$D38</f>
        <v>Natural Lightweight Aggregate</v>
      </c>
      <c r="E38" s="101"/>
      <c r="F38" s="235" t="str">
        <f t="shared" si="6"/>
        <v>short ton</v>
      </c>
      <c r="G38" s="236">
        <f t="shared" si="26"/>
        <v>0</v>
      </c>
      <c r="H38" s="237" t="str">
        <f t="shared" si="7"/>
        <v>short ton</v>
      </c>
      <c r="I38" s="398">
        <f t="shared" si="8"/>
        <v>0</v>
      </c>
      <c r="J38"/>
      <c r="K38"/>
      <c r="L38"/>
      <c r="M38"/>
      <c r="N38"/>
      <c r="O38"/>
      <c r="P38"/>
      <c r="Q38"/>
      <c r="R38"/>
      <c r="S38"/>
      <c r="T38"/>
      <c r="X38" s="67">
        <f t="shared" si="27"/>
        <v>0</v>
      </c>
      <c r="Y38" s="216">
        <f>IF(AND($X38=1,'Plant Inputs'!$Y38=1),1,0)</f>
        <v>0</v>
      </c>
      <c r="Z38" s="216"/>
      <c r="AA38" s="216">
        <f>IF($Y38=0,0,IF('Plant Inputs'!J38="",0,'Plant Inputs'!J38))</f>
        <v>0</v>
      </c>
      <c r="AB38" s="216">
        <f>IF($Y38=0,0,IF('Plant Inputs'!K38="",0,'Plant Inputs'!K38))</f>
        <v>0</v>
      </c>
      <c r="AC38" s="216">
        <f>IF($Y38=0,0,IF('Plant Inputs'!L38="",0,'Plant Inputs'!L38))</f>
        <v>0</v>
      </c>
      <c r="AD38" s="216">
        <f>IF($Y38=0,0,IF('Plant Inputs'!M38="",0,'Plant Inputs'!M38))</f>
        <v>0</v>
      </c>
      <c r="AE38" s="217" t="str">
        <f>'Plant Inputs'!$O38</f>
        <v>mile</v>
      </c>
      <c r="AF38" s="217">
        <f t="shared" si="9"/>
        <v>1.6093473468862911</v>
      </c>
      <c r="AG38" s="216" t="str">
        <f t="shared" si="23"/>
        <v>km/mile</v>
      </c>
      <c r="AH38" s="216">
        <f t="shared" si="10"/>
        <v>0</v>
      </c>
      <c r="AI38" s="216">
        <f t="shared" si="10"/>
        <v>0</v>
      </c>
      <c r="AJ38" s="216">
        <f t="shared" si="10"/>
        <v>0</v>
      </c>
      <c r="AK38" s="216">
        <f t="shared" si="10"/>
        <v>0</v>
      </c>
      <c r="AL38" s="216"/>
      <c r="AM38" s="1" t="str">
        <f t="shared" si="11"/>
        <v>Natural Lightweight Aggregate</v>
      </c>
      <c r="AN38" t="s">
        <v>127</v>
      </c>
      <c r="AO38">
        <f t="shared" si="12"/>
        <v>0</v>
      </c>
      <c r="AP38" s="1">
        <f t="shared" si="24"/>
        <v>0</v>
      </c>
      <c r="AQ38" s="1" t="str">
        <f t="shared" si="13"/>
        <v>short ton</v>
      </c>
      <c r="AR38" s="1">
        <f t="shared" si="14"/>
        <v>0.90718499588591606</v>
      </c>
      <c r="AS38" s="87" t="str">
        <f t="shared" si="15"/>
        <v>tonne/short ton</v>
      </c>
      <c r="AT38" s="87">
        <f t="shared" si="16"/>
        <v>0</v>
      </c>
      <c r="AU38" s="87">
        <f t="shared" si="17"/>
        <v>0</v>
      </c>
      <c r="AV38" s="87">
        <f t="shared" si="18"/>
        <v>0</v>
      </c>
      <c r="AW38" t="str">
        <f t="shared" si="19"/>
        <v>Natural Lightweight Aggregate</v>
      </c>
      <c r="AX38" s="148">
        <f t="array" ref="AX38">IFERROR(INDEX(LCIA_Data,MATCH($AO$15&amp;AX$27,LCIA_Rows_B&amp;LCIA_Rows_C,0),MATCH($D38,LCIA_Columns,0)),0)*$AU38</f>
        <v>0</v>
      </c>
      <c r="AY38" s="148">
        <f t="array" ref="AY38">IFERROR(INDEX(LCIA_Data,MATCH($AO$15&amp;AY$27,LCIA_Rows_B&amp;LCIA_Rows_C,0),MATCH($D38,LCIA_Columns,0)),0)*$AU38</f>
        <v>0</v>
      </c>
      <c r="AZ38" s="148">
        <f t="array" ref="AZ38">IFERROR(INDEX(LCIA_Data,MATCH($AO$15&amp;AZ$27,LCIA_Rows_B&amp;LCIA_Rows_C,0),MATCH($D38,LCIA_Columns,0)),0)*$AU38</f>
        <v>0</v>
      </c>
      <c r="BA38" s="148">
        <f t="array" ref="BA38">IFERROR(INDEX(LCIA_Data,MATCH($AO$15&amp;BA$27,LCIA_Rows_B&amp;LCIA_Rows_C,0),MATCH($D38,LCIA_Columns,0)),0)*$AU38</f>
        <v>0</v>
      </c>
      <c r="BB38" s="148">
        <f t="array" ref="BB38">IFERROR(INDEX(LCIA_Data,MATCH($AO$15&amp;BB$27,LCIA_Rows_B&amp;LCIA_Rows_C,0),MATCH($D38,LCIA_Columns,0)),0)*$AU38</f>
        <v>0</v>
      </c>
      <c r="BC38" s="148">
        <f t="array" ref="BC38">IFERROR(INDEX(LCIA_Data,MATCH($AO$15&amp;BC$27,LCIA_Rows_B&amp;LCIA_Rows_C,0),MATCH($D38,LCIA_Columns,0)),0)*$AU38</f>
        <v>0</v>
      </c>
      <c r="BD38" s="148">
        <f t="array" ref="BD38">IFERROR(INDEX(LCIA_Data,MATCH($AO$15&amp;BD$27,LCIA_Rows_B&amp;LCIA_Rows_C,0),MATCH($D38,LCIA_Columns,0)),0)*$AU38</f>
        <v>0</v>
      </c>
      <c r="BE38" s="148">
        <f t="array" ref="BE38">IFERROR(INDEX(LCIA_Data,MATCH($AO$15&amp;BE$27,LCIA_Rows_B&amp;LCIA_Rows_C,0),MATCH($D38,LCIA_Columns,0)),0)*$AU38</f>
        <v>0</v>
      </c>
      <c r="BF38" s="148">
        <f t="array" ref="BF38">IFERROR(INDEX(LCIA_Data,MATCH($AO$15&amp;BF$27,LCIA_Rows_B&amp;LCIA_Rows_C,0),MATCH($D38,LCIA_Columns,0)),0)*$AU38</f>
        <v>0</v>
      </c>
      <c r="BG38" s="148">
        <f t="array" ref="BG38">IFERROR(INDEX(LCIA_Data,MATCH($AO$15&amp;BG$27,LCIA_Rows_B&amp;LCIA_Rows_C,0),MATCH($D38,LCIA_Columns,0)),0)*$AU38</f>
        <v>0</v>
      </c>
      <c r="BH38" s="148">
        <f t="array" ref="BH38">IFERROR(INDEX(LCIA_Data,MATCH($AO$15&amp;BH$27,LCIA_Rows_B&amp;LCIA_Rows_C,0),MATCH($D38,LCIA_Columns,0)),0)*$AU38</f>
        <v>0</v>
      </c>
      <c r="BI38" s="148">
        <f t="array" ref="BI38">IFERROR(INDEX(LCIA_Data,MATCH($AO$15&amp;BI$27,LCIA_Rows_B&amp;LCIA_Rows_C,0),MATCH($D38,LCIA_Columns,0)),0)*$AU38</f>
        <v>0</v>
      </c>
      <c r="BJ38" s="148">
        <f t="array" ref="BJ38">IFERROR(INDEX(LCIA_Data,MATCH($AO$15&amp;BJ$27,LCIA_Rows_B&amp;LCIA_Rows_C,0),MATCH($D38,LCIA_Columns,0)),0)*$AU38</f>
        <v>0</v>
      </c>
      <c r="BK38" s="148">
        <f t="array" ref="BK38">IFERROR(INDEX(LCIA_Data,MATCH($AO$15&amp;BK$27,LCIA_Rows_B&amp;LCIA_Rows_C,0),MATCH($D38,LCIA_Columns,0)),0)*$AU38</f>
        <v>0</v>
      </c>
      <c r="BM38" s="1">
        <f t="array" ref="BM38">IFERROR(INDEX(LCIA_Data,MATCH($AO$15&amp;BM$27,LCIA_Rows_B&amp;LCIA_Rows_C,0),MATCH(BM$26,LCIA_Columns,0)),0)*$AT38*$AH38*$BN$23</f>
        <v>0</v>
      </c>
      <c r="BN38" s="1">
        <f t="array" ref="BN38">IFERROR(INDEX(LCIA_Data,MATCH($AO$15&amp;BN$27,LCIA_Rows_B&amp;LCIA_Rows_C,0),MATCH(BN$26,LCIA_Columns,0)),0)*$AT38*$AH38*$BN$23</f>
        <v>0</v>
      </c>
      <c r="BO38" s="1">
        <f t="array" ref="BO38">IFERROR(INDEX(LCIA_Data,MATCH($AO$15&amp;BO$27,LCIA_Rows_B&amp;LCIA_Rows_C,0),MATCH(BO$26,LCIA_Columns,0)),0)*$AT38*$AH38*$BN$23</f>
        <v>0</v>
      </c>
      <c r="BP38" s="1">
        <f t="array" ref="BP38">IFERROR(INDEX(LCIA_Data,MATCH($AO$15&amp;BP$27,LCIA_Rows_B&amp;LCIA_Rows_C,0),MATCH(BP$26,LCIA_Columns,0)),0)*$AT38*$AH38*$BN$23</f>
        <v>0</v>
      </c>
      <c r="BQ38" s="1">
        <f t="array" ref="BQ38">IFERROR(INDEX(LCIA_Data,MATCH($AO$15&amp;BQ$27,LCIA_Rows_B&amp;LCIA_Rows_C,0),MATCH(BQ$26,LCIA_Columns,0)),0)*$AT38*$AH38*$BN$23</f>
        <v>0</v>
      </c>
      <c r="BR38" s="1">
        <f t="array" ref="BR38">IFERROR(INDEX(LCIA_Data,MATCH($AO$15&amp;BR$27,LCIA_Rows_B&amp;LCIA_Rows_C,0),MATCH(BR$26,LCIA_Columns,0)),0)*$AT38*$AH38*$BN$23</f>
        <v>0</v>
      </c>
      <c r="BS38" s="1">
        <f t="array" ref="BS38">IFERROR(INDEX(LCIA_Data,MATCH($AO$15&amp;BS$27,LCIA_Rows_B&amp;LCIA_Rows_C,0),MATCH(BS$26,LCIA_Columns,0)),0)*$AT38*$AH38*$BN$23</f>
        <v>0</v>
      </c>
      <c r="BT38" s="1">
        <f t="array" ref="BT38">IFERROR(INDEX(LCIA_Data,MATCH($AO$15&amp;BT$27,LCIA_Rows_B&amp;LCIA_Rows_C,0),MATCH(BT$26,LCIA_Columns,0)),0)*$AT38*$AH38*$BN$23</f>
        <v>0</v>
      </c>
      <c r="BU38" s="1">
        <f t="array" ref="BU38">IFERROR(INDEX(LCIA_Data,MATCH($AO$15&amp;BU$27,LCIA_Rows_B&amp;LCIA_Rows_C,0),MATCH(BU$26,LCIA_Columns,0)),0)*$AT38*$AH38*$BN$23</f>
        <v>0</v>
      </c>
      <c r="BV38" s="1">
        <f t="array" ref="BV38">IFERROR(INDEX(LCIA_Data,MATCH($AO$15&amp;BV$27,LCIA_Rows_B&amp;LCIA_Rows_C,0),MATCH(BV$26,LCIA_Columns,0)),0)*$AT38*$AH38*$BN$23</f>
        <v>0</v>
      </c>
      <c r="BW38" s="1">
        <f t="array" ref="BW38">IFERROR(INDEX(LCIA_Data,MATCH($AO$15&amp;BW$27,LCIA_Rows_B&amp;LCIA_Rows_C,0),MATCH(BW$26,LCIA_Columns,0)),0)*$AT38*$AH38*$BN$23</f>
        <v>0</v>
      </c>
      <c r="BX38" s="1">
        <f t="array" ref="BX38">IFERROR(INDEX(LCIA_Data,MATCH($AO$15&amp;BX$27,LCIA_Rows_B&amp;LCIA_Rows_C,0),MATCH(BX$26,LCIA_Columns,0)),0)*$AT38*$AH38*$BN$23</f>
        <v>0</v>
      </c>
      <c r="BY38" s="1">
        <f t="array" ref="BY38">IFERROR(INDEX(LCIA_Data,MATCH($AO$15&amp;BY$27,LCIA_Rows_B&amp;LCIA_Rows_C,0),MATCH(BY$26,LCIA_Columns,0)),0)*$AT38*$AH38*$BN$23</f>
        <v>0</v>
      </c>
      <c r="BZ38" s="1">
        <f t="array" ref="BZ38">IFERROR(INDEX(LCIA_Data,MATCH($AO$15&amp;BZ$27,LCIA_Rows_B&amp;LCIA_Rows_C,0),MATCH(BZ$26,LCIA_Columns,0)),0)*$AT38*$AH38*$BN$23</f>
        <v>0</v>
      </c>
      <c r="CA38" s="1">
        <f t="array" ref="CA38">IFERROR(INDEX(LCIA_Data,MATCH($AO$15&amp;CA$27,LCIA_Rows_B&amp;LCIA_Rows_C,0),MATCH(CA$26,LCIA_Columns,0)),0)*$AT38*$AI38*$BN$23</f>
        <v>0</v>
      </c>
      <c r="CB38" s="1">
        <f t="array" ref="CB38">IFERROR(INDEX(LCIA_Data,MATCH($AO$15&amp;CB$27,LCIA_Rows_B&amp;LCIA_Rows_C,0),MATCH(CB$26,LCIA_Columns,0)),0)*$AT38*$AI38*$BN$23</f>
        <v>0</v>
      </c>
      <c r="CC38" s="1">
        <f t="array" ref="CC38">IFERROR(INDEX(LCIA_Data,MATCH($AO$15&amp;CC$27,LCIA_Rows_B&amp;LCIA_Rows_C,0),MATCH(CC$26,LCIA_Columns,0)),0)*$AT38*$AI38*$BN$23</f>
        <v>0</v>
      </c>
      <c r="CD38" s="1">
        <f t="array" ref="CD38">IFERROR(INDEX(LCIA_Data,MATCH($AO$15&amp;CD$27,LCIA_Rows_B&amp;LCIA_Rows_C,0),MATCH(CD$26,LCIA_Columns,0)),0)*$AT38*$AI38*$BN$23</f>
        <v>0</v>
      </c>
      <c r="CE38" s="1">
        <f t="array" ref="CE38">IFERROR(INDEX(LCIA_Data,MATCH($AO$15&amp;CE$27,LCIA_Rows_B&amp;LCIA_Rows_C,0),MATCH(CE$26,LCIA_Columns,0)),0)*$AT38*$AI38*$BN$23</f>
        <v>0</v>
      </c>
      <c r="CF38" s="1">
        <f t="array" ref="CF38">IFERROR(INDEX(LCIA_Data,MATCH($AO$15&amp;CF$27,LCIA_Rows_B&amp;LCIA_Rows_C,0),MATCH(CF$26,LCIA_Columns,0)),0)*$AT38*$AI38*$BN$23</f>
        <v>0</v>
      </c>
      <c r="CG38" s="1">
        <f t="array" ref="CG38">IFERROR(INDEX(LCIA_Data,MATCH($AO$15&amp;CG$27,LCIA_Rows_B&amp;LCIA_Rows_C,0),MATCH(CG$26,LCIA_Columns,0)),0)*$AT38*$AI38*$BN$23</f>
        <v>0</v>
      </c>
      <c r="CH38" s="1">
        <f t="array" ref="CH38">IFERROR(INDEX(LCIA_Data,MATCH($AO$15&amp;CH$27,LCIA_Rows_B&amp;LCIA_Rows_C,0),MATCH(CH$26,LCIA_Columns,0)),0)*$AT38*$AI38*$BN$23</f>
        <v>0</v>
      </c>
      <c r="CI38" s="1">
        <f t="array" ref="CI38">IFERROR(INDEX(LCIA_Data,MATCH($AO$15&amp;CI$27,LCIA_Rows_B&amp;LCIA_Rows_C,0),MATCH(CI$26,LCIA_Columns,0)),0)*$AT38*$AI38*$BN$23</f>
        <v>0</v>
      </c>
      <c r="CJ38" s="1">
        <f t="array" ref="CJ38">IFERROR(INDEX(LCIA_Data,MATCH($AO$15&amp;CJ$27,LCIA_Rows_B&amp;LCIA_Rows_C,0),MATCH(CJ$26,LCIA_Columns,0)),0)*$AT38*$AI38*$BN$23</f>
        <v>0</v>
      </c>
      <c r="CK38" s="1">
        <f t="array" ref="CK38">IFERROR(INDEX(LCIA_Data,MATCH($AO$15&amp;CK$27,LCIA_Rows_B&amp;LCIA_Rows_C,0),MATCH(CK$26,LCIA_Columns,0)),0)*$AT38*$AI38*$BN$23</f>
        <v>0</v>
      </c>
      <c r="CL38" s="1">
        <f t="array" ref="CL38">IFERROR(INDEX(LCIA_Data,MATCH($AO$15&amp;CL$27,LCIA_Rows_B&amp;LCIA_Rows_C,0),MATCH(CL$26,LCIA_Columns,0)),0)*$AT38*$AI38*$BN$23</f>
        <v>0</v>
      </c>
      <c r="CM38" s="1">
        <f t="array" ref="CM38">IFERROR(INDEX(LCIA_Data,MATCH($AO$15&amp;CM$27,LCIA_Rows_B&amp;LCIA_Rows_C,0),MATCH(CM$26,LCIA_Columns,0)),0)*$AT38*$AJ38*$BN$23</f>
        <v>0</v>
      </c>
      <c r="CN38" s="1">
        <f t="array" ref="CN38">IFERROR(INDEX(LCIA_Data,MATCH($AO$15&amp;CN$27,LCIA_Rows_B&amp;LCIA_Rows_C,0),MATCH(CN$26,LCIA_Columns,0)),0)*$AT38*$AJ38*$BN$23</f>
        <v>0</v>
      </c>
      <c r="CO38" s="1">
        <f t="array" ref="CO38">IFERROR(INDEX(LCIA_Data,MATCH($AO$15&amp;CO$27,LCIA_Rows_B&amp;LCIA_Rows_C,0),MATCH(CO$26,LCIA_Columns,0)),0)*$AT38*$AJ38*$BN$23</f>
        <v>0</v>
      </c>
      <c r="CP38" s="1">
        <f t="array" ref="CP38">IFERROR(INDEX(LCIA_Data,MATCH($AO$15&amp;CP$27,LCIA_Rows_B&amp;LCIA_Rows_C,0),MATCH(CP$26,LCIA_Columns,0)),0)*$AT38*$AJ38*$BN$23</f>
        <v>0</v>
      </c>
      <c r="CQ38" s="1">
        <f t="array" ref="CQ38">IFERROR(INDEX(LCIA_Data,MATCH($AO$15&amp;CQ$27,LCIA_Rows_B&amp;LCIA_Rows_C,0),MATCH(CQ$26,LCIA_Columns,0)),0)*$AT38*$AJ38*$BN$23</f>
        <v>0</v>
      </c>
      <c r="CR38" s="1">
        <f t="array" ref="CR38">IFERROR(INDEX(LCIA_Data,MATCH($AO$15&amp;CR$27,LCIA_Rows_B&amp;LCIA_Rows_C,0),MATCH(CR$26,LCIA_Columns,0)),0)*$AT38*$AJ38*$BN$23</f>
        <v>0</v>
      </c>
      <c r="CS38" s="1">
        <f t="array" ref="CS38">IFERROR(INDEX(LCIA_Data,MATCH($AO$15&amp;CS$27,LCIA_Rows_B&amp;LCIA_Rows_C,0),MATCH(CS$26,LCIA_Columns,0)),0)*$AT38*$AJ38*$BN$23</f>
        <v>0</v>
      </c>
      <c r="CT38" s="1">
        <f t="array" ref="CT38">IFERROR(INDEX(LCIA_Data,MATCH($AO$15&amp;CT$27,LCIA_Rows_B&amp;LCIA_Rows_C,0),MATCH(CT$26,LCIA_Columns,0)),0)*$AT38*$AJ38*$BN$23</f>
        <v>0</v>
      </c>
      <c r="CU38" s="1">
        <f t="array" ref="CU38">IFERROR(INDEX(LCIA_Data,MATCH($AO$15&amp;CU$27,LCIA_Rows_B&amp;LCIA_Rows_C,0),MATCH(CU$26,LCIA_Columns,0)),0)*$AT38*$AJ38*$BN$23</f>
        <v>0</v>
      </c>
      <c r="CV38" s="1">
        <f t="array" ref="CV38">IFERROR(INDEX(LCIA_Data,MATCH($AO$15&amp;CV$27,LCIA_Rows_B&amp;LCIA_Rows_C,0),MATCH(CV$26,LCIA_Columns,0)),0)*$AT38*$AJ38*$BN$23</f>
        <v>0</v>
      </c>
      <c r="CW38" s="1">
        <f t="array" ref="CW38">IFERROR(INDEX(LCIA_Data,MATCH($AO$15&amp;CW$27,LCIA_Rows_B&amp;LCIA_Rows_C,0),MATCH(CW$26,LCIA_Columns,0)),0)*$AT38*$AJ38*$BN$23</f>
        <v>0</v>
      </c>
      <c r="CX38" s="1">
        <f t="array" ref="CX38">IFERROR(INDEX(LCIA_Data,MATCH($AO$15&amp;CX$27,LCIA_Rows_B&amp;LCIA_Rows_C,0),MATCH(CX$26,LCIA_Columns,0)),0)*$AT38*$AJ38*$BN$23</f>
        <v>0</v>
      </c>
      <c r="CY38" s="1">
        <f t="array" ref="CY38">IFERROR(INDEX(LCIA_Data,MATCH($AO$15&amp;CY$27,LCIA_Rows_B&amp;LCIA_Rows_C,0),MATCH(CY$26,LCIA_Columns,0)),0)*$AT38*$AJ38*$BN$23</f>
        <v>0</v>
      </c>
      <c r="CZ38" s="1">
        <f t="array" ref="CZ38">IFERROR(INDEX(LCIA_Data,MATCH($AO$15&amp;CZ$27,LCIA_Rows_B&amp;LCIA_Rows_C,0),MATCH(CZ$26,LCIA_Columns,0)),0)*$AT38*$AJ38*$BN$23</f>
        <v>0</v>
      </c>
      <c r="DA38" s="1">
        <f t="array" ref="DA38">IFERROR(INDEX(LCIA_Data,MATCH($AO$15&amp;DA$27,LCIA_Rows_B&amp;LCIA_Rows_C,0),MATCH(DA$26,LCIA_Columns,0)),0)*$AT38*$AK38*$BN$23</f>
        <v>0</v>
      </c>
      <c r="DB38" s="1">
        <f t="array" ref="DB38">IFERROR(INDEX(LCIA_Data,MATCH($AO$15&amp;DB$27,LCIA_Rows_B&amp;LCIA_Rows_C,0),MATCH(DB$26,LCIA_Columns,0)),0)*$AT38*$AK38*$BN$23</f>
        <v>0</v>
      </c>
      <c r="DC38" s="1">
        <f t="array" ref="DC38">IFERROR(INDEX(LCIA_Data,MATCH($AO$15&amp;DC$27,LCIA_Rows_B&amp;LCIA_Rows_C,0),MATCH(DC$26,LCIA_Columns,0)),0)*$AT38*$AK38*$BN$23</f>
        <v>0</v>
      </c>
      <c r="DD38" s="1">
        <f t="array" ref="DD38">IFERROR(INDEX(LCIA_Data,MATCH($AO$15&amp;DD$27,LCIA_Rows_B&amp;LCIA_Rows_C,0),MATCH(DD$26,LCIA_Columns,0)),0)*$AT38*$AK38*$BN$23</f>
        <v>0</v>
      </c>
      <c r="DE38" s="1">
        <f t="array" ref="DE38">IFERROR(INDEX(LCIA_Data,MATCH($AO$15&amp;DE$27,LCIA_Rows_B&amp;LCIA_Rows_C,0),MATCH(DE$26,LCIA_Columns,0)),0)*$AT38*$AK38*$BN$23</f>
        <v>0</v>
      </c>
      <c r="DF38" s="1">
        <f t="array" ref="DF38">IFERROR(INDEX(LCIA_Data,MATCH($AO$15&amp;DF$27,LCIA_Rows_B&amp;LCIA_Rows_C,0),MATCH(DF$26,LCIA_Columns,0)),0)*$AT38*$AK38*$BN$23</f>
        <v>0</v>
      </c>
      <c r="DG38" s="1">
        <f t="array" ref="DG38">IFERROR(INDEX(LCIA_Data,MATCH($AO$15&amp;DG$27,LCIA_Rows_B&amp;LCIA_Rows_C,0),MATCH(DG$26,LCIA_Columns,0)),0)*$AT38*$AK38*$BN$23</f>
        <v>0</v>
      </c>
      <c r="DH38" s="1">
        <f t="array" ref="DH38">IFERROR(INDEX(LCIA_Data,MATCH($AO$15&amp;DH$27,LCIA_Rows_B&amp;LCIA_Rows_C,0),MATCH(DH$26,LCIA_Columns,0)),0)*$AT38*$AK38*$BN$23</f>
        <v>0</v>
      </c>
      <c r="DI38" s="1">
        <f t="array" ref="DI38">IFERROR(INDEX(LCIA_Data,MATCH($AO$15&amp;DI$27,LCIA_Rows_B&amp;LCIA_Rows_C,0),MATCH(DI$26,LCIA_Columns,0)),0)*$AT38*$AK38*$BN$23</f>
        <v>0</v>
      </c>
      <c r="DJ38" s="1">
        <f t="array" ref="DJ38">IFERROR(INDEX(LCIA_Data,MATCH($AO$15&amp;DJ$27,LCIA_Rows_B&amp;LCIA_Rows_C,0),MATCH(DJ$26,LCIA_Columns,0)),0)*$AT38*$AK38*$BN$23</f>
        <v>0</v>
      </c>
      <c r="DK38" s="1">
        <f t="array" ref="DK38">IFERROR(INDEX(LCIA_Data,MATCH($AO$15&amp;DK$27,LCIA_Rows_B&amp;LCIA_Rows_C,0),MATCH(DK$26,LCIA_Columns,0)),0)*$AT38*$AK38*$BN$23</f>
        <v>0</v>
      </c>
      <c r="DL38" s="1">
        <f t="array" ref="DL38">IFERROR(INDEX(LCIA_Data,MATCH($AO$15&amp;DL$27,LCIA_Rows_B&amp;LCIA_Rows_C,0),MATCH(DL$26,LCIA_Columns,0)),0)*$AT38*$AK38*$BN$23</f>
        <v>0</v>
      </c>
      <c r="DM38" s="1">
        <f t="array" ref="DM38">IFERROR(INDEX(LCIA_Data,MATCH($AO$15&amp;DM$27,LCIA_Rows_B&amp;LCIA_Rows_C,0),MATCH(DM$26,LCIA_Columns,0)),0)*$AT38*$AK38*$BN$23</f>
        <v>0</v>
      </c>
      <c r="DN38" s="1">
        <f t="array" ref="DN38">IFERROR(INDEX(LCIA_Data,MATCH($AO$15&amp;DN$27,LCIA_Rows_B&amp;LCIA_Rows_C,0),MATCH(DN$26,LCIA_Columns,0)),0)*$AT38*$AK38*$BN$23</f>
        <v>0</v>
      </c>
      <c r="DO38">
        <f t="shared" si="20"/>
        <v>0</v>
      </c>
      <c r="DP38">
        <f t="shared" si="20"/>
        <v>0</v>
      </c>
      <c r="DQ38">
        <f t="shared" si="20"/>
        <v>0</v>
      </c>
      <c r="DR38">
        <f t="shared" si="20"/>
        <v>0</v>
      </c>
      <c r="DS38">
        <f t="shared" si="20"/>
        <v>0</v>
      </c>
      <c r="DT38">
        <f t="shared" si="20"/>
        <v>0</v>
      </c>
      <c r="DU38">
        <f t="shared" si="20"/>
        <v>0</v>
      </c>
      <c r="DV38">
        <f t="shared" si="20"/>
        <v>0</v>
      </c>
      <c r="DW38">
        <f t="shared" si="20"/>
        <v>0</v>
      </c>
      <c r="DX38">
        <f t="shared" si="20"/>
        <v>0</v>
      </c>
      <c r="DY38">
        <f t="shared" si="20"/>
        <v>0</v>
      </c>
      <c r="DZ38">
        <f t="shared" si="20"/>
        <v>0</v>
      </c>
      <c r="EA38">
        <f t="shared" si="20"/>
        <v>0</v>
      </c>
      <c r="EB38">
        <f t="shared" si="21"/>
        <v>0</v>
      </c>
      <c r="EC38"/>
      <c r="ED38"/>
      <c r="EE38"/>
      <c r="EF38"/>
      <c r="EG38"/>
    </row>
    <row r="39" spans="2:137" ht="15" customHeight="1">
      <c r="B39" s="53">
        <f t="shared" si="25"/>
        <v>0</v>
      </c>
      <c r="C39" s="26">
        <f t="shared" si="22"/>
        <v>10</v>
      </c>
      <c r="D39" s="46" t="str">
        <f>'Plant Inputs'!$D39</f>
        <v>SCMs - Fly Ash</v>
      </c>
      <c r="E39" s="99"/>
      <c r="F39" s="119" t="str">
        <f t="shared" si="6"/>
        <v>short ton</v>
      </c>
      <c r="G39" s="158">
        <f t="shared" si="26"/>
        <v>0</v>
      </c>
      <c r="H39" s="204" t="str">
        <f t="shared" si="7"/>
        <v>short ton</v>
      </c>
      <c r="I39" s="399">
        <f t="shared" si="8"/>
        <v>0</v>
      </c>
      <c r="J39"/>
      <c r="K39"/>
      <c r="L39"/>
      <c r="M39"/>
      <c r="N39"/>
      <c r="O39"/>
      <c r="P39"/>
      <c r="Q39"/>
      <c r="R39"/>
      <c r="S39"/>
      <c r="T39"/>
      <c r="X39" s="67">
        <f t="shared" si="27"/>
        <v>0</v>
      </c>
      <c r="Y39" s="216">
        <f>IF(AND($X39=1,'Plant Inputs'!$Y39=1),1,0)</f>
        <v>0</v>
      </c>
      <c r="Z39" s="216"/>
      <c r="AA39" s="216">
        <f>IF($Y39=0,0,IF('Plant Inputs'!J39="",0,'Plant Inputs'!J39))</f>
        <v>0</v>
      </c>
      <c r="AB39" s="216">
        <f>IF($Y39=0,0,IF('Plant Inputs'!K39="",0,'Plant Inputs'!K39))</f>
        <v>0</v>
      </c>
      <c r="AC39" s="216">
        <f>IF($Y39=0,0,IF('Plant Inputs'!L39="",0,'Plant Inputs'!L39))</f>
        <v>0</v>
      </c>
      <c r="AD39" s="216">
        <f>IF($Y39=0,0,IF('Plant Inputs'!M39="",0,'Plant Inputs'!M39))</f>
        <v>0</v>
      </c>
      <c r="AE39" s="217" t="str">
        <f>'Plant Inputs'!$O39</f>
        <v>mile</v>
      </c>
      <c r="AF39" s="217">
        <f t="shared" si="9"/>
        <v>1.6093473468862911</v>
      </c>
      <c r="AG39" s="216" t="str">
        <f t="shared" si="23"/>
        <v>km/mile</v>
      </c>
      <c r="AH39" s="216">
        <f t="shared" si="10"/>
        <v>0</v>
      </c>
      <c r="AI39" s="216">
        <f t="shared" si="10"/>
        <v>0</v>
      </c>
      <c r="AJ39" s="216">
        <f t="shared" si="10"/>
        <v>0</v>
      </c>
      <c r="AK39" s="216">
        <f t="shared" si="10"/>
        <v>0</v>
      </c>
      <c r="AL39" s="216"/>
      <c r="AM39" s="1" t="str">
        <f t="shared" si="11"/>
        <v>SCMs - Fly Ash</v>
      </c>
      <c r="AN39" t="s">
        <v>127</v>
      </c>
      <c r="AO39">
        <f t="shared" si="12"/>
        <v>0</v>
      </c>
      <c r="AP39" s="1">
        <f t="shared" si="24"/>
        <v>0</v>
      </c>
      <c r="AQ39" s="1" t="str">
        <f t="shared" si="13"/>
        <v>short ton</v>
      </c>
      <c r="AR39" s="1">
        <f t="shared" si="14"/>
        <v>0.90718499588591606</v>
      </c>
      <c r="AS39" s="87" t="str">
        <f t="shared" si="15"/>
        <v>tonne/short ton</v>
      </c>
      <c r="AT39" s="87">
        <f t="shared" si="16"/>
        <v>0</v>
      </c>
      <c r="AU39" s="87">
        <f t="shared" si="17"/>
        <v>0</v>
      </c>
      <c r="AV39" s="87">
        <f t="shared" si="18"/>
        <v>0</v>
      </c>
      <c r="AW39" t="str">
        <f t="shared" si="19"/>
        <v>SCMs - Fly Ash</v>
      </c>
      <c r="AX39" s="148">
        <f t="array" ref="AX39">IFERROR(INDEX(LCIA_Data,MATCH($AO$15&amp;AX$27,LCIA_Rows_B&amp;LCIA_Rows_C,0),MATCH($D39,LCIA_Columns,0)),0)*$AU39</f>
        <v>0</v>
      </c>
      <c r="AY39" s="148">
        <f t="array" ref="AY39">IFERROR(INDEX(LCIA_Data,MATCH($AO$15&amp;AY$27,LCIA_Rows_B&amp;LCIA_Rows_C,0),MATCH($D39,LCIA_Columns,0)),0)*$AU39</f>
        <v>0</v>
      </c>
      <c r="AZ39" s="148">
        <f t="array" ref="AZ39">IFERROR(INDEX(LCIA_Data,MATCH($AO$15&amp;AZ$27,LCIA_Rows_B&amp;LCIA_Rows_C,0),MATCH($D39,LCIA_Columns,0)),0)*$AU39</f>
        <v>0</v>
      </c>
      <c r="BA39" s="148">
        <f t="array" ref="BA39">IFERROR(INDEX(LCIA_Data,MATCH($AO$15&amp;BA$27,LCIA_Rows_B&amp;LCIA_Rows_C,0),MATCH($D39,LCIA_Columns,0)),0)*$AU39</f>
        <v>0</v>
      </c>
      <c r="BB39" s="148">
        <f t="array" ref="BB39">IFERROR(INDEX(LCIA_Data,MATCH($AO$15&amp;BB$27,LCIA_Rows_B&amp;LCIA_Rows_C,0),MATCH($D39,LCIA_Columns,0)),0)*$AU39</f>
        <v>0</v>
      </c>
      <c r="BC39" s="148">
        <f t="array" ref="BC39">IFERROR(INDEX(LCIA_Data,MATCH($AO$15&amp;BC$27,LCIA_Rows_B&amp;LCIA_Rows_C,0),MATCH($D39,LCIA_Columns,0)),0)*$AU39</f>
        <v>0</v>
      </c>
      <c r="BD39" s="148">
        <f t="array" ref="BD39">IFERROR(INDEX(LCIA_Data,MATCH($AO$15&amp;BD$27,LCIA_Rows_B&amp;LCIA_Rows_C,0),MATCH($D39,LCIA_Columns,0)),0)*$AU39</f>
        <v>0</v>
      </c>
      <c r="BE39" s="148">
        <f t="array" ref="BE39">IFERROR(INDEX(LCIA_Data,MATCH($AO$15&amp;BE$27,LCIA_Rows_B&amp;LCIA_Rows_C,0),MATCH($D39,LCIA_Columns,0)),0)*$AU39</f>
        <v>0</v>
      </c>
      <c r="BF39" s="148">
        <f t="array" ref="BF39">IFERROR(INDEX(LCIA_Data,MATCH($AO$15&amp;BF$27,LCIA_Rows_B&amp;LCIA_Rows_C,0),MATCH($D39,LCIA_Columns,0)),0)*$AU39</f>
        <v>0</v>
      </c>
      <c r="BG39" s="148">
        <f t="array" ref="BG39">IFERROR(INDEX(LCIA_Data,MATCH($AO$15&amp;BG$27,LCIA_Rows_B&amp;LCIA_Rows_C,0),MATCH($D39,LCIA_Columns,0)),0)*$AU39</f>
        <v>0</v>
      </c>
      <c r="BH39" s="148">
        <f t="array" ref="BH39">IFERROR(INDEX(LCIA_Data,MATCH($AO$15&amp;BH$27,LCIA_Rows_B&amp;LCIA_Rows_C,0),MATCH($D39,LCIA_Columns,0)),0)*$AU39</f>
        <v>0</v>
      </c>
      <c r="BI39" s="148">
        <f t="array" ref="BI39">IFERROR(INDEX(LCIA_Data,MATCH($AO$15&amp;BI$27,LCIA_Rows_B&amp;LCIA_Rows_C,0),MATCH($D39,LCIA_Columns,0)),0)*$AU39</f>
        <v>0</v>
      </c>
      <c r="BJ39" s="148">
        <f t="array" ref="BJ39">IFERROR(INDEX(LCIA_Data,MATCH($AO$15&amp;BJ$27,LCIA_Rows_B&amp;LCIA_Rows_C,0),MATCH($D39,LCIA_Columns,0)),0)*$AU39</f>
        <v>0</v>
      </c>
      <c r="BK39" s="148">
        <f t="array" ref="BK39">IFERROR(INDEX(LCIA_Data,MATCH($AO$15&amp;BK$27,LCIA_Rows_B&amp;LCIA_Rows_C,0),MATCH($D39,LCIA_Columns,0)),0)*$AU39</f>
        <v>0</v>
      </c>
      <c r="BM39" s="1">
        <f t="array" ref="BM39">IFERROR(INDEX(LCIA_Data,MATCH($AO$15&amp;BM$27,LCIA_Rows_B&amp;LCIA_Rows_C,0),MATCH(BM$26,LCIA_Columns,0)),0)*$AT39*$AH39*$BN$23</f>
        <v>0</v>
      </c>
      <c r="BN39" s="1">
        <f t="array" ref="BN39">IFERROR(INDEX(LCIA_Data,MATCH($AO$15&amp;BN$27,LCIA_Rows_B&amp;LCIA_Rows_C,0),MATCH(BN$26,LCIA_Columns,0)),0)*$AT39*$AH39*$BN$23</f>
        <v>0</v>
      </c>
      <c r="BO39" s="1">
        <f t="array" ref="BO39">IFERROR(INDEX(LCIA_Data,MATCH($AO$15&amp;BO$27,LCIA_Rows_B&amp;LCIA_Rows_C,0),MATCH(BO$26,LCIA_Columns,0)),0)*$AT39*$AH39*$BN$23</f>
        <v>0</v>
      </c>
      <c r="BP39" s="1">
        <f t="array" ref="BP39">IFERROR(INDEX(LCIA_Data,MATCH($AO$15&amp;BP$27,LCIA_Rows_B&amp;LCIA_Rows_C,0),MATCH(BP$26,LCIA_Columns,0)),0)*$AT39*$AH39*$BN$23</f>
        <v>0</v>
      </c>
      <c r="BQ39" s="1">
        <f t="array" ref="BQ39">IFERROR(INDEX(LCIA_Data,MATCH($AO$15&amp;BQ$27,LCIA_Rows_B&amp;LCIA_Rows_C,0),MATCH(BQ$26,LCIA_Columns,0)),0)*$AT39*$AH39*$BN$23</f>
        <v>0</v>
      </c>
      <c r="BR39" s="1">
        <f t="array" ref="BR39">IFERROR(INDEX(LCIA_Data,MATCH($AO$15&amp;BR$27,LCIA_Rows_B&amp;LCIA_Rows_C,0),MATCH(BR$26,LCIA_Columns,0)),0)*$AT39*$AH39*$BN$23</f>
        <v>0</v>
      </c>
      <c r="BS39" s="1">
        <f t="array" ref="BS39">IFERROR(INDEX(LCIA_Data,MATCH($AO$15&amp;BS$27,LCIA_Rows_B&amp;LCIA_Rows_C,0),MATCH(BS$26,LCIA_Columns,0)),0)*$AT39*$AH39*$BN$23</f>
        <v>0</v>
      </c>
      <c r="BT39" s="1">
        <f t="array" ref="BT39">IFERROR(INDEX(LCIA_Data,MATCH($AO$15&amp;BT$27,LCIA_Rows_B&amp;LCIA_Rows_C,0),MATCH(BT$26,LCIA_Columns,0)),0)*$AT39*$AH39*$BN$23</f>
        <v>0</v>
      </c>
      <c r="BU39" s="1">
        <f t="array" ref="BU39">IFERROR(INDEX(LCIA_Data,MATCH($AO$15&amp;BU$27,LCIA_Rows_B&amp;LCIA_Rows_C,0),MATCH(BU$26,LCIA_Columns,0)),0)*$AT39*$AH39*$BN$23</f>
        <v>0</v>
      </c>
      <c r="BV39" s="1">
        <f t="array" ref="BV39">IFERROR(INDEX(LCIA_Data,MATCH($AO$15&amp;BV$27,LCIA_Rows_B&amp;LCIA_Rows_C,0),MATCH(BV$26,LCIA_Columns,0)),0)*$AT39*$AH39*$BN$23</f>
        <v>0</v>
      </c>
      <c r="BW39" s="1">
        <f t="array" ref="BW39">IFERROR(INDEX(LCIA_Data,MATCH($AO$15&amp;BW$27,LCIA_Rows_B&amp;LCIA_Rows_C,0),MATCH(BW$26,LCIA_Columns,0)),0)*$AT39*$AH39*$BN$23</f>
        <v>0</v>
      </c>
      <c r="BX39" s="1">
        <f t="array" ref="BX39">IFERROR(INDEX(LCIA_Data,MATCH($AO$15&amp;BX$27,LCIA_Rows_B&amp;LCIA_Rows_C,0),MATCH(BX$26,LCIA_Columns,0)),0)*$AT39*$AH39*$BN$23</f>
        <v>0</v>
      </c>
      <c r="BY39" s="1">
        <f t="array" ref="BY39">IFERROR(INDEX(LCIA_Data,MATCH($AO$15&amp;BY$27,LCIA_Rows_B&amp;LCIA_Rows_C,0),MATCH(BY$26,LCIA_Columns,0)),0)*$AT39*$AH39*$BN$23</f>
        <v>0</v>
      </c>
      <c r="BZ39" s="1">
        <f t="array" ref="BZ39">IFERROR(INDEX(LCIA_Data,MATCH($AO$15&amp;BZ$27,LCIA_Rows_B&amp;LCIA_Rows_C,0),MATCH(BZ$26,LCIA_Columns,0)),0)*$AT39*$AH39*$BN$23</f>
        <v>0</v>
      </c>
      <c r="CA39" s="1">
        <f t="array" ref="CA39">IFERROR(INDEX(LCIA_Data,MATCH($AO$15&amp;CA$27,LCIA_Rows_B&amp;LCIA_Rows_C,0),MATCH(CA$26,LCIA_Columns,0)),0)*$AT39*$AI39*$BN$23</f>
        <v>0</v>
      </c>
      <c r="CB39" s="1">
        <f t="array" ref="CB39">IFERROR(INDEX(LCIA_Data,MATCH($AO$15&amp;CB$27,LCIA_Rows_B&amp;LCIA_Rows_C,0),MATCH(CB$26,LCIA_Columns,0)),0)*$AT39*$AI39*$BN$23</f>
        <v>0</v>
      </c>
      <c r="CC39" s="1">
        <f t="array" ref="CC39">IFERROR(INDEX(LCIA_Data,MATCH($AO$15&amp;CC$27,LCIA_Rows_B&amp;LCIA_Rows_C,0),MATCH(CC$26,LCIA_Columns,0)),0)*$AT39*$AI39*$BN$23</f>
        <v>0</v>
      </c>
      <c r="CD39" s="1">
        <f t="array" ref="CD39">IFERROR(INDEX(LCIA_Data,MATCH($AO$15&amp;CD$27,LCIA_Rows_B&amp;LCIA_Rows_C,0),MATCH(CD$26,LCIA_Columns,0)),0)*$AT39*$AI39*$BN$23</f>
        <v>0</v>
      </c>
      <c r="CE39" s="1">
        <f t="array" ref="CE39">IFERROR(INDEX(LCIA_Data,MATCH($AO$15&amp;CE$27,LCIA_Rows_B&amp;LCIA_Rows_C,0),MATCH(CE$26,LCIA_Columns,0)),0)*$AT39*$AI39*$BN$23</f>
        <v>0</v>
      </c>
      <c r="CF39" s="1">
        <f t="array" ref="CF39">IFERROR(INDEX(LCIA_Data,MATCH($AO$15&amp;CF$27,LCIA_Rows_B&amp;LCIA_Rows_C,0),MATCH(CF$26,LCIA_Columns,0)),0)*$AT39*$AI39*$BN$23</f>
        <v>0</v>
      </c>
      <c r="CG39" s="1">
        <f t="array" ref="CG39">IFERROR(INDEX(LCIA_Data,MATCH($AO$15&amp;CG$27,LCIA_Rows_B&amp;LCIA_Rows_C,0),MATCH(CG$26,LCIA_Columns,0)),0)*$AT39*$AI39*$BN$23</f>
        <v>0</v>
      </c>
      <c r="CH39" s="1">
        <f t="array" ref="CH39">IFERROR(INDEX(LCIA_Data,MATCH($AO$15&amp;CH$27,LCIA_Rows_B&amp;LCIA_Rows_C,0),MATCH(CH$26,LCIA_Columns,0)),0)*$AT39*$AI39*$BN$23</f>
        <v>0</v>
      </c>
      <c r="CI39" s="1">
        <f t="array" ref="CI39">IFERROR(INDEX(LCIA_Data,MATCH($AO$15&amp;CI$27,LCIA_Rows_B&amp;LCIA_Rows_C,0),MATCH(CI$26,LCIA_Columns,0)),0)*$AT39*$AI39*$BN$23</f>
        <v>0</v>
      </c>
      <c r="CJ39" s="1">
        <f t="array" ref="CJ39">IFERROR(INDEX(LCIA_Data,MATCH($AO$15&amp;CJ$27,LCIA_Rows_B&amp;LCIA_Rows_C,0),MATCH(CJ$26,LCIA_Columns,0)),0)*$AT39*$AI39*$BN$23</f>
        <v>0</v>
      </c>
      <c r="CK39" s="1">
        <f t="array" ref="CK39">IFERROR(INDEX(LCIA_Data,MATCH($AO$15&amp;CK$27,LCIA_Rows_B&amp;LCIA_Rows_C,0),MATCH(CK$26,LCIA_Columns,0)),0)*$AT39*$AI39*$BN$23</f>
        <v>0</v>
      </c>
      <c r="CL39" s="1">
        <f t="array" ref="CL39">IFERROR(INDEX(LCIA_Data,MATCH($AO$15&amp;CL$27,LCIA_Rows_B&amp;LCIA_Rows_C,0),MATCH(CL$26,LCIA_Columns,0)),0)*$AT39*$AI39*$BN$23</f>
        <v>0</v>
      </c>
      <c r="CM39" s="1">
        <f t="array" ref="CM39">IFERROR(INDEX(LCIA_Data,MATCH($AO$15&amp;CM$27,LCIA_Rows_B&amp;LCIA_Rows_C,0),MATCH(CM$26,LCIA_Columns,0)),0)*$AT39*$AJ39*$BN$23</f>
        <v>0</v>
      </c>
      <c r="CN39" s="1">
        <f t="array" ref="CN39">IFERROR(INDEX(LCIA_Data,MATCH($AO$15&amp;CN$27,LCIA_Rows_B&amp;LCIA_Rows_C,0),MATCH(CN$26,LCIA_Columns,0)),0)*$AT39*$AJ39*$BN$23</f>
        <v>0</v>
      </c>
      <c r="CO39" s="1">
        <f t="array" ref="CO39">IFERROR(INDEX(LCIA_Data,MATCH($AO$15&amp;CO$27,LCIA_Rows_B&amp;LCIA_Rows_C,0),MATCH(CO$26,LCIA_Columns,0)),0)*$AT39*$AJ39*$BN$23</f>
        <v>0</v>
      </c>
      <c r="CP39" s="1">
        <f t="array" ref="CP39">IFERROR(INDEX(LCIA_Data,MATCH($AO$15&amp;CP$27,LCIA_Rows_B&amp;LCIA_Rows_C,0),MATCH(CP$26,LCIA_Columns,0)),0)*$AT39*$AJ39*$BN$23</f>
        <v>0</v>
      </c>
      <c r="CQ39" s="1">
        <f t="array" ref="CQ39">IFERROR(INDEX(LCIA_Data,MATCH($AO$15&amp;CQ$27,LCIA_Rows_B&amp;LCIA_Rows_C,0),MATCH(CQ$26,LCIA_Columns,0)),0)*$AT39*$AJ39*$BN$23</f>
        <v>0</v>
      </c>
      <c r="CR39" s="1">
        <f t="array" ref="CR39">IFERROR(INDEX(LCIA_Data,MATCH($AO$15&amp;CR$27,LCIA_Rows_B&amp;LCIA_Rows_C,0),MATCH(CR$26,LCIA_Columns,0)),0)*$AT39*$AJ39*$BN$23</f>
        <v>0</v>
      </c>
      <c r="CS39" s="1">
        <f t="array" ref="CS39">IFERROR(INDEX(LCIA_Data,MATCH($AO$15&amp;CS$27,LCIA_Rows_B&amp;LCIA_Rows_C,0),MATCH(CS$26,LCIA_Columns,0)),0)*$AT39*$AJ39*$BN$23</f>
        <v>0</v>
      </c>
      <c r="CT39" s="1">
        <f t="array" ref="CT39">IFERROR(INDEX(LCIA_Data,MATCH($AO$15&amp;CT$27,LCIA_Rows_B&amp;LCIA_Rows_C,0),MATCH(CT$26,LCIA_Columns,0)),0)*$AT39*$AJ39*$BN$23</f>
        <v>0</v>
      </c>
      <c r="CU39" s="1">
        <f t="array" ref="CU39">IFERROR(INDEX(LCIA_Data,MATCH($AO$15&amp;CU$27,LCIA_Rows_B&amp;LCIA_Rows_C,0),MATCH(CU$26,LCIA_Columns,0)),0)*$AT39*$AJ39*$BN$23</f>
        <v>0</v>
      </c>
      <c r="CV39" s="1">
        <f t="array" ref="CV39">IFERROR(INDEX(LCIA_Data,MATCH($AO$15&amp;CV$27,LCIA_Rows_B&amp;LCIA_Rows_C,0),MATCH(CV$26,LCIA_Columns,0)),0)*$AT39*$AJ39*$BN$23</f>
        <v>0</v>
      </c>
      <c r="CW39" s="1">
        <f t="array" ref="CW39">IFERROR(INDEX(LCIA_Data,MATCH($AO$15&amp;CW$27,LCIA_Rows_B&amp;LCIA_Rows_C,0),MATCH(CW$26,LCIA_Columns,0)),0)*$AT39*$AJ39*$BN$23</f>
        <v>0</v>
      </c>
      <c r="CX39" s="1">
        <f t="array" ref="CX39">IFERROR(INDEX(LCIA_Data,MATCH($AO$15&amp;CX$27,LCIA_Rows_B&amp;LCIA_Rows_C,0),MATCH(CX$26,LCIA_Columns,0)),0)*$AT39*$AJ39*$BN$23</f>
        <v>0</v>
      </c>
      <c r="CY39" s="1">
        <f t="array" ref="CY39">IFERROR(INDEX(LCIA_Data,MATCH($AO$15&amp;CY$27,LCIA_Rows_B&amp;LCIA_Rows_C,0),MATCH(CY$26,LCIA_Columns,0)),0)*$AT39*$AJ39*$BN$23</f>
        <v>0</v>
      </c>
      <c r="CZ39" s="1">
        <f t="array" ref="CZ39">IFERROR(INDEX(LCIA_Data,MATCH($AO$15&amp;CZ$27,LCIA_Rows_B&amp;LCIA_Rows_C,0),MATCH(CZ$26,LCIA_Columns,0)),0)*$AT39*$AJ39*$BN$23</f>
        <v>0</v>
      </c>
      <c r="DA39" s="1">
        <f t="array" ref="DA39">IFERROR(INDEX(LCIA_Data,MATCH($AO$15&amp;DA$27,LCIA_Rows_B&amp;LCIA_Rows_C,0),MATCH(DA$26,LCIA_Columns,0)),0)*$AT39*$AK39*$BN$23</f>
        <v>0</v>
      </c>
      <c r="DB39" s="1">
        <f t="array" ref="DB39">IFERROR(INDEX(LCIA_Data,MATCH($AO$15&amp;DB$27,LCIA_Rows_B&amp;LCIA_Rows_C,0),MATCH(DB$26,LCIA_Columns,0)),0)*$AT39*$AK39*$BN$23</f>
        <v>0</v>
      </c>
      <c r="DC39" s="1">
        <f t="array" ref="DC39">IFERROR(INDEX(LCIA_Data,MATCH($AO$15&amp;DC$27,LCIA_Rows_B&amp;LCIA_Rows_C,0),MATCH(DC$26,LCIA_Columns,0)),0)*$AT39*$AK39*$BN$23</f>
        <v>0</v>
      </c>
      <c r="DD39" s="1">
        <f t="array" ref="DD39">IFERROR(INDEX(LCIA_Data,MATCH($AO$15&amp;DD$27,LCIA_Rows_B&amp;LCIA_Rows_C,0),MATCH(DD$26,LCIA_Columns,0)),0)*$AT39*$AK39*$BN$23</f>
        <v>0</v>
      </c>
      <c r="DE39" s="1">
        <f t="array" ref="DE39">IFERROR(INDEX(LCIA_Data,MATCH($AO$15&amp;DE$27,LCIA_Rows_B&amp;LCIA_Rows_C,0),MATCH(DE$26,LCIA_Columns,0)),0)*$AT39*$AK39*$BN$23</f>
        <v>0</v>
      </c>
      <c r="DF39" s="1">
        <f t="array" ref="DF39">IFERROR(INDEX(LCIA_Data,MATCH($AO$15&amp;DF$27,LCIA_Rows_B&amp;LCIA_Rows_C,0),MATCH(DF$26,LCIA_Columns,0)),0)*$AT39*$AK39*$BN$23</f>
        <v>0</v>
      </c>
      <c r="DG39" s="1">
        <f t="array" ref="DG39">IFERROR(INDEX(LCIA_Data,MATCH($AO$15&amp;DG$27,LCIA_Rows_B&amp;LCIA_Rows_C,0),MATCH(DG$26,LCIA_Columns,0)),0)*$AT39*$AK39*$BN$23</f>
        <v>0</v>
      </c>
      <c r="DH39" s="1">
        <f t="array" ref="DH39">IFERROR(INDEX(LCIA_Data,MATCH($AO$15&amp;DH$27,LCIA_Rows_B&amp;LCIA_Rows_C,0),MATCH(DH$26,LCIA_Columns,0)),0)*$AT39*$AK39*$BN$23</f>
        <v>0</v>
      </c>
      <c r="DI39" s="1">
        <f t="array" ref="DI39">IFERROR(INDEX(LCIA_Data,MATCH($AO$15&amp;DI$27,LCIA_Rows_B&amp;LCIA_Rows_C,0),MATCH(DI$26,LCIA_Columns,0)),0)*$AT39*$AK39*$BN$23</f>
        <v>0</v>
      </c>
      <c r="DJ39" s="1">
        <f t="array" ref="DJ39">IFERROR(INDEX(LCIA_Data,MATCH($AO$15&amp;DJ$27,LCIA_Rows_B&amp;LCIA_Rows_C,0),MATCH(DJ$26,LCIA_Columns,0)),0)*$AT39*$AK39*$BN$23</f>
        <v>0</v>
      </c>
      <c r="DK39" s="1">
        <f t="array" ref="DK39">IFERROR(INDEX(LCIA_Data,MATCH($AO$15&amp;DK$27,LCIA_Rows_B&amp;LCIA_Rows_C,0),MATCH(DK$26,LCIA_Columns,0)),0)*$AT39*$AK39*$BN$23</f>
        <v>0</v>
      </c>
      <c r="DL39" s="1">
        <f t="array" ref="DL39">IFERROR(INDEX(LCIA_Data,MATCH($AO$15&amp;DL$27,LCIA_Rows_B&amp;LCIA_Rows_C,0),MATCH(DL$26,LCIA_Columns,0)),0)*$AT39*$AK39*$BN$23</f>
        <v>0</v>
      </c>
      <c r="DM39" s="1">
        <f t="array" ref="DM39">IFERROR(INDEX(LCIA_Data,MATCH($AO$15&amp;DM$27,LCIA_Rows_B&amp;LCIA_Rows_C,0),MATCH(DM$26,LCIA_Columns,0)),0)*$AT39*$AK39*$BN$23</f>
        <v>0</v>
      </c>
      <c r="DN39" s="1">
        <f t="array" ref="DN39">IFERROR(INDEX(LCIA_Data,MATCH($AO$15&amp;DN$27,LCIA_Rows_B&amp;LCIA_Rows_C,0),MATCH(DN$26,LCIA_Columns,0)),0)*$AT39*$AK39*$BN$23</f>
        <v>0</v>
      </c>
      <c r="DO39">
        <f t="shared" si="20"/>
        <v>0</v>
      </c>
      <c r="DP39">
        <f t="shared" si="20"/>
        <v>0</v>
      </c>
      <c r="DQ39">
        <f t="shared" si="20"/>
        <v>0</v>
      </c>
      <c r="DR39">
        <f t="shared" si="20"/>
        <v>0</v>
      </c>
      <c r="DS39">
        <f t="shared" si="20"/>
        <v>0</v>
      </c>
      <c r="DT39">
        <f t="shared" si="20"/>
        <v>0</v>
      </c>
      <c r="DU39">
        <f t="shared" si="20"/>
        <v>0</v>
      </c>
      <c r="DV39">
        <f t="shared" si="20"/>
        <v>0</v>
      </c>
      <c r="DW39">
        <f t="shared" si="20"/>
        <v>0</v>
      </c>
      <c r="DX39">
        <f t="shared" si="20"/>
        <v>0</v>
      </c>
      <c r="DY39">
        <f t="shared" si="20"/>
        <v>0</v>
      </c>
      <c r="DZ39">
        <f t="shared" si="20"/>
        <v>0</v>
      </c>
      <c r="EA39">
        <f t="shared" si="20"/>
        <v>0</v>
      </c>
      <c r="EB39">
        <f t="shared" si="21"/>
        <v>0</v>
      </c>
      <c r="EC39"/>
      <c r="ED39"/>
      <c r="EE39"/>
      <c r="EF39"/>
      <c r="EG39"/>
    </row>
    <row r="40" spans="2:137" ht="15" customHeight="1">
      <c r="B40" s="53">
        <f t="shared" si="25"/>
        <v>0</v>
      </c>
      <c r="C40" s="26">
        <f t="shared" si="22"/>
        <v>11</v>
      </c>
      <c r="D40" s="46" t="str">
        <f>'Plant Inputs'!$D40</f>
        <v>SCMs - Silica Fume</v>
      </c>
      <c r="E40" s="99"/>
      <c r="F40" s="119" t="str">
        <f t="shared" si="6"/>
        <v>short ton</v>
      </c>
      <c r="G40" s="158">
        <f t="shared" si="26"/>
        <v>0</v>
      </c>
      <c r="H40" s="204" t="str">
        <f t="shared" si="7"/>
        <v>short ton</v>
      </c>
      <c r="I40" s="156">
        <f t="shared" si="8"/>
        <v>0</v>
      </c>
      <c r="J40"/>
      <c r="K40"/>
      <c r="L40"/>
      <c r="M40"/>
      <c r="N40"/>
      <c r="O40"/>
      <c r="P40"/>
      <c r="Q40"/>
      <c r="R40"/>
      <c r="S40"/>
      <c r="T40"/>
      <c r="X40" s="67">
        <f t="shared" si="27"/>
        <v>0</v>
      </c>
      <c r="Y40" s="216">
        <f>IF(AND($X40=1,'Plant Inputs'!$Y40=1),1,0)</f>
        <v>0</v>
      </c>
      <c r="Z40" s="216"/>
      <c r="AA40" s="216">
        <f>IF($Y40=0,0,IF('Plant Inputs'!J40="",0,'Plant Inputs'!J40))</f>
        <v>0</v>
      </c>
      <c r="AB40" s="216">
        <f>IF($Y40=0,0,IF('Plant Inputs'!K40="",0,'Plant Inputs'!K40))</f>
        <v>0</v>
      </c>
      <c r="AC40" s="216">
        <f>IF($Y40=0,0,IF('Plant Inputs'!L40="",0,'Plant Inputs'!L40))</f>
        <v>0</v>
      </c>
      <c r="AD40" s="216">
        <f>IF($Y40=0,0,IF('Plant Inputs'!M40="",0,'Plant Inputs'!M40))</f>
        <v>0</v>
      </c>
      <c r="AE40" s="217" t="str">
        <f>'Plant Inputs'!$O40</f>
        <v>mile</v>
      </c>
      <c r="AF40" s="217">
        <f t="shared" si="9"/>
        <v>1.6093473468862911</v>
      </c>
      <c r="AG40" s="216" t="str">
        <f t="shared" si="23"/>
        <v>km/mile</v>
      </c>
      <c r="AH40" s="216">
        <f t="shared" si="10"/>
        <v>0</v>
      </c>
      <c r="AI40" s="216">
        <f t="shared" si="10"/>
        <v>0</v>
      </c>
      <c r="AJ40" s="216">
        <f t="shared" si="10"/>
        <v>0</v>
      </c>
      <c r="AK40" s="216">
        <f t="shared" si="10"/>
        <v>0</v>
      </c>
      <c r="AL40" s="216"/>
      <c r="AM40" s="1" t="str">
        <f t="shared" si="11"/>
        <v>SCMs - Silica Fume</v>
      </c>
      <c r="AN40" t="s">
        <v>127</v>
      </c>
      <c r="AO40">
        <f t="shared" si="12"/>
        <v>0</v>
      </c>
      <c r="AP40" s="1">
        <f t="shared" si="24"/>
        <v>0</v>
      </c>
      <c r="AQ40" s="1" t="str">
        <f t="shared" si="13"/>
        <v>short ton</v>
      </c>
      <c r="AR40" s="1">
        <f t="shared" si="14"/>
        <v>0.90718499588591606</v>
      </c>
      <c r="AS40" s="87" t="str">
        <f t="shared" si="15"/>
        <v>tonne/short ton</v>
      </c>
      <c r="AT40" s="87">
        <f t="shared" si="16"/>
        <v>0</v>
      </c>
      <c r="AU40" s="87">
        <f t="shared" si="17"/>
        <v>0</v>
      </c>
      <c r="AV40" s="87">
        <f t="shared" si="18"/>
        <v>0</v>
      </c>
      <c r="AW40" t="str">
        <f t="shared" si="19"/>
        <v>SCMs - Silica Fume</v>
      </c>
      <c r="AX40" s="148">
        <f t="array" ref="AX40">IFERROR(INDEX(LCIA_Data,MATCH($AO$15&amp;AX$27,LCIA_Rows_B&amp;LCIA_Rows_C,0),MATCH($D40,LCIA_Columns,0)),0)*$AU40</f>
        <v>0</v>
      </c>
      <c r="AY40" s="148">
        <f t="array" ref="AY40">IFERROR(INDEX(LCIA_Data,MATCH($AO$15&amp;AY$27,LCIA_Rows_B&amp;LCIA_Rows_C,0),MATCH($D40,LCIA_Columns,0)),0)*$AU40</f>
        <v>0</v>
      </c>
      <c r="AZ40" s="148">
        <f t="array" ref="AZ40">IFERROR(INDEX(LCIA_Data,MATCH($AO$15&amp;AZ$27,LCIA_Rows_B&amp;LCIA_Rows_C,0),MATCH($D40,LCIA_Columns,0)),0)*$AU40</f>
        <v>0</v>
      </c>
      <c r="BA40" s="148">
        <f t="array" ref="BA40">IFERROR(INDEX(LCIA_Data,MATCH($AO$15&amp;BA$27,LCIA_Rows_B&amp;LCIA_Rows_C,0),MATCH($D40,LCIA_Columns,0)),0)*$AU40</f>
        <v>0</v>
      </c>
      <c r="BB40" s="148">
        <f t="array" ref="BB40">IFERROR(INDEX(LCIA_Data,MATCH($AO$15&amp;BB$27,LCIA_Rows_B&amp;LCIA_Rows_C,0),MATCH($D40,LCIA_Columns,0)),0)*$AU40</f>
        <v>0</v>
      </c>
      <c r="BC40" s="148">
        <f t="array" ref="BC40">IFERROR(INDEX(LCIA_Data,MATCH($AO$15&amp;BC$27,LCIA_Rows_B&amp;LCIA_Rows_C,0),MATCH($D40,LCIA_Columns,0)),0)*$AU40</f>
        <v>0</v>
      </c>
      <c r="BD40" s="148">
        <f t="array" ref="BD40">IFERROR(INDEX(LCIA_Data,MATCH($AO$15&amp;BD$27,LCIA_Rows_B&amp;LCIA_Rows_C,0),MATCH($D40,LCIA_Columns,0)),0)*$AU40</f>
        <v>0</v>
      </c>
      <c r="BE40" s="148">
        <f t="array" ref="BE40">IFERROR(INDEX(LCIA_Data,MATCH($AO$15&amp;BE$27,LCIA_Rows_B&amp;LCIA_Rows_C,0),MATCH($D40,LCIA_Columns,0)),0)*$AU40</f>
        <v>0</v>
      </c>
      <c r="BF40" s="148">
        <f t="array" ref="BF40">IFERROR(INDEX(LCIA_Data,MATCH($AO$15&amp;BF$27,LCIA_Rows_B&amp;LCIA_Rows_C,0),MATCH($D40,LCIA_Columns,0)),0)*$AU40</f>
        <v>0</v>
      </c>
      <c r="BG40" s="148">
        <f t="array" ref="BG40">IFERROR(INDEX(LCIA_Data,MATCH($AO$15&amp;BG$27,LCIA_Rows_B&amp;LCIA_Rows_C,0),MATCH($D40,LCIA_Columns,0)),0)*$AU40</f>
        <v>0</v>
      </c>
      <c r="BH40" s="148">
        <f t="array" ref="BH40">IFERROR(INDEX(LCIA_Data,MATCH($AO$15&amp;BH$27,LCIA_Rows_B&amp;LCIA_Rows_C,0),MATCH($D40,LCIA_Columns,0)),0)*$AU40</f>
        <v>0</v>
      </c>
      <c r="BI40" s="148">
        <f t="array" ref="BI40">IFERROR(INDEX(LCIA_Data,MATCH($AO$15&amp;BI$27,LCIA_Rows_B&amp;LCIA_Rows_C,0),MATCH($D40,LCIA_Columns,0)),0)*$AU40</f>
        <v>0</v>
      </c>
      <c r="BJ40" s="148">
        <f t="array" ref="BJ40">IFERROR(INDEX(LCIA_Data,MATCH($AO$15&amp;BJ$27,LCIA_Rows_B&amp;LCIA_Rows_C,0),MATCH($D40,LCIA_Columns,0)),0)*$AU40</f>
        <v>0</v>
      </c>
      <c r="BK40" s="148">
        <f t="array" ref="BK40">IFERROR(INDEX(LCIA_Data,MATCH($AO$15&amp;BK$27,LCIA_Rows_B&amp;LCIA_Rows_C,0),MATCH($D40,LCIA_Columns,0)),0)*$AU40</f>
        <v>0</v>
      </c>
      <c r="BM40" s="1">
        <f t="array" ref="BM40">IFERROR(INDEX(LCIA_Data,MATCH($AO$15&amp;BM$27,LCIA_Rows_B&amp;LCIA_Rows_C,0),MATCH(BM$26,LCIA_Columns,0)),0)*$AT40*$AH40*$BN$23</f>
        <v>0</v>
      </c>
      <c r="BN40" s="1">
        <f t="array" ref="BN40">IFERROR(INDEX(LCIA_Data,MATCH($AO$15&amp;BN$27,LCIA_Rows_B&amp;LCIA_Rows_C,0),MATCH(BN$26,LCIA_Columns,0)),0)*$AT40*$AH40*$BN$23</f>
        <v>0</v>
      </c>
      <c r="BO40" s="1">
        <f t="array" ref="BO40">IFERROR(INDEX(LCIA_Data,MATCH($AO$15&amp;BO$27,LCIA_Rows_B&amp;LCIA_Rows_C,0),MATCH(BO$26,LCIA_Columns,0)),0)*$AT40*$AH40*$BN$23</f>
        <v>0</v>
      </c>
      <c r="BP40" s="1">
        <f t="array" ref="BP40">IFERROR(INDEX(LCIA_Data,MATCH($AO$15&amp;BP$27,LCIA_Rows_B&amp;LCIA_Rows_C,0),MATCH(BP$26,LCIA_Columns,0)),0)*$AT40*$AH40*$BN$23</f>
        <v>0</v>
      </c>
      <c r="BQ40" s="1">
        <f t="array" ref="BQ40">IFERROR(INDEX(LCIA_Data,MATCH($AO$15&amp;BQ$27,LCIA_Rows_B&amp;LCIA_Rows_C,0),MATCH(BQ$26,LCIA_Columns,0)),0)*$AT40*$AH40*$BN$23</f>
        <v>0</v>
      </c>
      <c r="BR40" s="1">
        <f t="array" ref="BR40">IFERROR(INDEX(LCIA_Data,MATCH($AO$15&amp;BR$27,LCIA_Rows_B&amp;LCIA_Rows_C,0),MATCH(BR$26,LCIA_Columns,0)),0)*$AT40*$AH40*$BN$23</f>
        <v>0</v>
      </c>
      <c r="BS40" s="1">
        <f t="array" ref="BS40">IFERROR(INDEX(LCIA_Data,MATCH($AO$15&amp;BS$27,LCIA_Rows_B&amp;LCIA_Rows_C,0),MATCH(BS$26,LCIA_Columns,0)),0)*$AT40*$AH40*$BN$23</f>
        <v>0</v>
      </c>
      <c r="BT40" s="1">
        <f t="array" ref="BT40">IFERROR(INDEX(LCIA_Data,MATCH($AO$15&amp;BT$27,LCIA_Rows_B&amp;LCIA_Rows_C,0),MATCH(BT$26,LCIA_Columns,0)),0)*$AT40*$AH40*$BN$23</f>
        <v>0</v>
      </c>
      <c r="BU40" s="1">
        <f t="array" ref="BU40">IFERROR(INDEX(LCIA_Data,MATCH($AO$15&amp;BU$27,LCIA_Rows_B&amp;LCIA_Rows_C,0),MATCH(BU$26,LCIA_Columns,0)),0)*$AT40*$AH40*$BN$23</f>
        <v>0</v>
      </c>
      <c r="BV40" s="1">
        <f t="array" ref="BV40">IFERROR(INDEX(LCIA_Data,MATCH($AO$15&amp;BV$27,LCIA_Rows_B&amp;LCIA_Rows_C,0),MATCH(BV$26,LCIA_Columns,0)),0)*$AT40*$AH40*$BN$23</f>
        <v>0</v>
      </c>
      <c r="BW40" s="1">
        <f t="array" ref="BW40">IFERROR(INDEX(LCIA_Data,MATCH($AO$15&amp;BW$27,LCIA_Rows_B&amp;LCIA_Rows_C,0),MATCH(BW$26,LCIA_Columns,0)),0)*$AT40*$AH40*$BN$23</f>
        <v>0</v>
      </c>
      <c r="BX40" s="1">
        <f t="array" ref="BX40">IFERROR(INDEX(LCIA_Data,MATCH($AO$15&amp;BX$27,LCIA_Rows_B&amp;LCIA_Rows_C,0),MATCH(BX$26,LCIA_Columns,0)),0)*$AT40*$AH40*$BN$23</f>
        <v>0</v>
      </c>
      <c r="BY40" s="1">
        <f t="array" ref="BY40">IFERROR(INDEX(LCIA_Data,MATCH($AO$15&amp;BY$27,LCIA_Rows_B&amp;LCIA_Rows_C,0),MATCH(BY$26,LCIA_Columns,0)),0)*$AT40*$AH40*$BN$23</f>
        <v>0</v>
      </c>
      <c r="BZ40" s="1">
        <f t="array" ref="BZ40">IFERROR(INDEX(LCIA_Data,MATCH($AO$15&amp;BZ$27,LCIA_Rows_B&amp;LCIA_Rows_C,0),MATCH(BZ$26,LCIA_Columns,0)),0)*$AT40*$AH40*$BN$23</f>
        <v>0</v>
      </c>
      <c r="CA40" s="1">
        <f t="array" ref="CA40">IFERROR(INDEX(LCIA_Data,MATCH($AO$15&amp;CA$27,LCIA_Rows_B&amp;LCIA_Rows_C,0),MATCH(CA$26,LCIA_Columns,0)),0)*$AT40*$AI40*$BN$23</f>
        <v>0</v>
      </c>
      <c r="CB40" s="1">
        <f t="array" ref="CB40">IFERROR(INDEX(LCIA_Data,MATCH($AO$15&amp;CB$27,LCIA_Rows_B&amp;LCIA_Rows_C,0),MATCH(CB$26,LCIA_Columns,0)),0)*$AT40*$AI40*$BN$23</f>
        <v>0</v>
      </c>
      <c r="CC40" s="1">
        <f t="array" ref="CC40">IFERROR(INDEX(LCIA_Data,MATCH($AO$15&amp;CC$27,LCIA_Rows_B&amp;LCIA_Rows_C,0),MATCH(CC$26,LCIA_Columns,0)),0)*$AT40*$AI40*$BN$23</f>
        <v>0</v>
      </c>
      <c r="CD40" s="1">
        <f t="array" ref="CD40">IFERROR(INDEX(LCIA_Data,MATCH($AO$15&amp;CD$27,LCIA_Rows_B&amp;LCIA_Rows_C,0),MATCH(CD$26,LCIA_Columns,0)),0)*$AT40*$AI40*$BN$23</f>
        <v>0</v>
      </c>
      <c r="CE40" s="1">
        <f t="array" ref="CE40">IFERROR(INDEX(LCIA_Data,MATCH($AO$15&amp;CE$27,LCIA_Rows_B&amp;LCIA_Rows_C,0),MATCH(CE$26,LCIA_Columns,0)),0)*$AT40*$AI40*$BN$23</f>
        <v>0</v>
      </c>
      <c r="CF40" s="1">
        <f t="array" ref="CF40">IFERROR(INDEX(LCIA_Data,MATCH($AO$15&amp;CF$27,LCIA_Rows_B&amp;LCIA_Rows_C,0),MATCH(CF$26,LCIA_Columns,0)),0)*$AT40*$AI40*$BN$23</f>
        <v>0</v>
      </c>
      <c r="CG40" s="1">
        <f t="array" ref="CG40">IFERROR(INDEX(LCIA_Data,MATCH($AO$15&amp;CG$27,LCIA_Rows_B&amp;LCIA_Rows_C,0),MATCH(CG$26,LCIA_Columns,0)),0)*$AT40*$AI40*$BN$23</f>
        <v>0</v>
      </c>
      <c r="CH40" s="1">
        <f t="array" ref="CH40">IFERROR(INDEX(LCIA_Data,MATCH($AO$15&amp;CH$27,LCIA_Rows_B&amp;LCIA_Rows_C,0),MATCH(CH$26,LCIA_Columns,0)),0)*$AT40*$AI40*$BN$23</f>
        <v>0</v>
      </c>
      <c r="CI40" s="1">
        <f t="array" ref="CI40">IFERROR(INDEX(LCIA_Data,MATCH($AO$15&amp;CI$27,LCIA_Rows_B&amp;LCIA_Rows_C,0),MATCH(CI$26,LCIA_Columns,0)),0)*$AT40*$AI40*$BN$23</f>
        <v>0</v>
      </c>
      <c r="CJ40" s="1">
        <f t="array" ref="CJ40">IFERROR(INDEX(LCIA_Data,MATCH($AO$15&amp;CJ$27,LCIA_Rows_B&amp;LCIA_Rows_C,0),MATCH(CJ$26,LCIA_Columns,0)),0)*$AT40*$AI40*$BN$23</f>
        <v>0</v>
      </c>
      <c r="CK40" s="1">
        <f t="array" ref="CK40">IFERROR(INDEX(LCIA_Data,MATCH($AO$15&amp;CK$27,LCIA_Rows_B&amp;LCIA_Rows_C,0),MATCH(CK$26,LCIA_Columns,0)),0)*$AT40*$AI40*$BN$23</f>
        <v>0</v>
      </c>
      <c r="CL40" s="1">
        <f t="array" ref="CL40">IFERROR(INDEX(LCIA_Data,MATCH($AO$15&amp;CL$27,LCIA_Rows_B&amp;LCIA_Rows_C,0),MATCH(CL$26,LCIA_Columns,0)),0)*$AT40*$AI40*$BN$23</f>
        <v>0</v>
      </c>
      <c r="CM40" s="1">
        <f t="array" ref="CM40">IFERROR(INDEX(LCIA_Data,MATCH($AO$15&amp;CM$27,LCIA_Rows_B&amp;LCIA_Rows_C,0),MATCH(CM$26,LCIA_Columns,0)),0)*$AT40*$AJ40*$BN$23</f>
        <v>0</v>
      </c>
      <c r="CN40" s="1">
        <f t="array" ref="CN40">IFERROR(INDEX(LCIA_Data,MATCH($AO$15&amp;CN$27,LCIA_Rows_B&amp;LCIA_Rows_C,0),MATCH(CN$26,LCIA_Columns,0)),0)*$AT40*$AJ40*$BN$23</f>
        <v>0</v>
      </c>
      <c r="CO40" s="1">
        <f t="array" ref="CO40">IFERROR(INDEX(LCIA_Data,MATCH($AO$15&amp;CO$27,LCIA_Rows_B&amp;LCIA_Rows_C,0),MATCH(CO$26,LCIA_Columns,0)),0)*$AT40*$AJ40*$BN$23</f>
        <v>0</v>
      </c>
      <c r="CP40" s="1">
        <f t="array" ref="CP40">IFERROR(INDEX(LCIA_Data,MATCH($AO$15&amp;CP$27,LCIA_Rows_B&amp;LCIA_Rows_C,0),MATCH(CP$26,LCIA_Columns,0)),0)*$AT40*$AJ40*$BN$23</f>
        <v>0</v>
      </c>
      <c r="CQ40" s="1">
        <f t="array" ref="CQ40">IFERROR(INDEX(LCIA_Data,MATCH($AO$15&amp;CQ$27,LCIA_Rows_B&amp;LCIA_Rows_C,0),MATCH(CQ$26,LCIA_Columns,0)),0)*$AT40*$AJ40*$BN$23</f>
        <v>0</v>
      </c>
      <c r="CR40" s="1">
        <f t="array" ref="CR40">IFERROR(INDEX(LCIA_Data,MATCH($AO$15&amp;CR$27,LCIA_Rows_B&amp;LCIA_Rows_C,0),MATCH(CR$26,LCIA_Columns,0)),0)*$AT40*$AJ40*$BN$23</f>
        <v>0</v>
      </c>
      <c r="CS40" s="1">
        <f t="array" ref="CS40">IFERROR(INDEX(LCIA_Data,MATCH($AO$15&amp;CS$27,LCIA_Rows_B&amp;LCIA_Rows_C,0),MATCH(CS$26,LCIA_Columns,0)),0)*$AT40*$AJ40*$BN$23</f>
        <v>0</v>
      </c>
      <c r="CT40" s="1">
        <f t="array" ref="CT40">IFERROR(INDEX(LCIA_Data,MATCH($AO$15&amp;CT$27,LCIA_Rows_B&amp;LCIA_Rows_C,0),MATCH(CT$26,LCIA_Columns,0)),0)*$AT40*$AJ40*$BN$23</f>
        <v>0</v>
      </c>
      <c r="CU40" s="1">
        <f t="array" ref="CU40">IFERROR(INDEX(LCIA_Data,MATCH($AO$15&amp;CU$27,LCIA_Rows_B&amp;LCIA_Rows_C,0),MATCH(CU$26,LCIA_Columns,0)),0)*$AT40*$AJ40*$BN$23</f>
        <v>0</v>
      </c>
      <c r="CV40" s="1">
        <f t="array" ref="CV40">IFERROR(INDEX(LCIA_Data,MATCH($AO$15&amp;CV$27,LCIA_Rows_B&amp;LCIA_Rows_C,0),MATCH(CV$26,LCIA_Columns,0)),0)*$AT40*$AJ40*$BN$23</f>
        <v>0</v>
      </c>
      <c r="CW40" s="1">
        <f t="array" ref="CW40">IFERROR(INDEX(LCIA_Data,MATCH($AO$15&amp;CW$27,LCIA_Rows_B&amp;LCIA_Rows_C,0),MATCH(CW$26,LCIA_Columns,0)),0)*$AT40*$AJ40*$BN$23</f>
        <v>0</v>
      </c>
      <c r="CX40" s="1">
        <f t="array" ref="CX40">IFERROR(INDEX(LCIA_Data,MATCH($AO$15&amp;CX$27,LCIA_Rows_B&amp;LCIA_Rows_C,0),MATCH(CX$26,LCIA_Columns,0)),0)*$AT40*$AJ40*$BN$23</f>
        <v>0</v>
      </c>
      <c r="CY40" s="1">
        <f t="array" ref="CY40">IFERROR(INDEX(LCIA_Data,MATCH($AO$15&amp;CY$27,LCIA_Rows_B&amp;LCIA_Rows_C,0),MATCH(CY$26,LCIA_Columns,0)),0)*$AT40*$AJ40*$BN$23</f>
        <v>0</v>
      </c>
      <c r="CZ40" s="1">
        <f t="array" ref="CZ40">IFERROR(INDEX(LCIA_Data,MATCH($AO$15&amp;CZ$27,LCIA_Rows_B&amp;LCIA_Rows_C,0),MATCH(CZ$26,LCIA_Columns,0)),0)*$AT40*$AJ40*$BN$23</f>
        <v>0</v>
      </c>
      <c r="DA40" s="1">
        <f t="array" ref="DA40">IFERROR(INDEX(LCIA_Data,MATCH($AO$15&amp;DA$27,LCIA_Rows_B&amp;LCIA_Rows_C,0),MATCH(DA$26,LCIA_Columns,0)),0)*$AT40*$AK40*$BN$23</f>
        <v>0</v>
      </c>
      <c r="DB40" s="1">
        <f t="array" ref="DB40">IFERROR(INDEX(LCIA_Data,MATCH($AO$15&amp;DB$27,LCIA_Rows_B&amp;LCIA_Rows_C,0),MATCH(DB$26,LCIA_Columns,0)),0)*$AT40*$AK40*$BN$23</f>
        <v>0</v>
      </c>
      <c r="DC40" s="1">
        <f t="array" ref="DC40">IFERROR(INDEX(LCIA_Data,MATCH($AO$15&amp;DC$27,LCIA_Rows_B&amp;LCIA_Rows_C,0),MATCH(DC$26,LCIA_Columns,0)),0)*$AT40*$AK40*$BN$23</f>
        <v>0</v>
      </c>
      <c r="DD40" s="1">
        <f t="array" ref="DD40">IFERROR(INDEX(LCIA_Data,MATCH($AO$15&amp;DD$27,LCIA_Rows_B&amp;LCIA_Rows_C,0),MATCH(DD$26,LCIA_Columns,0)),0)*$AT40*$AK40*$BN$23</f>
        <v>0</v>
      </c>
      <c r="DE40" s="1">
        <f t="array" ref="DE40">IFERROR(INDEX(LCIA_Data,MATCH($AO$15&amp;DE$27,LCIA_Rows_B&amp;LCIA_Rows_C,0),MATCH(DE$26,LCIA_Columns,0)),0)*$AT40*$AK40*$BN$23</f>
        <v>0</v>
      </c>
      <c r="DF40" s="1">
        <f t="array" ref="DF40">IFERROR(INDEX(LCIA_Data,MATCH($AO$15&amp;DF$27,LCIA_Rows_B&amp;LCIA_Rows_C,0),MATCH(DF$26,LCIA_Columns,0)),0)*$AT40*$AK40*$BN$23</f>
        <v>0</v>
      </c>
      <c r="DG40" s="1">
        <f t="array" ref="DG40">IFERROR(INDEX(LCIA_Data,MATCH($AO$15&amp;DG$27,LCIA_Rows_B&amp;LCIA_Rows_C,0),MATCH(DG$26,LCIA_Columns,0)),0)*$AT40*$AK40*$BN$23</f>
        <v>0</v>
      </c>
      <c r="DH40" s="1">
        <f t="array" ref="DH40">IFERROR(INDEX(LCIA_Data,MATCH($AO$15&amp;DH$27,LCIA_Rows_B&amp;LCIA_Rows_C,0),MATCH(DH$26,LCIA_Columns,0)),0)*$AT40*$AK40*$BN$23</f>
        <v>0</v>
      </c>
      <c r="DI40" s="1">
        <f t="array" ref="DI40">IFERROR(INDEX(LCIA_Data,MATCH($AO$15&amp;DI$27,LCIA_Rows_B&amp;LCIA_Rows_C,0),MATCH(DI$26,LCIA_Columns,0)),0)*$AT40*$AK40*$BN$23</f>
        <v>0</v>
      </c>
      <c r="DJ40" s="1">
        <f t="array" ref="DJ40">IFERROR(INDEX(LCIA_Data,MATCH($AO$15&amp;DJ$27,LCIA_Rows_B&amp;LCIA_Rows_C,0),MATCH(DJ$26,LCIA_Columns,0)),0)*$AT40*$AK40*$BN$23</f>
        <v>0</v>
      </c>
      <c r="DK40" s="1">
        <f t="array" ref="DK40">IFERROR(INDEX(LCIA_Data,MATCH($AO$15&amp;DK$27,LCIA_Rows_B&amp;LCIA_Rows_C,0),MATCH(DK$26,LCIA_Columns,0)),0)*$AT40*$AK40*$BN$23</f>
        <v>0</v>
      </c>
      <c r="DL40" s="1">
        <f t="array" ref="DL40">IFERROR(INDEX(LCIA_Data,MATCH($AO$15&amp;DL$27,LCIA_Rows_B&amp;LCIA_Rows_C,0),MATCH(DL$26,LCIA_Columns,0)),0)*$AT40*$AK40*$BN$23</f>
        <v>0</v>
      </c>
      <c r="DM40" s="1">
        <f t="array" ref="DM40">IFERROR(INDEX(LCIA_Data,MATCH($AO$15&amp;DM$27,LCIA_Rows_B&amp;LCIA_Rows_C,0),MATCH(DM$26,LCIA_Columns,0)),0)*$AT40*$AK40*$BN$23</f>
        <v>0</v>
      </c>
      <c r="DN40" s="1">
        <f t="array" ref="DN40">IFERROR(INDEX(LCIA_Data,MATCH($AO$15&amp;DN$27,LCIA_Rows_B&amp;LCIA_Rows_C,0),MATCH(DN$26,LCIA_Columns,0)),0)*$AT40*$AK40*$BN$23</f>
        <v>0</v>
      </c>
      <c r="DO40">
        <f t="shared" si="20"/>
        <v>0</v>
      </c>
      <c r="DP40">
        <f t="shared" si="20"/>
        <v>0</v>
      </c>
      <c r="DQ40">
        <f t="shared" si="20"/>
        <v>0</v>
      </c>
      <c r="DR40">
        <f t="shared" si="20"/>
        <v>0</v>
      </c>
      <c r="DS40">
        <f t="shared" si="20"/>
        <v>0</v>
      </c>
      <c r="DT40">
        <f t="shared" si="20"/>
        <v>0</v>
      </c>
      <c r="DU40">
        <f t="shared" si="20"/>
        <v>0</v>
      </c>
      <c r="DV40">
        <f t="shared" si="20"/>
        <v>0</v>
      </c>
      <c r="DW40">
        <f t="shared" si="20"/>
        <v>0</v>
      </c>
      <c r="DX40">
        <f t="shared" si="20"/>
        <v>0</v>
      </c>
      <c r="DY40">
        <f t="shared" si="20"/>
        <v>0</v>
      </c>
      <c r="DZ40">
        <f t="shared" si="20"/>
        <v>0</v>
      </c>
      <c r="EA40">
        <f t="shared" si="20"/>
        <v>0</v>
      </c>
      <c r="EB40">
        <f t="shared" si="21"/>
        <v>0</v>
      </c>
      <c r="EC40"/>
      <c r="ED40"/>
      <c r="EE40"/>
      <c r="EF40"/>
      <c r="EG40"/>
    </row>
    <row r="41" spans="2:137" ht="15" customHeight="1" thickBot="1">
      <c r="B41" s="53">
        <f t="shared" si="25"/>
        <v>0</v>
      </c>
      <c r="C41" s="32">
        <f t="shared" si="22"/>
        <v>12</v>
      </c>
      <c r="D41" s="47" t="str">
        <f>'Plant Inputs'!$D41</f>
        <v>Slag Cement</v>
      </c>
      <c r="E41" s="102"/>
      <c r="F41" s="231" t="str">
        <f t="shared" si="6"/>
        <v>short ton</v>
      </c>
      <c r="G41" s="228">
        <f t="shared" si="26"/>
        <v>0</v>
      </c>
      <c r="H41" s="227" t="str">
        <f t="shared" si="7"/>
        <v>short ton</v>
      </c>
      <c r="I41" s="397">
        <f t="shared" si="8"/>
        <v>0</v>
      </c>
      <c r="J41"/>
      <c r="K41"/>
      <c r="L41"/>
      <c r="M41"/>
      <c r="N41"/>
      <c r="O41"/>
      <c r="P41"/>
      <c r="Q41"/>
      <c r="R41"/>
      <c r="S41"/>
      <c r="T41"/>
      <c r="X41" s="67">
        <f t="shared" si="27"/>
        <v>0</v>
      </c>
      <c r="Y41" s="216">
        <f>IF(AND($X41=1,'Plant Inputs'!$Y41=1),1,0)</f>
        <v>0</v>
      </c>
      <c r="Z41" s="216"/>
      <c r="AA41" s="216">
        <f>IF($Y41=0,0,IF('Plant Inputs'!J41="",0,'Plant Inputs'!J41))</f>
        <v>0</v>
      </c>
      <c r="AB41" s="216">
        <f>IF($Y41=0,0,IF('Plant Inputs'!K41="",0,'Plant Inputs'!K41))</f>
        <v>0</v>
      </c>
      <c r="AC41" s="216">
        <f>IF($Y41=0,0,IF('Plant Inputs'!L41="",0,'Plant Inputs'!L41))</f>
        <v>0</v>
      </c>
      <c r="AD41" s="216">
        <f>IF($Y41=0,0,IF('Plant Inputs'!M41="",0,'Plant Inputs'!M41))</f>
        <v>0</v>
      </c>
      <c r="AE41" s="217" t="str">
        <f>'Plant Inputs'!$O41</f>
        <v>mile</v>
      </c>
      <c r="AF41" s="217">
        <f t="shared" si="9"/>
        <v>1.6093473468862911</v>
      </c>
      <c r="AG41" s="216" t="str">
        <f t="shared" si="23"/>
        <v>km/mile</v>
      </c>
      <c r="AH41" s="216">
        <f t="shared" si="10"/>
        <v>0</v>
      </c>
      <c r="AI41" s="216">
        <f t="shared" si="10"/>
        <v>0</v>
      </c>
      <c r="AJ41" s="216">
        <f t="shared" si="10"/>
        <v>0</v>
      </c>
      <c r="AK41" s="216">
        <f t="shared" si="10"/>
        <v>0</v>
      </c>
      <c r="AL41" s="216"/>
      <c r="AM41" s="1" t="str">
        <f t="shared" si="11"/>
        <v>Slag Cement</v>
      </c>
      <c r="AN41" t="s">
        <v>127</v>
      </c>
      <c r="AO41">
        <f t="shared" si="12"/>
        <v>0</v>
      </c>
      <c r="AP41" s="1">
        <f t="shared" si="24"/>
        <v>0</v>
      </c>
      <c r="AQ41" s="1" t="str">
        <f t="shared" si="13"/>
        <v>short ton</v>
      </c>
      <c r="AR41" s="1">
        <f t="shared" si="14"/>
        <v>0.90718499588591606</v>
      </c>
      <c r="AS41" s="87" t="str">
        <f t="shared" si="15"/>
        <v>tonne/short ton</v>
      </c>
      <c r="AT41" s="87">
        <f t="shared" si="16"/>
        <v>0</v>
      </c>
      <c r="AU41" s="87">
        <f t="shared" si="17"/>
        <v>0</v>
      </c>
      <c r="AV41" s="87">
        <f t="shared" si="18"/>
        <v>0</v>
      </c>
      <c r="AW41" t="str">
        <f t="shared" si="19"/>
        <v>Slag Cement</v>
      </c>
      <c r="AX41" s="148">
        <f t="array" ref="AX41">IFERROR(INDEX(LCIA_Data,MATCH($AO$15&amp;AX$27,LCIA_Rows_B&amp;LCIA_Rows_C,0),MATCH($D41,LCIA_Columns,0)),0)*$AU41</f>
        <v>0</v>
      </c>
      <c r="AY41" s="148">
        <f t="array" ref="AY41">IFERROR(INDEX(LCIA_Data,MATCH($AO$15&amp;AY$27,LCIA_Rows_B&amp;LCIA_Rows_C,0),MATCH($D41,LCIA_Columns,0)),0)*$AU41</f>
        <v>0</v>
      </c>
      <c r="AZ41" s="148">
        <f t="array" ref="AZ41">IFERROR(INDEX(LCIA_Data,MATCH($AO$15&amp;AZ$27,LCIA_Rows_B&amp;LCIA_Rows_C,0),MATCH($D41,LCIA_Columns,0)),0)*$AU41</f>
        <v>0</v>
      </c>
      <c r="BA41" s="148">
        <f t="array" ref="BA41">IFERROR(INDEX(LCIA_Data,MATCH($AO$15&amp;BA$27,LCIA_Rows_B&amp;LCIA_Rows_C,0),MATCH($D41,LCIA_Columns,0)),0)*$AU41</f>
        <v>0</v>
      </c>
      <c r="BB41" s="148">
        <f t="array" ref="BB41">IFERROR(INDEX(LCIA_Data,MATCH($AO$15&amp;BB$27,LCIA_Rows_B&amp;LCIA_Rows_C,0),MATCH($D41,LCIA_Columns,0)),0)*$AU41</f>
        <v>0</v>
      </c>
      <c r="BC41" s="148">
        <f t="array" ref="BC41">IFERROR(INDEX(LCIA_Data,MATCH($AO$15&amp;BC$27,LCIA_Rows_B&amp;LCIA_Rows_C,0),MATCH($D41,LCIA_Columns,0)),0)*$AU41</f>
        <v>0</v>
      </c>
      <c r="BD41" s="148">
        <f t="array" ref="BD41">IFERROR(INDEX(LCIA_Data,MATCH($AO$15&amp;BD$27,LCIA_Rows_B&amp;LCIA_Rows_C,0),MATCH($D41,LCIA_Columns,0)),0)*$AU41</f>
        <v>0</v>
      </c>
      <c r="BE41" s="148">
        <f t="array" ref="BE41">IFERROR(INDEX(LCIA_Data,MATCH($AO$15&amp;BE$27,LCIA_Rows_B&amp;LCIA_Rows_C,0),MATCH($D41,LCIA_Columns,0)),0)*$AU41</f>
        <v>0</v>
      </c>
      <c r="BF41" s="148">
        <f t="array" ref="BF41">IFERROR(INDEX(LCIA_Data,MATCH($AO$15&amp;BF$27,LCIA_Rows_B&amp;LCIA_Rows_C,0),MATCH($D41,LCIA_Columns,0)),0)*$AU41</f>
        <v>0</v>
      </c>
      <c r="BG41" s="148">
        <f t="array" ref="BG41">IFERROR(INDEX(LCIA_Data,MATCH($AO$15&amp;BG$27,LCIA_Rows_B&amp;LCIA_Rows_C,0),MATCH($D41,LCIA_Columns,0)),0)*$AU41</f>
        <v>0</v>
      </c>
      <c r="BH41" s="148">
        <f t="array" ref="BH41">IFERROR(INDEX(LCIA_Data,MATCH($AO$15&amp;BH$27,LCIA_Rows_B&amp;LCIA_Rows_C,0),MATCH($D41,LCIA_Columns,0)),0)*$AU41</f>
        <v>0</v>
      </c>
      <c r="BI41" s="148">
        <f t="array" ref="BI41">IFERROR(INDEX(LCIA_Data,MATCH($AO$15&amp;BI$27,LCIA_Rows_B&amp;LCIA_Rows_C,0),MATCH($D41,LCIA_Columns,0)),0)*$AU41</f>
        <v>0</v>
      </c>
      <c r="BJ41" s="148">
        <f t="array" ref="BJ41">IFERROR(INDEX(LCIA_Data,MATCH($AO$15&amp;BJ$27,LCIA_Rows_B&amp;LCIA_Rows_C,0),MATCH($D41,LCIA_Columns,0)),0)*$AU41</f>
        <v>0</v>
      </c>
      <c r="BK41" s="148">
        <f t="array" ref="BK41">IFERROR(INDEX(LCIA_Data,MATCH($AO$15&amp;BK$27,LCIA_Rows_B&amp;LCIA_Rows_C,0),MATCH($D41,LCIA_Columns,0)),0)*$AU41</f>
        <v>0</v>
      </c>
      <c r="BM41" s="1">
        <f t="array" ref="BM41">IFERROR(INDEX(LCIA_Data,MATCH($AO$15&amp;BM$27,LCIA_Rows_B&amp;LCIA_Rows_C,0),MATCH(BM$26,LCIA_Columns,0)),0)*$AT41*$AH41*$BN$23</f>
        <v>0</v>
      </c>
      <c r="BN41" s="1">
        <f t="array" ref="BN41">IFERROR(INDEX(LCIA_Data,MATCH($AO$15&amp;BN$27,LCIA_Rows_B&amp;LCIA_Rows_C,0),MATCH(BN$26,LCIA_Columns,0)),0)*$AT41*$AH41*$BN$23</f>
        <v>0</v>
      </c>
      <c r="BO41" s="1">
        <f t="array" ref="BO41">IFERROR(INDEX(LCIA_Data,MATCH($AO$15&amp;BO$27,LCIA_Rows_B&amp;LCIA_Rows_C,0),MATCH(BO$26,LCIA_Columns,0)),0)*$AT41*$AH41*$BN$23</f>
        <v>0</v>
      </c>
      <c r="BP41" s="1">
        <f t="array" ref="BP41">IFERROR(INDEX(LCIA_Data,MATCH($AO$15&amp;BP$27,LCIA_Rows_B&amp;LCIA_Rows_C,0),MATCH(BP$26,LCIA_Columns,0)),0)*$AT41*$AH41*$BN$23</f>
        <v>0</v>
      </c>
      <c r="BQ41" s="1">
        <f t="array" ref="BQ41">IFERROR(INDEX(LCIA_Data,MATCH($AO$15&amp;BQ$27,LCIA_Rows_B&amp;LCIA_Rows_C,0),MATCH(BQ$26,LCIA_Columns,0)),0)*$AT41*$AH41*$BN$23</f>
        <v>0</v>
      </c>
      <c r="BR41" s="1">
        <f t="array" ref="BR41">IFERROR(INDEX(LCIA_Data,MATCH($AO$15&amp;BR$27,LCIA_Rows_B&amp;LCIA_Rows_C,0),MATCH(BR$26,LCIA_Columns,0)),0)*$AT41*$AH41*$BN$23</f>
        <v>0</v>
      </c>
      <c r="BS41" s="1">
        <f t="array" ref="BS41">IFERROR(INDEX(LCIA_Data,MATCH($AO$15&amp;BS$27,LCIA_Rows_B&amp;LCIA_Rows_C,0),MATCH(BS$26,LCIA_Columns,0)),0)*$AT41*$AH41*$BN$23</f>
        <v>0</v>
      </c>
      <c r="BT41" s="1">
        <f t="array" ref="BT41">IFERROR(INDEX(LCIA_Data,MATCH($AO$15&amp;BT$27,LCIA_Rows_B&amp;LCIA_Rows_C,0),MATCH(BT$26,LCIA_Columns,0)),0)*$AT41*$AH41*$BN$23</f>
        <v>0</v>
      </c>
      <c r="BU41" s="1">
        <f t="array" ref="BU41">IFERROR(INDEX(LCIA_Data,MATCH($AO$15&amp;BU$27,LCIA_Rows_B&amp;LCIA_Rows_C,0),MATCH(BU$26,LCIA_Columns,0)),0)*$AT41*$AH41*$BN$23</f>
        <v>0</v>
      </c>
      <c r="BV41" s="1">
        <f t="array" ref="BV41">IFERROR(INDEX(LCIA_Data,MATCH($AO$15&amp;BV$27,LCIA_Rows_B&amp;LCIA_Rows_C,0),MATCH(BV$26,LCIA_Columns,0)),0)*$AT41*$AH41*$BN$23</f>
        <v>0</v>
      </c>
      <c r="BW41" s="1">
        <f t="array" ref="BW41">IFERROR(INDEX(LCIA_Data,MATCH($AO$15&amp;BW$27,LCIA_Rows_B&amp;LCIA_Rows_C,0),MATCH(BW$26,LCIA_Columns,0)),0)*$AT41*$AH41*$BN$23</f>
        <v>0</v>
      </c>
      <c r="BX41" s="1">
        <f t="array" ref="BX41">IFERROR(INDEX(LCIA_Data,MATCH($AO$15&amp;BX$27,LCIA_Rows_B&amp;LCIA_Rows_C,0),MATCH(BX$26,LCIA_Columns,0)),0)*$AT41*$AH41*$BN$23</f>
        <v>0</v>
      </c>
      <c r="BY41" s="1">
        <f t="array" ref="BY41">IFERROR(INDEX(LCIA_Data,MATCH($AO$15&amp;BY$27,LCIA_Rows_B&amp;LCIA_Rows_C,0),MATCH(BY$26,LCIA_Columns,0)),0)*$AT41*$AH41*$BN$23</f>
        <v>0</v>
      </c>
      <c r="BZ41" s="1">
        <f t="array" ref="BZ41">IFERROR(INDEX(LCIA_Data,MATCH($AO$15&amp;BZ$27,LCIA_Rows_B&amp;LCIA_Rows_C,0),MATCH(BZ$26,LCIA_Columns,0)),0)*$AT41*$AH41*$BN$23</f>
        <v>0</v>
      </c>
      <c r="CA41" s="1">
        <f t="array" ref="CA41">IFERROR(INDEX(LCIA_Data,MATCH($AO$15&amp;CA$27,LCIA_Rows_B&amp;LCIA_Rows_C,0),MATCH(CA$26,LCIA_Columns,0)),0)*$AT41*$AI41*$BN$23</f>
        <v>0</v>
      </c>
      <c r="CB41" s="1">
        <f t="array" ref="CB41">IFERROR(INDEX(LCIA_Data,MATCH($AO$15&amp;CB$27,LCIA_Rows_B&amp;LCIA_Rows_C,0),MATCH(CB$26,LCIA_Columns,0)),0)*$AT41*$AI41*$BN$23</f>
        <v>0</v>
      </c>
      <c r="CC41" s="1">
        <f t="array" ref="CC41">IFERROR(INDEX(LCIA_Data,MATCH($AO$15&amp;CC$27,LCIA_Rows_B&amp;LCIA_Rows_C,0),MATCH(CC$26,LCIA_Columns,0)),0)*$AT41*$AI41*$BN$23</f>
        <v>0</v>
      </c>
      <c r="CD41" s="1">
        <f t="array" ref="CD41">IFERROR(INDEX(LCIA_Data,MATCH($AO$15&amp;CD$27,LCIA_Rows_B&amp;LCIA_Rows_C,0),MATCH(CD$26,LCIA_Columns,0)),0)*$AT41*$AI41*$BN$23</f>
        <v>0</v>
      </c>
      <c r="CE41" s="1">
        <f t="array" ref="CE41">IFERROR(INDEX(LCIA_Data,MATCH($AO$15&amp;CE$27,LCIA_Rows_B&amp;LCIA_Rows_C,0),MATCH(CE$26,LCIA_Columns,0)),0)*$AT41*$AI41*$BN$23</f>
        <v>0</v>
      </c>
      <c r="CF41" s="1">
        <f t="array" ref="CF41">IFERROR(INDEX(LCIA_Data,MATCH($AO$15&amp;CF$27,LCIA_Rows_B&amp;LCIA_Rows_C,0),MATCH(CF$26,LCIA_Columns,0)),0)*$AT41*$AI41*$BN$23</f>
        <v>0</v>
      </c>
      <c r="CG41" s="1">
        <f t="array" ref="CG41">IFERROR(INDEX(LCIA_Data,MATCH($AO$15&amp;CG$27,LCIA_Rows_B&amp;LCIA_Rows_C,0),MATCH(CG$26,LCIA_Columns,0)),0)*$AT41*$AI41*$BN$23</f>
        <v>0</v>
      </c>
      <c r="CH41" s="1">
        <f t="array" ref="CH41">IFERROR(INDEX(LCIA_Data,MATCH($AO$15&amp;CH$27,LCIA_Rows_B&amp;LCIA_Rows_C,0),MATCH(CH$26,LCIA_Columns,0)),0)*$AT41*$AI41*$BN$23</f>
        <v>0</v>
      </c>
      <c r="CI41" s="1">
        <f t="array" ref="CI41">IFERROR(INDEX(LCIA_Data,MATCH($AO$15&amp;CI$27,LCIA_Rows_B&amp;LCIA_Rows_C,0),MATCH(CI$26,LCIA_Columns,0)),0)*$AT41*$AI41*$BN$23</f>
        <v>0</v>
      </c>
      <c r="CJ41" s="1">
        <f t="array" ref="CJ41">IFERROR(INDEX(LCIA_Data,MATCH($AO$15&amp;CJ$27,LCIA_Rows_B&amp;LCIA_Rows_C,0),MATCH(CJ$26,LCIA_Columns,0)),0)*$AT41*$AI41*$BN$23</f>
        <v>0</v>
      </c>
      <c r="CK41" s="1">
        <f t="array" ref="CK41">IFERROR(INDEX(LCIA_Data,MATCH($AO$15&amp;CK$27,LCIA_Rows_B&amp;LCIA_Rows_C,0),MATCH(CK$26,LCIA_Columns,0)),0)*$AT41*$AI41*$BN$23</f>
        <v>0</v>
      </c>
      <c r="CL41" s="1">
        <f t="array" ref="CL41">IFERROR(INDEX(LCIA_Data,MATCH($AO$15&amp;CL$27,LCIA_Rows_B&amp;LCIA_Rows_C,0),MATCH(CL$26,LCIA_Columns,0)),0)*$AT41*$AI41*$BN$23</f>
        <v>0</v>
      </c>
      <c r="CM41" s="1">
        <f t="array" ref="CM41">IFERROR(INDEX(LCIA_Data,MATCH($AO$15&amp;CM$27,LCIA_Rows_B&amp;LCIA_Rows_C,0),MATCH(CM$26,LCIA_Columns,0)),0)*$AT41*$AJ41*$BN$23</f>
        <v>0</v>
      </c>
      <c r="CN41" s="1">
        <f t="array" ref="CN41">IFERROR(INDEX(LCIA_Data,MATCH($AO$15&amp;CN$27,LCIA_Rows_B&amp;LCIA_Rows_C,0),MATCH(CN$26,LCIA_Columns,0)),0)*$AT41*$AJ41*$BN$23</f>
        <v>0</v>
      </c>
      <c r="CO41" s="1">
        <f t="array" ref="CO41">IFERROR(INDEX(LCIA_Data,MATCH($AO$15&amp;CO$27,LCIA_Rows_B&amp;LCIA_Rows_C,0),MATCH(CO$26,LCIA_Columns,0)),0)*$AT41*$AJ41*$BN$23</f>
        <v>0</v>
      </c>
      <c r="CP41" s="1">
        <f t="array" ref="CP41">IFERROR(INDEX(LCIA_Data,MATCH($AO$15&amp;CP$27,LCIA_Rows_B&amp;LCIA_Rows_C,0),MATCH(CP$26,LCIA_Columns,0)),0)*$AT41*$AJ41*$BN$23</f>
        <v>0</v>
      </c>
      <c r="CQ41" s="1">
        <f t="array" ref="CQ41">IFERROR(INDEX(LCIA_Data,MATCH($AO$15&amp;CQ$27,LCIA_Rows_B&amp;LCIA_Rows_C,0),MATCH(CQ$26,LCIA_Columns,0)),0)*$AT41*$AJ41*$BN$23</f>
        <v>0</v>
      </c>
      <c r="CR41" s="1">
        <f t="array" ref="CR41">IFERROR(INDEX(LCIA_Data,MATCH($AO$15&amp;CR$27,LCIA_Rows_B&amp;LCIA_Rows_C,0),MATCH(CR$26,LCIA_Columns,0)),0)*$AT41*$AJ41*$BN$23</f>
        <v>0</v>
      </c>
      <c r="CS41" s="1">
        <f t="array" ref="CS41">IFERROR(INDEX(LCIA_Data,MATCH($AO$15&amp;CS$27,LCIA_Rows_B&amp;LCIA_Rows_C,0),MATCH(CS$26,LCIA_Columns,0)),0)*$AT41*$AJ41*$BN$23</f>
        <v>0</v>
      </c>
      <c r="CT41" s="1">
        <f t="array" ref="CT41">IFERROR(INDEX(LCIA_Data,MATCH($AO$15&amp;CT$27,LCIA_Rows_B&amp;LCIA_Rows_C,0),MATCH(CT$26,LCIA_Columns,0)),0)*$AT41*$AJ41*$BN$23</f>
        <v>0</v>
      </c>
      <c r="CU41" s="1">
        <f t="array" ref="CU41">IFERROR(INDEX(LCIA_Data,MATCH($AO$15&amp;CU$27,LCIA_Rows_B&amp;LCIA_Rows_C,0),MATCH(CU$26,LCIA_Columns,0)),0)*$AT41*$AJ41*$BN$23</f>
        <v>0</v>
      </c>
      <c r="CV41" s="1">
        <f t="array" ref="CV41">IFERROR(INDEX(LCIA_Data,MATCH($AO$15&amp;CV$27,LCIA_Rows_B&amp;LCIA_Rows_C,0),MATCH(CV$26,LCIA_Columns,0)),0)*$AT41*$AJ41*$BN$23</f>
        <v>0</v>
      </c>
      <c r="CW41" s="1">
        <f t="array" ref="CW41">IFERROR(INDEX(LCIA_Data,MATCH($AO$15&amp;CW$27,LCIA_Rows_B&amp;LCIA_Rows_C,0),MATCH(CW$26,LCIA_Columns,0)),0)*$AT41*$AJ41*$BN$23</f>
        <v>0</v>
      </c>
      <c r="CX41" s="1">
        <f t="array" ref="CX41">IFERROR(INDEX(LCIA_Data,MATCH($AO$15&amp;CX$27,LCIA_Rows_B&amp;LCIA_Rows_C,0),MATCH(CX$26,LCIA_Columns,0)),0)*$AT41*$AJ41*$BN$23</f>
        <v>0</v>
      </c>
      <c r="CY41" s="1">
        <f t="array" ref="CY41">IFERROR(INDEX(LCIA_Data,MATCH($AO$15&amp;CY$27,LCIA_Rows_B&amp;LCIA_Rows_C,0),MATCH(CY$26,LCIA_Columns,0)),0)*$AT41*$AJ41*$BN$23</f>
        <v>0</v>
      </c>
      <c r="CZ41" s="1">
        <f t="array" ref="CZ41">IFERROR(INDEX(LCIA_Data,MATCH($AO$15&amp;CZ$27,LCIA_Rows_B&amp;LCIA_Rows_C,0),MATCH(CZ$26,LCIA_Columns,0)),0)*$AT41*$AJ41*$BN$23</f>
        <v>0</v>
      </c>
      <c r="DA41" s="1">
        <f t="array" ref="DA41">IFERROR(INDEX(LCIA_Data,MATCH($AO$15&amp;DA$27,LCIA_Rows_B&amp;LCIA_Rows_C,0),MATCH(DA$26,LCIA_Columns,0)),0)*$AT41*$AK41*$BN$23</f>
        <v>0</v>
      </c>
      <c r="DB41" s="1">
        <f t="array" ref="DB41">IFERROR(INDEX(LCIA_Data,MATCH($AO$15&amp;DB$27,LCIA_Rows_B&amp;LCIA_Rows_C,0),MATCH(DB$26,LCIA_Columns,0)),0)*$AT41*$AK41*$BN$23</f>
        <v>0</v>
      </c>
      <c r="DC41" s="1">
        <f t="array" ref="DC41">IFERROR(INDEX(LCIA_Data,MATCH($AO$15&amp;DC$27,LCIA_Rows_B&amp;LCIA_Rows_C,0),MATCH(DC$26,LCIA_Columns,0)),0)*$AT41*$AK41*$BN$23</f>
        <v>0</v>
      </c>
      <c r="DD41" s="1">
        <f t="array" ref="DD41">IFERROR(INDEX(LCIA_Data,MATCH($AO$15&amp;DD$27,LCIA_Rows_B&amp;LCIA_Rows_C,0),MATCH(DD$26,LCIA_Columns,0)),0)*$AT41*$AK41*$BN$23</f>
        <v>0</v>
      </c>
      <c r="DE41" s="1">
        <f t="array" ref="DE41">IFERROR(INDEX(LCIA_Data,MATCH($AO$15&amp;DE$27,LCIA_Rows_B&amp;LCIA_Rows_C,0),MATCH(DE$26,LCIA_Columns,0)),0)*$AT41*$AK41*$BN$23</f>
        <v>0</v>
      </c>
      <c r="DF41" s="1">
        <f t="array" ref="DF41">IFERROR(INDEX(LCIA_Data,MATCH($AO$15&amp;DF$27,LCIA_Rows_B&amp;LCIA_Rows_C,0),MATCH(DF$26,LCIA_Columns,0)),0)*$AT41*$AK41*$BN$23</f>
        <v>0</v>
      </c>
      <c r="DG41" s="1">
        <f t="array" ref="DG41">IFERROR(INDEX(LCIA_Data,MATCH($AO$15&amp;DG$27,LCIA_Rows_B&amp;LCIA_Rows_C,0),MATCH(DG$26,LCIA_Columns,0)),0)*$AT41*$AK41*$BN$23</f>
        <v>0</v>
      </c>
      <c r="DH41" s="1">
        <f t="array" ref="DH41">IFERROR(INDEX(LCIA_Data,MATCH($AO$15&amp;DH$27,LCIA_Rows_B&amp;LCIA_Rows_C,0),MATCH(DH$26,LCIA_Columns,0)),0)*$AT41*$AK41*$BN$23</f>
        <v>0</v>
      </c>
      <c r="DI41" s="1">
        <f t="array" ref="DI41">IFERROR(INDEX(LCIA_Data,MATCH($AO$15&amp;DI$27,LCIA_Rows_B&amp;LCIA_Rows_C,0),MATCH(DI$26,LCIA_Columns,0)),0)*$AT41*$AK41*$BN$23</f>
        <v>0</v>
      </c>
      <c r="DJ41" s="1">
        <f t="array" ref="DJ41">IFERROR(INDEX(LCIA_Data,MATCH($AO$15&amp;DJ$27,LCIA_Rows_B&amp;LCIA_Rows_C,0),MATCH(DJ$26,LCIA_Columns,0)),0)*$AT41*$AK41*$BN$23</f>
        <v>0</v>
      </c>
      <c r="DK41" s="1">
        <f t="array" ref="DK41">IFERROR(INDEX(LCIA_Data,MATCH($AO$15&amp;DK$27,LCIA_Rows_B&amp;LCIA_Rows_C,0),MATCH(DK$26,LCIA_Columns,0)),0)*$AT41*$AK41*$BN$23</f>
        <v>0</v>
      </c>
      <c r="DL41" s="1">
        <f t="array" ref="DL41">IFERROR(INDEX(LCIA_Data,MATCH($AO$15&amp;DL$27,LCIA_Rows_B&amp;LCIA_Rows_C,0),MATCH(DL$26,LCIA_Columns,0)),0)*$AT41*$AK41*$BN$23</f>
        <v>0</v>
      </c>
      <c r="DM41" s="1">
        <f t="array" ref="DM41">IFERROR(INDEX(LCIA_Data,MATCH($AO$15&amp;DM$27,LCIA_Rows_B&amp;LCIA_Rows_C,0),MATCH(DM$26,LCIA_Columns,0)),0)*$AT41*$AK41*$BN$23</f>
        <v>0</v>
      </c>
      <c r="DN41" s="1">
        <f t="array" ref="DN41">IFERROR(INDEX(LCIA_Data,MATCH($AO$15&amp;DN$27,LCIA_Rows_B&amp;LCIA_Rows_C,0),MATCH(DN$26,LCIA_Columns,0)),0)*$AT41*$AK41*$BN$23</f>
        <v>0</v>
      </c>
      <c r="DO41">
        <f t="shared" si="20"/>
        <v>0</v>
      </c>
      <c r="DP41">
        <f t="shared" si="20"/>
        <v>0</v>
      </c>
      <c r="DQ41">
        <f t="shared" si="20"/>
        <v>0</v>
      </c>
      <c r="DR41">
        <f t="shared" si="20"/>
        <v>0</v>
      </c>
      <c r="DS41">
        <f t="shared" si="20"/>
        <v>0</v>
      </c>
      <c r="DT41">
        <f t="shared" si="20"/>
        <v>0</v>
      </c>
      <c r="DU41">
        <f t="shared" si="20"/>
        <v>0</v>
      </c>
      <c r="DV41">
        <f t="shared" si="20"/>
        <v>0</v>
      </c>
      <c r="DW41">
        <f t="shared" si="20"/>
        <v>0</v>
      </c>
      <c r="DX41">
        <f t="shared" si="20"/>
        <v>0</v>
      </c>
      <c r="DY41">
        <f t="shared" si="20"/>
        <v>0</v>
      </c>
      <c r="DZ41">
        <f t="shared" si="20"/>
        <v>0</v>
      </c>
      <c r="EA41">
        <f t="shared" si="20"/>
        <v>0</v>
      </c>
      <c r="EB41">
        <f t="shared" si="21"/>
        <v>0</v>
      </c>
      <c r="EC41"/>
      <c r="ED41"/>
      <c r="EE41"/>
      <c r="EF41"/>
      <c r="EG41"/>
    </row>
    <row r="42" spans="2:137" ht="15" customHeight="1">
      <c r="B42" s="53">
        <f t="shared" si="25"/>
        <v>0</v>
      </c>
      <c r="C42" s="221">
        <f t="shared" si="22"/>
        <v>13</v>
      </c>
      <c r="D42" s="222" t="str">
        <f>'Plant Inputs'!$D42</f>
        <v>Chemical Admixture - Air Entraining Agent</v>
      </c>
      <c r="E42" s="154"/>
      <c r="F42" s="240" t="str">
        <f t="shared" ref="F42:F48" si="28">VolumeDisplayUnit</f>
        <v>gallon</v>
      </c>
      <c r="G42" s="224">
        <f t="shared" si="26"/>
        <v>0</v>
      </c>
      <c r="H42" s="225" t="str">
        <f t="shared" si="7"/>
        <v>short ton</v>
      </c>
      <c r="I42" s="156">
        <f t="shared" si="8"/>
        <v>0</v>
      </c>
      <c r="J42"/>
      <c r="K42"/>
      <c r="L42"/>
      <c r="M42"/>
      <c r="N42"/>
      <c r="O42"/>
      <c r="P42"/>
      <c r="Q42"/>
      <c r="R42"/>
      <c r="S42"/>
      <c r="T42"/>
      <c r="X42" s="67">
        <f t="shared" si="27"/>
        <v>0</v>
      </c>
      <c r="Y42" s="216">
        <f>IF(AND($X42=1,'Plant Inputs'!$Y42=1),1,0)</f>
        <v>0</v>
      </c>
      <c r="Z42" s="216"/>
      <c r="AA42" s="216">
        <f>IF($Y42=0,0,IF('Plant Inputs'!J42="",0,'Plant Inputs'!J42))</f>
        <v>0</v>
      </c>
      <c r="AB42" s="216">
        <f>IF($Y42=0,0,IF('Plant Inputs'!K42="",0,'Plant Inputs'!K42))</f>
        <v>0</v>
      </c>
      <c r="AC42" s="216">
        <f>IF($Y42=0,0,IF('Plant Inputs'!L42="",0,'Plant Inputs'!L42))</f>
        <v>0</v>
      </c>
      <c r="AD42" s="216">
        <f>IF($Y42=0,0,IF('Plant Inputs'!M42="",0,'Plant Inputs'!M42))</f>
        <v>0</v>
      </c>
      <c r="AE42" s="217" t="str">
        <f>'Plant Inputs'!$O42</f>
        <v>mile</v>
      </c>
      <c r="AF42" s="217">
        <f t="shared" si="9"/>
        <v>1.6093473468862911</v>
      </c>
      <c r="AG42" s="216" t="str">
        <f t="shared" si="23"/>
        <v>km/mile</v>
      </c>
      <c r="AH42" s="216">
        <f t="shared" si="10"/>
        <v>0</v>
      </c>
      <c r="AI42" s="216">
        <f t="shared" si="10"/>
        <v>0</v>
      </c>
      <c r="AJ42" s="216">
        <f t="shared" si="10"/>
        <v>0</v>
      </c>
      <c r="AK42" s="216">
        <f t="shared" si="10"/>
        <v>0</v>
      </c>
      <c r="AL42" s="216"/>
      <c r="AM42" s="1" t="str">
        <f t="shared" si="11"/>
        <v>Chemical Admixture - Air Entraining Agent</v>
      </c>
      <c r="AN42" s="12" t="s">
        <v>128</v>
      </c>
      <c r="AO42">
        <f t="shared" si="12"/>
        <v>1.1982656298327359</v>
      </c>
      <c r="AP42" s="1">
        <f t="shared" si="24"/>
        <v>0</v>
      </c>
      <c r="AQ42" s="1" t="str">
        <f t="shared" si="13"/>
        <v>gallon</v>
      </c>
      <c r="AR42" s="1">
        <f t="shared" si="14"/>
        <v>4.535929094356397E-3</v>
      </c>
      <c r="AS42" s="87" t="str">
        <f t="shared" si="15"/>
        <v>tonne/gallon</v>
      </c>
      <c r="AT42" s="87">
        <f t="shared" si="16"/>
        <v>0</v>
      </c>
      <c r="AU42" s="87">
        <f t="shared" si="17"/>
        <v>0</v>
      </c>
      <c r="AV42" s="87">
        <f t="shared" si="18"/>
        <v>0</v>
      </c>
      <c r="AW42" t="str">
        <f t="shared" si="19"/>
        <v>Chemical Admixture - Air Entraining Agent</v>
      </c>
      <c r="AX42" s="148">
        <f t="array" ref="AX42">IFERROR(INDEX(LCIA_Data,MATCH($AO$15&amp;AX$27,LCIA_Rows_B&amp;LCIA_Rows_C,0),MATCH($D42,LCIA_Columns,0)),0)*$AU42</f>
        <v>0</v>
      </c>
      <c r="AY42" s="148">
        <f t="array" ref="AY42">IFERROR(INDEX(LCIA_Data,MATCH($AO$15&amp;AY$27,LCIA_Rows_B&amp;LCIA_Rows_C,0),MATCH($D42,LCIA_Columns,0)),0)*$AU42</f>
        <v>0</v>
      </c>
      <c r="AZ42" s="148">
        <f t="array" ref="AZ42">IFERROR(INDEX(LCIA_Data,MATCH($AO$15&amp;AZ$27,LCIA_Rows_B&amp;LCIA_Rows_C,0),MATCH($D42,LCIA_Columns,0)),0)*$AU42</f>
        <v>0</v>
      </c>
      <c r="BA42" s="148">
        <f t="array" ref="BA42">IFERROR(INDEX(LCIA_Data,MATCH($AO$15&amp;BA$27,LCIA_Rows_B&amp;LCIA_Rows_C,0),MATCH($D42,LCIA_Columns,0)),0)*$AU42</f>
        <v>0</v>
      </c>
      <c r="BB42" s="148">
        <f t="array" ref="BB42">IFERROR(INDEX(LCIA_Data,MATCH($AO$15&amp;BB$27,LCIA_Rows_B&amp;LCIA_Rows_C,0),MATCH($D42,LCIA_Columns,0)),0)*$AU42</f>
        <v>0</v>
      </c>
      <c r="BC42" s="148">
        <f t="array" ref="BC42">IFERROR(INDEX(LCIA_Data,MATCH($AO$15&amp;BC$27,LCIA_Rows_B&amp;LCIA_Rows_C,0),MATCH($D42,LCIA_Columns,0)),0)*$AU42</f>
        <v>0</v>
      </c>
      <c r="BD42" s="148">
        <f t="array" ref="BD42">IFERROR(INDEX(LCIA_Data,MATCH($AO$15&amp;BD$27,LCIA_Rows_B&amp;LCIA_Rows_C,0),MATCH($D42,LCIA_Columns,0)),0)*$AU42</f>
        <v>0</v>
      </c>
      <c r="BE42" s="148">
        <f t="array" ref="BE42">IFERROR(INDEX(LCIA_Data,MATCH($AO$15&amp;BE$27,LCIA_Rows_B&amp;LCIA_Rows_C,0),MATCH($D42,LCIA_Columns,0)),0)*$AU42</f>
        <v>0</v>
      </c>
      <c r="BF42" s="148">
        <f t="array" ref="BF42">IFERROR(INDEX(LCIA_Data,MATCH($AO$15&amp;BF$27,LCIA_Rows_B&amp;LCIA_Rows_C,0),MATCH($D42,LCIA_Columns,0)),0)*$AU42</f>
        <v>0</v>
      </c>
      <c r="BG42" s="148">
        <f t="array" ref="BG42">IFERROR(INDEX(LCIA_Data,MATCH($AO$15&amp;BG$27,LCIA_Rows_B&amp;LCIA_Rows_C,0),MATCH($D42,LCIA_Columns,0)),0)*$AU42</f>
        <v>0</v>
      </c>
      <c r="BH42" s="148">
        <f t="array" ref="BH42">IFERROR(INDEX(LCIA_Data,MATCH($AO$15&amp;BH$27,LCIA_Rows_B&amp;LCIA_Rows_C,0),MATCH($D42,LCIA_Columns,0)),0)*$AU42</f>
        <v>0</v>
      </c>
      <c r="BI42" s="148">
        <f t="array" ref="BI42">IFERROR(INDEX(LCIA_Data,MATCH($AO$15&amp;BI$27,LCIA_Rows_B&amp;LCIA_Rows_C,0),MATCH($D42,LCIA_Columns,0)),0)*$AU42</f>
        <v>0</v>
      </c>
      <c r="BJ42" s="148">
        <f t="array" ref="BJ42">IFERROR(INDEX(LCIA_Data,MATCH($AO$15&amp;BJ$27,LCIA_Rows_B&amp;LCIA_Rows_C,0),MATCH($D42,LCIA_Columns,0)),0)*$AU42</f>
        <v>0</v>
      </c>
      <c r="BK42" s="148">
        <f t="array" ref="BK42">IFERROR(INDEX(LCIA_Data,MATCH($AO$15&amp;BK$27,LCIA_Rows_B&amp;LCIA_Rows_C,0),MATCH($D42,LCIA_Columns,0)),0)*$AU42</f>
        <v>0</v>
      </c>
      <c r="BM42" s="1">
        <f t="array" ref="BM42">IFERROR(INDEX(LCIA_Data,MATCH($AO$15&amp;BM$27,LCIA_Rows_B&amp;LCIA_Rows_C,0),MATCH(BM$26,LCIA_Columns,0)),0)*$AT42*$AH42*$BN$23</f>
        <v>0</v>
      </c>
      <c r="BN42" s="1">
        <f t="array" ref="BN42">IFERROR(INDEX(LCIA_Data,MATCH($AO$15&amp;BN$27,LCIA_Rows_B&amp;LCIA_Rows_C,0),MATCH(BN$26,LCIA_Columns,0)),0)*$AT42*$AH42*$BN$23</f>
        <v>0</v>
      </c>
      <c r="BO42" s="1">
        <f t="array" ref="BO42">IFERROR(INDEX(LCIA_Data,MATCH($AO$15&amp;BO$27,LCIA_Rows_B&amp;LCIA_Rows_C,0),MATCH(BO$26,LCIA_Columns,0)),0)*$AT42*$AH42*$BN$23</f>
        <v>0</v>
      </c>
      <c r="BP42" s="1">
        <f t="array" ref="BP42">IFERROR(INDEX(LCIA_Data,MATCH($AO$15&amp;BP$27,LCIA_Rows_B&amp;LCIA_Rows_C,0),MATCH(BP$26,LCIA_Columns,0)),0)*$AT42*$AH42*$BN$23</f>
        <v>0</v>
      </c>
      <c r="BQ42" s="1">
        <f t="array" ref="BQ42">IFERROR(INDEX(LCIA_Data,MATCH($AO$15&amp;BQ$27,LCIA_Rows_B&amp;LCIA_Rows_C,0),MATCH(BQ$26,LCIA_Columns,0)),0)*$AT42*$AH42*$BN$23</f>
        <v>0</v>
      </c>
      <c r="BR42" s="1">
        <f t="array" ref="BR42">IFERROR(INDEX(LCIA_Data,MATCH($AO$15&amp;BR$27,LCIA_Rows_B&amp;LCIA_Rows_C,0),MATCH(BR$26,LCIA_Columns,0)),0)*$AT42*$AH42*$BN$23</f>
        <v>0</v>
      </c>
      <c r="BS42" s="1">
        <f t="array" ref="BS42">IFERROR(INDEX(LCIA_Data,MATCH($AO$15&amp;BS$27,LCIA_Rows_B&amp;LCIA_Rows_C,0),MATCH(BS$26,LCIA_Columns,0)),0)*$AT42*$AH42*$BN$23</f>
        <v>0</v>
      </c>
      <c r="BT42" s="1">
        <f t="array" ref="BT42">IFERROR(INDEX(LCIA_Data,MATCH($AO$15&amp;BT$27,LCIA_Rows_B&amp;LCIA_Rows_C,0),MATCH(BT$26,LCIA_Columns,0)),0)*$AT42*$AH42*$BN$23</f>
        <v>0</v>
      </c>
      <c r="BU42" s="1">
        <f t="array" ref="BU42">IFERROR(INDEX(LCIA_Data,MATCH($AO$15&amp;BU$27,LCIA_Rows_B&amp;LCIA_Rows_C,0),MATCH(BU$26,LCIA_Columns,0)),0)*$AT42*$AH42*$BN$23</f>
        <v>0</v>
      </c>
      <c r="BV42" s="1">
        <f t="array" ref="BV42">IFERROR(INDEX(LCIA_Data,MATCH($AO$15&amp;BV$27,LCIA_Rows_B&amp;LCIA_Rows_C,0),MATCH(BV$26,LCIA_Columns,0)),0)*$AT42*$AH42*$BN$23</f>
        <v>0</v>
      </c>
      <c r="BW42" s="1">
        <f t="array" ref="BW42">IFERROR(INDEX(LCIA_Data,MATCH($AO$15&amp;BW$27,LCIA_Rows_B&amp;LCIA_Rows_C,0),MATCH(BW$26,LCIA_Columns,0)),0)*$AT42*$AH42*$BN$23</f>
        <v>0</v>
      </c>
      <c r="BX42" s="1">
        <f t="array" ref="BX42">IFERROR(INDEX(LCIA_Data,MATCH($AO$15&amp;BX$27,LCIA_Rows_B&amp;LCIA_Rows_C,0),MATCH(BX$26,LCIA_Columns,0)),0)*$AT42*$AH42*$BN$23</f>
        <v>0</v>
      </c>
      <c r="BY42" s="1">
        <f t="array" ref="BY42">IFERROR(INDEX(LCIA_Data,MATCH($AO$15&amp;BY$27,LCIA_Rows_B&amp;LCIA_Rows_C,0),MATCH(BY$26,LCIA_Columns,0)),0)*$AT42*$AH42*$BN$23</f>
        <v>0</v>
      </c>
      <c r="BZ42" s="1">
        <f t="array" ref="BZ42">IFERROR(INDEX(LCIA_Data,MATCH($AO$15&amp;BZ$27,LCIA_Rows_B&amp;LCIA_Rows_C,0),MATCH(BZ$26,LCIA_Columns,0)),0)*$AT42*$AH42*$BN$23</f>
        <v>0</v>
      </c>
      <c r="CA42" s="1">
        <f t="array" ref="CA42">IFERROR(INDEX(LCIA_Data,MATCH($AO$15&amp;CA$27,LCIA_Rows_B&amp;LCIA_Rows_C,0),MATCH(CA$26,LCIA_Columns,0)),0)*$AT42*$AI42*$BN$23</f>
        <v>0</v>
      </c>
      <c r="CB42" s="1">
        <f t="array" ref="CB42">IFERROR(INDEX(LCIA_Data,MATCH($AO$15&amp;CB$27,LCIA_Rows_B&amp;LCIA_Rows_C,0),MATCH(CB$26,LCIA_Columns,0)),0)*$AT42*$AI42*$BN$23</f>
        <v>0</v>
      </c>
      <c r="CC42" s="1">
        <f t="array" ref="CC42">IFERROR(INDEX(LCIA_Data,MATCH($AO$15&amp;CC$27,LCIA_Rows_B&amp;LCIA_Rows_C,0),MATCH(CC$26,LCIA_Columns,0)),0)*$AT42*$AI42*$BN$23</f>
        <v>0</v>
      </c>
      <c r="CD42" s="1">
        <f t="array" ref="CD42">IFERROR(INDEX(LCIA_Data,MATCH($AO$15&amp;CD$27,LCIA_Rows_B&amp;LCIA_Rows_C,0),MATCH(CD$26,LCIA_Columns,0)),0)*$AT42*$AI42*$BN$23</f>
        <v>0</v>
      </c>
      <c r="CE42" s="1">
        <f t="array" ref="CE42">IFERROR(INDEX(LCIA_Data,MATCH($AO$15&amp;CE$27,LCIA_Rows_B&amp;LCIA_Rows_C,0),MATCH(CE$26,LCIA_Columns,0)),0)*$AT42*$AI42*$BN$23</f>
        <v>0</v>
      </c>
      <c r="CF42" s="1">
        <f t="array" ref="CF42">IFERROR(INDEX(LCIA_Data,MATCH($AO$15&amp;CF$27,LCIA_Rows_B&amp;LCIA_Rows_C,0),MATCH(CF$26,LCIA_Columns,0)),0)*$AT42*$AI42*$BN$23</f>
        <v>0</v>
      </c>
      <c r="CG42" s="1">
        <f t="array" ref="CG42">IFERROR(INDEX(LCIA_Data,MATCH($AO$15&amp;CG$27,LCIA_Rows_B&amp;LCIA_Rows_C,0),MATCH(CG$26,LCIA_Columns,0)),0)*$AT42*$AI42*$BN$23</f>
        <v>0</v>
      </c>
      <c r="CH42" s="1">
        <f t="array" ref="CH42">IFERROR(INDEX(LCIA_Data,MATCH($AO$15&amp;CH$27,LCIA_Rows_B&amp;LCIA_Rows_C,0),MATCH(CH$26,LCIA_Columns,0)),0)*$AT42*$AI42*$BN$23</f>
        <v>0</v>
      </c>
      <c r="CI42" s="1">
        <f t="array" ref="CI42">IFERROR(INDEX(LCIA_Data,MATCH($AO$15&amp;CI$27,LCIA_Rows_B&amp;LCIA_Rows_C,0),MATCH(CI$26,LCIA_Columns,0)),0)*$AT42*$AI42*$BN$23</f>
        <v>0</v>
      </c>
      <c r="CJ42" s="1">
        <f t="array" ref="CJ42">IFERROR(INDEX(LCIA_Data,MATCH($AO$15&amp;CJ$27,LCIA_Rows_B&amp;LCIA_Rows_C,0),MATCH(CJ$26,LCIA_Columns,0)),0)*$AT42*$AI42*$BN$23</f>
        <v>0</v>
      </c>
      <c r="CK42" s="1">
        <f t="array" ref="CK42">IFERROR(INDEX(LCIA_Data,MATCH($AO$15&amp;CK$27,LCIA_Rows_B&amp;LCIA_Rows_C,0),MATCH(CK$26,LCIA_Columns,0)),0)*$AT42*$AI42*$BN$23</f>
        <v>0</v>
      </c>
      <c r="CL42" s="1">
        <f t="array" ref="CL42">IFERROR(INDEX(LCIA_Data,MATCH($AO$15&amp;CL$27,LCIA_Rows_B&amp;LCIA_Rows_C,0),MATCH(CL$26,LCIA_Columns,0)),0)*$AT42*$AI42*$BN$23</f>
        <v>0</v>
      </c>
      <c r="CM42" s="1">
        <f t="array" ref="CM42">IFERROR(INDEX(LCIA_Data,MATCH($AO$15&amp;CM$27,LCIA_Rows_B&amp;LCIA_Rows_C,0),MATCH(CM$26,LCIA_Columns,0)),0)*$AT42*$AJ42*$BN$23</f>
        <v>0</v>
      </c>
      <c r="CN42" s="1">
        <f t="array" ref="CN42">IFERROR(INDEX(LCIA_Data,MATCH($AO$15&amp;CN$27,LCIA_Rows_B&amp;LCIA_Rows_C,0),MATCH(CN$26,LCIA_Columns,0)),0)*$AT42*$AJ42*$BN$23</f>
        <v>0</v>
      </c>
      <c r="CO42" s="1">
        <f t="array" ref="CO42">IFERROR(INDEX(LCIA_Data,MATCH($AO$15&amp;CO$27,LCIA_Rows_B&amp;LCIA_Rows_C,0),MATCH(CO$26,LCIA_Columns,0)),0)*$AT42*$AJ42*$BN$23</f>
        <v>0</v>
      </c>
      <c r="CP42" s="1">
        <f t="array" ref="CP42">IFERROR(INDEX(LCIA_Data,MATCH($AO$15&amp;CP$27,LCIA_Rows_B&amp;LCIA_Rows_C,0),MATCH(CP$26,LCIA_Columns,0)),0)*$AT42*$AJ42*$BN$23</f>
        <v>0</v>
      </c>
      <c r="CQ42" s="1">
        <f t="array" ref="CQ42">IFERROR(INDEX(LCIA_Data,MATCH($AO$15&amp;CQ$27,LCIA_Rows_B&amp;LCIA_Rows_C,0),MATCH(CQ$26,LCIA_Columns,0)),0)*$AT42*$AJ42*$BN$23</f>
        <v>0</v>
      </c>
      <c r="CR42" s="1">
        <f t="array" ref="CR42">IFERROR(INDEX(LCIA_Data,MATCH($AO$15&amp;CR$27,LCIA_Rows_B&amp;LCIA_Rows_C,0),MATCH(CR$26,LCIA_Columns,0)),0)*$AT42*$AJ42*$BN$23</f>
        <v>0</v>
      </c>
      <c r="CS42" s="1">
        <f t="array" ref="CS42">IFERROR(INDEX(LCIA_Data,MATCH($AO$15&amp;CS$27,LCIA_Rows_B&amp;LCIA_Rows_C,0),MATCH(CS$26,LCIA_Columns,0)),0)*$AT42*$AJ42*$BN$23</f>
        <v>0</v>
      </c>
      <c r="CT42" s="1">
        <f t="array" ref="CT42">IFERROR(INDEX(LCIA_Data,MATCH($AO$15&amp;CT$27,LCIA_Rows_B&amp;LCIA_Rows_C,0),MATCH(CT$26,LCIA_Columns,0)),0)*$AT42*$AJ42*$BN$23</f>
        <v>0</v>
      </c>
      <c r="CU42" s="1">
        <f t="array" ref="CU42">IFERROR(INDEX(LCIA_Data,MATCH($AO$15&amp;CU$27,LCIA_Rows_B&amp;LCIA_Rows_C,0),MATCH(CU$26,LCIA_Columns,0)),0)*$AT42*$AJ42*$BN$23</f>
        <v>0</v>
      </c>
      <c r="CV42" s="1">
        <f t="array" ref="CV42">IFERROR(INDEX(LCIA_Data,MATCH($AO$15&amp;CV$27,LCIA_Rows_B&amp;LCIA_Rows_C,0),MATCH(CV$26,LCIA_Columns,0)),0)*$AT42*$AJ42*$BN$23</f>
        <v>0</v>
      </c>
      <c r="CW42" s="1">
        <f t="array" ref="CW42">IFERROR(INDEX(LCIA_Data,MATCH($AO$15&amp;CW$27,LCIA_Rows_B&amp;LCIA_Rows_C,0),MATCH(CW$26,LCIA_Columns,0)),0)*$AT42*$AJ42*$BN$23</f>
        <v>0</v>
      </c>
      <c r="CX42" s="1">
        <f t="array" ref="CX42">IFERROR(INDEX(LCIA_Data,MATCH($AO$15&amp;CX$27,LCIA_Rows_B&amp;LCIA_Rows_C,0),MATCH(CX$26,LCIA_Columns,0)),0)*$AT42*$AJ42*$BN$23</f>
        <v>0</v>
      </c>
      <c r="CY42" s="1">
        <f t="array" ref="CY42">IFERROR(INDEX(LCIA_Data,MATCH($AO$15&amp;CY$27,LCIA_Rows_B&amp;LCIA_Rows_C,0),MATCH(CY$26,LCIA_Columns,0)),0)*$AT42*$AJ42*$BN$23</f>
        <v>0</v>
      </c>
      <c r="CZ42" s="1">
        <f t="array" ref="CZ42">IFERROR(INDEX(LCIA_Data,MATCH($AO$15&amp;CZ$27,LCIA_Rows_B&amp;LCIA_Rows_C,0),MATCH(CZ$26,LCIA_Columns,0)),0)*$AT42*$AJ42*$BN$23</f>
        <v>0</v>
      </c>
      <c r="DA42" s="1">
        <f t="array" ref="DA42">IFERROR(INDEX(LCIA_Data,MATCH($AO$15&amp;DA$27,LCIA_Rows_B&amp;LCIA_Rows_C,0),MATCH(DA$26,LCIA_Columns,0)),0)*$AT42*$AK42*$BN$23</f>
        <v>0</v>
      </c>
      <c r="DB42" s="1">
        <f t="array" ref="DB42">IFERROR(INDEX(LCIA_Data,MATCH($AO$15&amp;DB$27,LCIA_Rows_B&amp;LCIA_Rows_C,0),MATCH(DB$26,LCIA_Columns,0)),0)*$AT42*$AK42*$BN$23</f>
        <v>0</v>
      </c>
      <c r="DC42" s="1">
        <f t="array" ref="DC42">IFERROR(INDEX(LCIA_Data,MATCH($AO$15&amp;DC$27,LCIA_Rows_B&amp;LCIA_Rows_C,0),MATCH(DC$26,LCIA_Columns,0)),0)*$AT42*$AK42*$BN$23</f>
        <v>0</v>
      </c>
      <c r="DD42" s="1">
        <f t="array" ref="DD42">IFERROR(INDEX(LCIA_Data,MATCH($AO$15&amp;DD$27,LCIA_Rows_B&amp;LCIA_Rows_C,0),MATCH(DD$26,LCIA_Columns,0)),0)*$AT42*$AK42*$BN$23</f>
        <v>0</v>
      </c>
      <c r="DE42" s="1">
        <f t="array" ref="DE42">IFERROR(INDEX(LCIA_Data,MATCH($AO$15&amp;DE$27,LCIA_Rows_B&amp;LCIA_Rows_C,0),MATCH(DE$26,LCIA_Columns,0)),0)*$AT42*$AK42*$BN$23</f>
        <v>0</v>
      </c>
      <c r="DF42" s="1">
        <f t="array" ref="DF42">IFERROR(INDEX(LCIA_Data,MATCH($AO$15&amp;DF$27,LCIA_Rows_B&amp;LCIA_Rows_C,0),MATCH(DF$26,LCIA_Columns,0)),0)*$AT42*$AK42*$BN$23</f>
        <v>0</v>
      </c>
      <c r="DG42" s="1">
        <f t="array" ref="DG42">IFERROR(INDEX(LCIA_Data,MATCH($AO$15&amp;DG$27,LCIA_Rows_B&amp;LCIA_Rows_C,0),MATCH(DG$26,LCIA_Columns,0)),0)*$AT42*$AK42*$BN$23</f>
        <v>0</v>
      </c>
      <c r="DH42" s="1">
        <f t="array" ref="DH42">IFERROR(INDEX(LCIA_Data,MATCH($AO$15&amp;DH$27,LCIA_Rows_B&amp;LCIA_Rows_C,0),MATCH(DH$26,LCIA_Columns,0)),0)*$AT42*$AK42*$BN$23</f>
        <v>0</v>
      </c>
      <c r="DI42" s="1">
        <f t="array" ref="DI42">IFERROR(INDEX(LCIA_Data,MATCH($AO$15&amp;DI$27,LCIA_Rows_B&amp;LCIA_Rows_C,0),MATCH(DI$26,LCIA_Columns,0)),0)*$AT42*$AK42*$BN$23</f>
        <v>0</v>
      </c>
      <c r="DJ42" s="1">
        <f t="array" ref="DJ42">IFERROR(INDEX(LCIA_Data,MATCH($AO$15&amp;DJ$27,LCIA_Rows_B&amp;LCIA_Rows_C,0),MATCH(DJ$26,LCIA_Columns,0)),0)*$AT42*$AK42*$BN$23</f>
        <v>0</v>
      </c>
      <c r="DK42" s="1">
        <f t="array" ref="DK42">IFERROR(INDEX(LCIA_Data,MATCH($AO$15&amp;DK$27,LCIA_Rows_B&amp;LCIA_Rows_C,0),MATCH(DK$26,LCIA_Columns,0)),0)*$AT42*$AK42*$BN$23</f>
        <v>0</v>
      </c>
      <c r="DL42" s="1">
        <f t="array" ref="DL42">IFERROR(INDEX(LCIA_Data,MATCH($AO$15&amp;DL$27,LCIA_Rows_B&amp;LCIA_Rows_C,0),MATCH(DL$26,LCIA_Columns,0)),0)*$AT42*$AK42*$BN$23</f>
        <v>0</v>
      </c>
      <c r="DM42" s="1">
        <f t="array" ref="DM42">IFERROR(INDEX(LCIA_Data,MATCH($AO$15&amp;DM$27,LCIA_Rows_B&amp;LCIA_Rows_C,0),MATCH(DM$26,LCIA_Columns,0)),0)*$AT42*$AK42*$BN$23</f>
        <v>0</v>
      </c>
      <c r="DN42" s="1">
        <f t="array" ref="DN42">IFERROR(INDEX(LCIA_Data,MATCH($AO$15&amp;DN$27,LCIA_Rows_B&amp;LCIA_Rows_C,0),MATCH(DN$26,LCIA_Columns,0)),0)*$AT42*$AK42*$BN$23</f>
        <v>0</v>
      </c>
      <c r="DO42">
        <f t="shared" si="20"/>
        <v>0</v>
      </c>
      <c r="DP42">
        <f t="shared" si="20"/>
        <v>0</v>
      </c>
      <c r="DQ42">
        <f t="shared" si="20"/>
        <v>0</v>
      </c>
      <c r="DR42">
        <f t="shared" si="20"/>
        <v>0</v>
      </c>
      <c r="DS42">
        <f t="shared" si="20"/>
        <v>0</v>
      </c>
      <c r="DT42">
        <f t="shared" si="20"/>
        <v>0</v>
      </c>
      <c r="DU42">
        <f t="shared" si="20"/>
        <v>0</v>
      </c>
      <c r="DV42">
        <f t="shared" si="20"/>
        <v>0</v>
      </c>
      <c r="DW42">
        <f t="shared" si="20"/>
        <v>0</v>
      </c>
      <c r="DX42">
        <f t="shared" si="20"/>
        <v>0</v>
      </c>
      <c r="DY42">
        <f t="shared" si="20"/>
        <v>0</v>
      </c>
      <c r="DZ42">
        <f t="shared" si="20"/>
        <v>0</v>
      </c>
      <c r="EA42">
        <f t="shared" si="20"/>
        <v>0</v>
      </c>
      <c r="EB42">
        <f t="shared" si="21"/>
        <v>0</v>
      </c>
      <c r="EC42"/>
      <c r="ED42"/>
      <c r="EE42"/>
      <c r="EF42"/>
      <c r="EG42"/>
    </row>
    <row r="43" spans="2:137" ht="15" customHeight="1">
      <c r="B43" s="53">
        <f t="shared" si="25"/>
        <v>0</v>
      </c>
      <c r="C43" s="26">
        <f t="shared" si="22"/>
        <v>14</v>
      </c>
      <c r="D43" s="46" t="str">
        <f>'Plant Inputs'!$D43</f>
        <v>Chemical Admixture - Water Reducer/Plasticizer</v>
      </c>
      <c r="E43" s="99"/>
      <c r="F43" s="106" t="str">
        <f t="shared" si="28"/>
        <v>gallon</v>
      </c>
      <c r="G43" s="158">
        <f t="shared" si="26"/>
        <v>0</v>
      </c>
      <c r="H43" s="204" t="str">
        <f t="shared" si="7"/>
        <v>short ton</v>
      </c>
      <c r="I43" s="156">
        <f t="shared" si="8"/>
        <v>0</v>
      </c>
      <c r="J43"/>
      <c r="K43"/>
      <c r="L43"/>
      <c r="M43"/>
      <c r="N43"/>
      <c r="O43"/>
      <c r="P43"/>
      <c r="Q43"/>
      <c r="R43"/>
      <c r="S43"/>
      <c r="T43"/>
      <c r="X43" s="67">
        <f t="shared" si="27"/>
        <v>0</v>
      </c>
      <c r="Y43" s="216">
        <f>IF(AND($X43=1,'Plant Inputs'!$Y43=1),1,0)</f>
        <v>0</v>
      </c>
      <c r="Z43" s="216"/>
      <c r="AA43" s="216">
        <f>IF($Y43=0,0,IF('Plant Inputs'!J43="",0,'Plant Inputs'!J43))</f>
        <v>0</v>
      </c>
      <c r="AB43" s="216">
        <f>IF($Y43=0,0,IF('Plant Inputs'!K43="",0,'Plant Inputs'!K43))</f>
        <v>0</v>
      </c>
      <c r="AC43" s="216">
        <f>IF($Y43=0,0,IF('Plant Inputs'!L43="",0,'Plant Inputs'!L43))</f>
        <v>0</v>
      </c>
      <c r="AD43" s="216">
        <f>IF($Y43=0,0,IF('Plant Inputs'!M43="",0,'Plant Inputs'!M43))</f>
        <v>0</v>
      </c>
      <c r="AE43" s="217" t="str">
        <f>'Plant Inputs'!$O43</f>
        <v>mile</v>
      </c>
      <c r="AF43" s="217">
        <f t="shared" si="9"/>
        <v>1.6093473468862911</v>
      </c>
      <c r="AG43" s="216" t="str">
        <f t="shared" si="23"/>
        <v>km/mile</v>
      </c>
      <c r="AH43" s="216">
        <f t="shared" si="10"/>
        <v>0</v>
      </c>
      <c r="AI43" s="216">
        <f t="shared" si="10"/>
        <v>0</v>
      </c>
      <c r="AJ43" s="216">
        <f t="shared" si="10"/>
        <v>0</v>
      </c>
      <c r="AK43" s="216">
        <f t="shared" si="10"/>
        <v>0</v>
      </c>
      <c r="AL43" s="216"/>
      <c r="AM43" s="1" t="str">
        <f t="shared" si="11"/>
        <v>Chemical Admixture - Water Reducer/Plasticizer</v>
      </c>
      <c r="AN43" s="12" t="s">
        <v>128</v>
      </c>
      <c r="AO43">
        <f t="shared" si="12"/>
        <v>1.1982656298327359</v>
      </c>
      <c r="AP43" s="1">
        <f t="shared" si="24"/>
        <v>0</v>
      </c>
      <c r="AQ43" s="1" t="str">
        <f t="shared" si="13"/>
        <v>gallon</v>
      </c>
      <c r="AR43" s="1">
        <f t="shared" si="14"/>
        <v>4.535929094356397E-3</v>
      </c>
      <c r="AS43" s="87" t="str">
        <f t="shared" si="15"/>
        <v>tonne/gallon</v>
      </c>
      <c r="AT43" s="87">
        <f t="shared" si="16"/>
        <v>0</v>
      </c>
      <c r="AU43" s="87">
        <f t="shared" si="17"/>
        <v>0</v>
      </c>
      <c r="AV43" s="87">
        <f t="shared" si="18"/>
        <v>0</v>
      </c>
      <c r="AW43" t="str">
        <f t="shared" si="19"/>
        <v>Chemical Admixture - Water Reducer/Plasticizer</v>
      </c>
      <c r="AX43" s="148">
        <f t="array" ref="AX43">IFERROR(INDEX(LCIA_Data,MATCH($AO$15&amp;AX$27,LCIA_Rows_B&amp;LCIA_Rows_C,0),MATCH($D43,LCIA_Columns,0)),0)*$AU43</f>
        <v>0</v>
      </c>
      <c r="AY43" s="148">
        <f t="array" ref="AY43">IFERROR(INDEX(LCIA_Data,MATCH($AO$15&amp;AY$27,LCIA_Rows_B&amp;LCIA_Rows_C,0),MATCH($D43,LCIA_Columns,0)),0)*$AU43</f>
        <v>0</v>
      </c>
      <c r="AZ43" s="148">
        <f t="array" ref="AZ43">IFERROR(INDEX(LCIA_Data,MATCH($AO$15&amp;AZ$27,LCIA_Rows_B&amp;LCIA_Rows_C,0),MATCH($D43,LCIA_Columns,0)),0)*$AU43</f>
        <v>0</v>
      </c>
      <c r="BA43" s="148">
        <f t="array" ref="BA43">IFERROR(INDEX(LCIA_Data,MATCH($AO$15&amp;BA$27,LCIA_Rows_B&amp;LCIA_Rows_C,0),MATCH($D43,LCIA_Columns,0)),0)*$AU43</f>
        <v>0</v>
      </c>
      <c r="BB43" s="148">
        <f t="array" ref="BB43">IFERROR(INDEX(LCIA_Data,MATCH($AO$15&amp;BB$27,LCIA_Rows_B&amp;LCIA_Rows_C,0),MATCH($D43,LCIA_Columns,0)),0)*$AU43</f>
        <v>0</v>
      </c>
      <c r="BC43" s="148">
        <f t="array" ref="BC43">IFERROR(INDEX(LCIA_Data,MATCH($AO$15&amp;BC$27,LCIA_Rows_B&amp;LCIA_Rows_C,0),MATCH($D43,LCIA_Columns,0)),0)*$AU43</f>
        <v>0</v>
      </c>
      <c r="BD43" s="148">
        <f t="array" ref="BD43">IFERROR(INDEX(LCIA_Data,MATCH($AO$15&amp;BD$27,LCIA_Rows_B&amp;LCIA_Rows_C,0),MATCH($D43,LCIA_Columns,0)),0)*$AU43</f>
        <v>0</v>
      </c>
      <c r="BE43" s="148">
        <f t="array" ref="BE43">IFERROR(INDEX(LCIA_Data,MATCH($AO$15&amp;BE$27,LCIA_Rows_B&amp;LCIA_Rows_C,0),MATCH($D43,LCIA_Columns,0)),0)*$AU43</f>
        <v>0</v>
      </c>
      <c r="BF43" s="148">
        <f t="array" ref="BF43">IFERROR(INDEX(LCIA_Data,MATCH($AO$15&amp;BF$27,LCIA_Rows_B&amp;LCIA_Rows_C,0),MATCH($D43,LCIA_Columns,0)),0)*$AU43</f>
        <v>0</v>
      </c>
      <c r="BG43" s="148">
        <f t="array" ref="BG43">IFERROR(INDEX(LCIA_Data,MATCH($AO$15&amp;BG$27,LCIA_Rows_B&amp;LCIA_Rows_C,0),MATCH($D43,LCIA_Columns,0)),0)*$AU43</f>
        <v>0</v>
      </c>
      <c r="BH43" s="148">
        <f t="array" ref="BH43">IFERROR(INDEX(LCIA_Data,MATCH($AO$15&amp;BH$27,LCIA_Rows_B&amp;LCIA_Rows_C,0),MATCH($D43,LCIA_Columns,0)),0)*$AU43</f>
        <v>0</v>
      </c>
      <c r="BI43" s="148">
        <f t="array" ref="BI43">IFERROR(INDEX(LCIA_Data,MATCH($AO$15&amp;BI$27,LCIA_Rows_B&amp;LCIA_Rows_C,0),MATCH($D43,LCIA_Columns,0)),0)*$AU43</f>
        <v>0</v>
      </c>
      <c r="BJ43" s="148">
        <f t="array" ref="BJ43">IFERROR(INDEX(LCIA_Data,MATCH($AO$15&amp;BJ$27,LCIA_Rows_B&amp;LCIA_Rows_C,0),MATCH($D43,LCIA_Columns,0)),0)*$AU43</f>
        <v>0</v>
      </c>
      <c r="BK43" s="148">
        <f t="array" ref="BK43">IFERROR(INDEX(LCIA_Data,MATCH($AO$15&amp;BK$27,LCIA_Rows_B&amp;LCIA_Rows_C,0),MATCH($D43,LCIA_Columns,0)),0)*$AU43</f>
        <v>0</v>
      </c>
      <c r="BM43" s="1">
        <f t="array" ref="BM43">IFERROR(INDEX(LCIA_Data,MATCH($AO$15&amp;BM$27,LCIA_Rows_B&amp;LCIA_Rows_C,0),MATCH(BM$26,LCIA_Columns,0)),0)*$AT43*$AH43*$BN$23</f>
        <v>0</v>
      </c>
      <c r="BN43" s="1">
        <f t="array" ref="BN43">IFERROR(INDEX(LCIA_Data,MATCH($AO$15&amp;BN$27,LCIA_Rows_B&amp;LCIA_Rows_C,0),MATCH(BN$26,LCIA_Columns,0)),0)*$AT43*$AH43*$BN$23</f>
        <v>0</v>
      </c>
      <c r="BO43" s="1">
        <f t="array" ref="BO43">IFERROR(INDEX(LCIA_Data,MATCH($AO$15&amp;BO$27,LCIA_Rows_B&amp;LCIA_Rows_C,0),MATCH(BO$26,LCIA_Columns,0)),0)*$AT43*$AH43*$BN$23</f>
        <v>0</v>
      </c>
      <c r="BP43" s="1">
        <f t="array" ref="BP43">IFERROR(INDEX(LCIA_Data,MATCH($AO$15&amp;BP$27,LCIA_Rows_B&amp;LCIA_Rows_C,0),MATCH(BP$26,LCIA_Columns,0)),0)*$AT43*$AH43*$BN$23</f>
        <v>0</v>
      </c>
      <c r="BQ43" s="1">
        <f t="array" ref="BQ43">IFERROR(INDEX(LCIA_Data,MATCH($AO$15&amp;BQ$27,LCIA_Rows_B&amp;LCIA_Rows_C,0),MATCH(BQ$26,LCIA_Columns,0)),0)*$AT43*$AH43*$BN$23</f>
        <v>0</v>
      </c>
      <c r="BR43" s="1">
        <f t="array" ref="BR43">IFERROR(INDEX(LCIA_Data,MATCH($AO$15&amp;BR$27,LCIA_Rows_B&amp;LCIA_Rows_C,0),MATCH(BR$26,LCIA_Columns,0)),0)*$AT43*$AH43*$BN$23</f>
        <v>0</v>
      </c>
      <c r="BS43" s="1">
        <f t="array" ref="BS43">IFERROR(INDEX(LCIA_Data,MATCH($AO$15&amp;BS$27,LCIA_Rows_B&amp;LCIA_Rows_C,0),MATCH(BS$26,LCIA_Columns,0)),0)*$AT43*$AH43*$BN$23</f>
        <v>0</v>
      </c>
      <c r="BT43" s="1">
        <f t="array" ref="BT43">IFERROR(INDEX(LCIA_Data,MATCH($AO$15&amp;BT$27,LCIA_Rows_B&amp;LCIA_Rows_C,0),MATCH(BT$26,LCIA_Columns,0)),0)*$AT43*$AH43*$BN$23</f>
        <v>0</v>
      </c>
      <c r="BU43" s="1">
        <f t="array" ref="BU43">IFERROR(INDEX(LCIA_Data,MATCH($AO$15&amp;BU$27,LCIA_Rows_B&amp;LCIA_Rows_C,0),MATCH(BU$26,LCIA_Columns,0)),0)*$AT43*$AH43*$BN$23</f>
        <v>0</v>
      </c>
      <c r="BV43" s="1">
        <f t="array" ref="BV43">IFERROR(INDEX(LCIA_Data,MATCH($AO$15&amp;BV$27,LCIA_Rows_B&amp;LCIA_Rows_C,0),MATCH(BV$26,LCIA_Columns,0)),0)*$AT43*$AH43*$BN$23</f>
        <v>0</v>
      </c>
      <c r="BW43" s="1">
        <f t="array" ref="BW43">IFERROR(INDEX(LCIA_Data,MATCH($AO$15&amp;BW$27,LCIA_Rows_B&amp;LCIA_Rows_C,0),MATCH(BW$26,LCIA_Columns,0)),0)*$AT43*$AH43*$BN$23</f>
        <v>0</v>
      </c>
      <c r="BX43" s="1">
        <f t="array" ref="BX43">IFERROR(INDEX(LCIA_Data,MATCH($AO$15&amp;BX$27,LCIA_Rows_B&amp;LCIA_Rows_C,0),MATCH(BX$26,LCIA_Columns,0)),0)*$AT43*$AH43*$BN$23</f>
        <v>0</v>
      </c>
      <c r="BY43" s="1">
        <f t="array" ref="BY43">IFERROR(INDEX(LCIA_Data,MATCH($AO$15&amp;BY$27,LCIA_Rows_B&amp;LCIA_Rows_C,0),MATCH(BY$26,LCIA_Columns,0)),0)*$AT43*$AH43*$BN$23</f>
        <v>0</v>
      </c>
      <c r="BZ43" s="1">
        <f t="array" ref="BZ43">IFERROR(INDEX(LCIA_Data,MATCH($AO$15&amp;BZ$27,LCIA_Rows_B&amp;LCIA_Rows_C,0),MATCH(BZ$26,LCIA_Columns,0)),0)*$AT43*$AH43*$BN$23</f>
        <v>0</v>
      </c>
      <c r="CA43" s="1">
        <f t="array" ref="CA43">IFERROR(INDEX(LCIA_Data,MATCH($AO$15&amp;CA$27,LCIA_Rows_B&amp;LCIA_Rows_C,0),MATCH(CA$26,LCIA_Columns,0)),0)*$AT43*$AI43*$BN$23</f>
        <v>0</v>
      </c>
      <c r="CB43" s="1">
        <f t="array" ref="CB43">IFERROR(INDEX(LCIA_Data,MATCH($AO$15&amp;CB$27,LCIA_Rows_B&amp;LCIA_Rows_C,0),MATCH(CB$26,LCIA_Columns,0)),0)*$AT43*$AI43*$BN$23</f>
        <v>0</v>
      </c>
      <c r="CC43" s="1">
        <f t="array" ref="CC43">IFERROR(INDEX(LCIA_Data,MATCH($AO$15&amp;CC$27,LCIA_Rows_B&amp;LCIA_Rows_C,0),MATCH(CC$26,LCIA_Columns,0)),0)*$AT43*$AI43*$BN$23</f>
        <v>0</v>
      </c>
      <c r="CD43" s="1">
        <f t="array" ref="CD43">IFERROR(INDEX(LCIA_Data,MATCH($AO$15&amp;CD$27,LCIA_Rows_B&amp;LCIA_Rows_C,0),MATCH(CD$26,LCIA_Columns,0)),0)*$AT43*$AI43*$BN$23</f>
        <v>0</v>
      </c>
      <c r="CE43" s="1">
        <f t="array" ref="CE43">IFERROR(INDEX(LCIA_Data,MATCH($AO$15&amp;CE$27,LCIA_Rows_B&amp;LCIA_Rows_C,0),MATCH(CE$26,LCIA_Columns,0)),0)*$AT43*$AI43*$BN$23</f>
        <v>0</v>
      </c>
      <c r="CF43" s="1">
        <f t="array" ref="CF43">IFERROR(INDEX(LCIA_Data,MATCH($AO$15&amp;CF$27,LCIA_Rows_B&amp;LCIA_Rows_C,0),MATCH(CF$26,LCIA_Columns,0)),0)*$AT43*$AI43*$BN$23</f>
        <v>0</v>
      </c>
      <c r="CG43" s="1">
        <f t="array" ref="CG43">IFERROR(INDEX(LCIA_Data,MATCH($AO$15&amp;CG$27,LCIA_Rows_B&amp;LCIA_Rows_C,0),MATCH(CG$26,LCIA_Columns,0)),0)*$AT43*$AI43*$BN$23</f>
        <v>0</v>
      </c>
      <c r="CH43" s="1">
        <f t="array" ref="CH43">IFERROR(INDEX(LCIA_Data,MATCH($AO$15&amp;CH$27,LCIA_Rows_B&amp;LCIA_Rows_C,0),MATCH(CH$26,LCIA_Columns,0)),0)*$AT43*$AI43*$BN$23</f>
        <v>0</v>
      </c>
      <c r="CI43" s="1">
        <f t="array" ref="CI43">IFERROR(INDEX(LCIA_Data,MATCH($AO$15&amp;CI$27,LCIA_Rows_B&amp;LCIA_Rows_C,0),MATCH(CI$26,LCIA_Columns,0)),0)*$AT43*$AI43*$BN$23</f>
        <v>0</v>
      </c>
      <c r="CJ43" s="1">
        <f t="array" ref="CJ43">IFERROR(INDEX(LCIA_Data,MATCH($AO$15&amp;CJ$27,LCIA_Rows_B&amp;LCIA_Rows_C,0),MATCH(CJ$26,LCIA_Columns,0)),0)*$AT43*$AI43*$BN$23</f>
        <v>0</v>
      </c>
      <c r="CK43" s="1">
        <f t="array" ref="CK43">IFERROR(INDEX(LCIA_Data,MATCH($AO$15&amp;CK$27,LCIA_Rows_B&amp;LCIA_Rows_C,0),MATCH(CK$26,LCIA_Columns,0)),0)*$AT43*$AI43*$BN$23</f>
        <v>0</v>
      </c>
      <c r="CL43" s="1">
        <f t="array" ref="CL43">IFERROR(INDEX(LCIA_Data,MATCH($AO$15&amp;CL$27,LCIA_Rows_B&amp;LCIA_Rows_C,0),MATCH(CL$26,LCIA_Columns,0)),0)*$AT43*$AI43*$BN$23</f>
        <v>0</v>
      </c>
      <c r="CM43" s="1">
        <f t="array" ref="CM43">IFERROR(INDEX(LCIA_Data,MATCH($AO$15&amp;CM$27,LCIA_Rows_B&amp;LCIA_Rows_C,0),MATCH(CM$26,LCIA_Columns,0)),0)*$AT43*$AJ43*$BN$23</f>
        <v>0</v>
      </c>
      <c r="CN43" s="1">
        <f t="array" ref="CN43">IFERROR(INDEX(LCIA_Data,MATCH($AO$15&amp;CN$27,LCIA_Rows_B&amp;LCIA_Rows_C,0),MATCH(CN$26,LCIA_Columns,0)),0)*$AT43*$AJ43*$BN$23</f>
        <v>0</v>
      </c>
      <c r="CO43" s="1">
        <f t="array" ref="CO43">IFERROR(INDEX(LCIA_Data,MATCH($AO$15&amp;CO$27,LCIA_Rows_B&amp;LCIA_Rows_C,0),MATCH(CO$26,LCIA_Columns,0)),0)*$AT43*$AJ43*$BN$23</f>
        <v>0</v>
      </c>
      <c r="CP43" s="1">
        <f t="array" ref="CP43">IFERROR(INDEX(LCIA_Data,MATCH($AO$15&amp;CP$27,LCIA_Rows_B&amp;LCIA_Rows_C,0),MATCH(CP$26,LCIA_Columns,0)),0)*$AT43*$AJ43*$BN$23</f>
        <v>0</v>
      </c>
      <c r="CQ43" s="1">
        <f t="array" ref="CQ43">IFERROR(INDEX(LCIA_Data,MATCH($AO$15&amp;CQ$27,LCIA_Rows_B&amp;LCIA_Rows_C,0),MATCH(CQ$26,LCIA_Columns,0)),0)*$AT43*$AJ43*$BN$23</f>
        <v>0</v>
      </c>
      <c r="CR43" s="1">
        <f t="array" ref="CR43">IFERROR(INDEX(LCIA_Data,MATCH($AO$15&amp;CR$27,LCIA_Rows_B&amp;LCIA_Rows_C,0),MATCH(CR$26,LCIA_Columns,0)),0)*$AT43*$AJ43*$BN$23</f>
        <v>0</v>
      </c>
      <c r="CS43" s="1">
        <f t="array" ref="CS43">IFERROR(INDEX(LCIA_Data,MATCH($AO$15&amp;CS$27,LCIA_Rows_B&amp;LCIA_Rows_C,0),MATCH(CS$26,LCIA_Columns,0)),0)*$AT43*$AJ43*$BN$23</f>
        <v>0</v>
      </c>
      <c r="CT43" s="1">
        <f t="array" ref="CT43">IFERROR(INDEX(LCIA_Data,MATCH($AO$15&amp;CT$27,LCIA_Rows_B&amp;LCIA_Rows_C,0),MATCH(CT$26,LCIA_Columns,0)),0)*$AT43*$AJ43*$BN$23</f>
        <v>0</v>
      </c>
      <c r="CU43" s="1">
        <f t="array" ref="CU43">IFERROR(INDEX(LCIA_Data,MATCH($AO$15&amp;CU$27,LCIA_Rows_B&amp;LCIA_Rows_C,0),MATCH(CU$26,LCIA_Columns,0)),0)*$AT43*$AJ43*$BN$23</f>
        <v>0</v>
      </c>
      <c r="CV43" s="1">
        <f t="array" ref="CV43">IFERROR(INDEX(LCIA_Data,MATCH($AO$15&amp;CV$27,LCIA_Rows_B&amp;LCIA_Rows_C,0),MATCH(CV$26,LCIA_Columns,0)),0)*$AT43*$AJ43*$BN$23</f>
        <v>0</v>
      </c>
      <c r="CW43" s="1">
        <f t="array" ref="CW43">IFERROR(INDEX(LCIA_Data,MATCH($AO$15&amp;CW$27,LCIA_Rows_B&amp;LCIA_Rows_C,0),MATCH(CW$26,LCIA_Columns,0)),0)*$AT43*$AJ43*$BN$23</f>
        <v>0</v>
      </c>
      <c r="CX43" s="1">
        <f t="array" ref="CX43">IFERROR(INDEX(LCIA_Data,MATCH($AO$15&amp;CX$27,LCIA_Rows_B&amp;LCIA_Rows_C,0),MATCH(CX$26,LCIA_Columns,0)),0)*$AT43*$AJ43*$BN$23</f>
        <v>0</v>
      </c>
      <c r="CY43" s="1">
        <f t="array" ref="CY43">IFERROR(INDEX(LCIA_Data,MATCH($AO$15&amp;CY$27,LCIA_Rows_B&amp;LCIA_Rows_C,0),MATCH(CY$26,LCIA_Columns,0)),0)*$AT43*$AJ43*$BN$23</f>
        <v>0</v>
      </c>
      <c r="CZ43" s="1">
        <f t="array" ref="CZ43">IFERROR(INDEX(LCIA_Data,MATCH($AO$15&amp;CZ$27,LCIA_Rows_B&amp;LCIA_Rows_C,0),MATCH(CZ$26,LCIA_Columns,0)),0)*$AT43*$AJ43*$BN$23</f>
        <v>0</v>
      </c>
      <c r="DA43" s="1">
        <f t="array" ref="DA43">IFERROR(INDEX(LCIA_Data,MATCH($AO$15&amp;DA$27,LCIA_Rows_B&amp;LCIA_Rows_C,0),MATCH(DA$26,LCIA_Columns,0)),0)*$AT43*$AK43*$BN$23</f>
        <v>0</v>
      </c>
      <c r="DB43" s="1">
        <f t="array" ref="DB43">IFERROR(INDEX(LCIA_Data,MATCH($AO$15&amp;DB$27,LCIA_Rows_B&amp;LCIA_Rows_C,0),MATCH(DB$26,LCIA_Columns,0)),0)*$AT43*$AK43*$BN$23</f>
        <v>0</v>
      </c>
      <c r="DC43" s="1">
        <f t="array" ref="DC43">IFERROR(INDEX(LCIA_Data,MATCH($AO$15&amp;DC$27,LCIA_Rows_B&amp;LCIA_Rows_C,0),MATCH(DC$26,LCIA_Columns,0)),0)*$AT43*$AK43*$BN$23</f>
        <v>0</v>
      </c>
      <c r="DD43" s="1">
        <f t="array" ref="DD43">IFERROR(INDEX(LCIA_Data,MATCH($AO$15&amp;DD$27,LCIA_Rows_B&amp;LCIA_Rows_C,0),MATCH(DD$26,LCIA_Columns,0)),0)*$AT43*$AK43*$BN$23</f>
        <v>0</v>
      </c>
      <c r="DE43" s="1">
        <f t="array" ref="DE43">IFERROR(INDEX(LCIA_Data,MATCH($AO$15&amp;DE$27,LCIA_Rows_B&amp;LCIA_Rows_C,0),MATCH(DE$26,LCIA_Columns,0)),0)*$AT43*$AK43*$BN$23</f>
        <v>0</v>
      </c>
      <c r="DF43" s="1">
        <f t="array" ref="DF43">IFERROR(INDEX(LCIA_Data,MATCH($AO$15&amp;DF$27,LCIA_Rows_B&amp;LCIA_Rows_C,0),MATCH(DF$26,LCIA_Columns,0)),0)*$AT43*$AK43*$BN$23</f>
        <v>0</v>
      </c>
      <c r="DG43" s="1">
        <f t="array" ref="DG43">IFERROR(INDEX(LCIA_Data,MATCH($AO$15&amp;DG$27,LCIA_Rows_B&amp;LCIA_Rows_C,0),MATCH(DG$26,LCIA_Columns,0)),0)*$AT43*$AK43*$BN$23</f>
        <v>0</v>
      </c>
      <c r="DH43" s="1">
        <f t="array" ref="DH43">IFERROR(INDEX(LCIA_Data,MATCH($AO$15&amp;DH$27,LCIA_Rows_B&amp;LCIA_Rows_C,0),MATCH(DH$26,LCIA_Columns,0)),0)*$AT43*$AK43*$BN$23</f>
        <v>0</v>
      </c>
      <c r="DI43" s="1">
        <f t="array" ref="DI43">IFERROR(INDEX(LCIA_Data,MATCH($AO$15&amp;DI$27,LCIA_Rows_B&amp;LCIA_Rows_C,0),MATCH(DI$26,LCIA_Columns,0)),0)*$AT43*$AK43*$BN$23</f>
        <v>0</v>
      </c>
      <c r="DJ43" s="1">
        <f t="array" ref="DJ43">IFERROR(INDEX(LCIA_Data,MATCH($AO$15&amp;DJ$27,LCIA_Rows_B&amp;LCIA_Rows_C,0),MATCH(DJ$26,LCIA_Columns,0)),0)*$AT43*$AK43*$BN$23</f>
        <v>0</v>
      </c>
      <c r="DK43" s="1">
        <f t="array" ref="DK43">IFERROR(INDEX(LCIA_Data,MATCH($AO$15&amp;DK$27,LCIA_Rows_B&amp;LCIA_Rows_C,0),MATCH(DK$26,LCIA_Columns,0)),0)*$AT43*$AK43*$BN$23</f>
        <v>0</v>
      </c>
      <c r="DL43" s="1">
        <f t="array" ref="DL43">IFERROR(INDEX(LCIA_Data,MATCH($AO$15&amp;DL$27,LCIA_Rows_B&amp;LCIA_Rows_C,0),MATCH(DL$26,LCIA_Columns,0)),0)*$AT43*$AK43*$BN$23</f>
        <v>0</v>
      </c>
      <c r="DM43" s="1">
        <f t="array" ref="DM43">IFERROR(INDEX(LCIA_Data,MATCH($AO$15&amp;DM$27,LCIA_Rows_B&amp;LCIA_Rows_C,0),MATCH(DM$26,LCIA_Columns,0)),0)*$AT43*$AK43*$BN$23</f>
        <v>0</v>
      </c>
      <c r="DN43" s="1">
        <f t="array" ref="DN43">IFERROR(INDEX(LCIA_Data,MATCH($AO$15&amp;DN$27,LCIA_Rows_B&amp;LCIA_Rows_C,0),MATCH(DN$26,LCIA_Columns,0)),0)*$AT43*$AK43*$BN$23</f>
        <v>0</v>
      </c>
      <c r="DO43">
        <f t="shared" si="20"/>
        <v>0</v>
      </c>
      <c r="DP43">
        <f t="shared" si="20"/>
        <v>0</v>
      </c>
      <c r="DQ43">
        <f t="shared" si="20"/>
        <v>0</v>
      </c>
      <c r="DR43">
        <f t="shared" si="20"/>
        <v>0</v>
      </c>
      <c r="DS43">
        <f t="shared" si="20"/>
        <v>0</v>
      </c>
      <c r="DT43">
        <f t="shared" si="20"/>
        <v>0</v>
      </c>
      <c r="DU43">
        <f t="shared" si="20"/>
        <v>0</v>
      </c>
      <c r="DV43">
        <f t="shared" si="20"/>
        <v>0</v>
      </c>
      <c r="DW43">
        <f t="shared" si="20"/>
        <v>0</v>
      </c>
      <c r="DX43">
        <f t="shared" si="20"/>
        <v>0</v>
      </c>
      <c r="DY43">
        <f t="shared" si="20"/>
        <v>0</v>
      </c>
      <c r="DZ43">
        <f t="shared" si="20"/>
        <v>0</v>
      </c>
      <c r="EA43">
        <f t="shared" si="20"/>
        <v>0</v>
      </c>
      <c r="EB43">
        <f t="shared" si="21"/>
        <v>0</v>
      </c>
      <c r="EC43"/>
      <c r="ED43"/>
      <c r="EE43"/>
      <c r="EF43"/>
      <c r="EG43"/>
    </row>
    <row r="44" spans="2:137" ht="15" customHeight="1">
      <c r="B44" s="53">
        <f t="shared" si="25"/>
        <v>0</v>
      </c>
      <c r="C44" s="26">
        <f t="shared" si="22"/>
        <v>15</v>
      </c>
      <c r="D44" s="46" t="str">
        <f>'Plant Inputs'!$D44</f>
        <v>Chemical Admixture - Accelerator</v>
      </c>
      <c r="E44" s="99"/>
      <c r="F44" s="106" t="str">
        <f t="shared" si="28"/>
        <v>gallon</v>
      </c>
      <c r="G44" s="158">
        <f t="shared" si="26"/>
        <v>0</v>
      </c>
      <c r="H44" s="204" t="str">
        <f t="shared" si="7"/>
        <v>short ton</v>
      </c>
      <c r="I44" s="156">
        <f t="shared" si="8"/>
        <v>0</v>
      </c>
      <c r="J44"/>
      <c r="K44"/>
      <c r="L44"/>
      <c r="M44"/>
      <c r="N44"/>
      <c r="O44"/>
      <c r="P44"/>
      <c r="Q44"/>
      <c r="R44"/>
      <c r="S44"/>
      <c r="T44"/>
      <c r="X44" s="67">
        <f t="shared" si="27"/>
        <v>0</v>
      </c>
      <c r="Y44" s="216">
        <f>IF(AND($X44=1,'Plant Inputs'!$Y44=1),1,0)</f>
        <v>0</v>
      </c>
      <c r="Z44" s="216"/>
      <c r="AA44" s="216">
        <f>IF($Y44=0,0,IF('Plant Inputs'!J44="",0,'Plant Inputs'!J44))</f>
        <v>0</v>
      </c>
      <c r="AB44" s="216">
        <f>IF($Y44=0,0,IF('Plant Inputs'!K44="",0,'Plant Inputs'!K44))</f>
        <v>0</v>
      </c>
      <c r="AC44" s="216">
        <f>IF($Y44=0,0,IF('Plant Inputs'!L44="",0,'Plant Inputs'!L44))</f>
        <v>0</v>
      </c>
      <c r="AD44" s="216">
        <f>IF($Y44=0,0,IF('Plant Inputs'!M44="",0,'Plant Inputs'!M44))</f>
        <v>0</v>
      </c>
      <c r="AE44" s="217" t="str">
        <f>'Plant Inputs'!$O44</f>
        <v>mile</v>
      </c>
      <c r="AF44" s="217">
        <f t="shared" si="9"/>
        <v>1.6093473468862911</v>
      </c>
      <c r="AG44" s="216" t="str">
        <f t="shared" si="23"/>
        <v>km/mile</v>
      </c>
      <c r="AH44" s="216">
        <f t="shared" si="10"/>
        <v>0</v>
      </c>
      <c r="AI44" s="216">
        <f t="shared" si="10"/>
        <v>0</v>
      </c>
      <c r="AJ44" s="216">
        <f t="shared" si="10"/>
        <v>0</v>
      </c>
      <c r="AK44" s="216">
        <f t="shared" si="10"/>
        <v>0</v>
      </c>
      <c r="AL44" s="216"/>
      <c r="AM44" s="1" t="str">
        <f t="shared" si="11"/>
        <v>Chemical Admixture - Accelerator</v>
      </c>
      <c r="AN44" s="12" t="s">
        <v>128</v>
      </c>
      <c r="AO44">
        <f t="shared" si="12"/>
        <v>1.1982656298327359</v>
      </c>
      <c r="AP44" s="1">
        <f t="shared" si="24"/>
        <v>0</v>
      </c>
      <c r="AQ44" s="1" t="str">
        <f t="shared" si="13"/>
        <v>gallon</v>
      </c>
      <c r="AR44" s="1">
        <f t="shared" si="14"/>
        <v>4.535929094356397E-3</v>
      </c>
      <c r="AS44" s="87" t="str">
        <f t="shared" si="15"/>
        <v>tonne/gallon</v>
      </c>
      <c r="AT44" s="87">
        <f t="shared" si="16"/>
        <v>0</v>
      </c>
      <c r="AU44" s="87">
        <f t="shared" si="17"/>
        <v>0</v>
      </c>
      <c r="AV44" s="87">
        <f t="shared" si="18"/>
        <v>0</v>
      </c>
      <c r="AW44" t="str">
        <f t="shared" si="19"/>
        <v>Chemical Admixture - Accelerator</v>
      </c>
      <c r="AX44" s="148">
        <f t="array" ref="AX44">IFERROR(INDEX(LCIA_Data,MATCH($AO$15&amp;AX$27,LCIA_Rows_B&amp;LCIA_Rows_C,0),MATCH($D44,LCIA_Columns,0)),0)*$AU44</f>
        <v>0</v>
      </c>
      <c r="AY44" s="148">
        <f t="array" ref="AY44">IFERROR(INDEX(LCIA_Data,MATCH($AO$15&amp;AY$27,LCIA_Rows_B&amp;LCIA_Rows_C,0),MATCH($D44,LCIA_Columns,0)),0)*$AU44</f>
        <v>0</v>
      </c>
      <c r="AZ44" s="148">
        <f t="array" ref="AZ44">IFERROR(INDEX(LCIA_Data,MATCH($AO$15&amp;AZ$27,LCIA_Rows_B&amp;LCIA_Rows_C,0),MATCH($D44,LCIA_Columns,0)),0)*$AU44</f>
        <v>0</v>
      </c>
      <c r="BA44" s="148">
        <f t="array" ref="BA44">IFERROR(INDEX(LCIA_Data,MATCH($AO$15&amp;BA$27,LCIA_Rows_B&amp;LCIA_Rows_C,0),MATCH($D44,LCIA_Columns,0)),0)*$AU44</f>
        <v>0</v>
      </c>
      <c r="BB44" s="148">
        <f t="array" ref="BB44">IFERROR(INDEX(LCIA_Data,MATCH($AO$15&amp;BB$27,LCIA_Rows_B&amp;LCIA_Rows_C,0),MATCH($D44,LCIA_Columns,0)),0)*$AU44</f>
        <v>0</v>
      </c>
      <c r="BC44" s="148">
        <f t="array" ref="BC44">IFERROR(INDEX(LCIA_Data,MATCH($AO$15&amp;BC$27,LCIA_Rows_B&amp;LCIA_Rows_C,0),MATCH($D44,LCIA_Columns,0)),0)*$AU44</f>
        <v>0</v>
      </c>
      <c r="BD44" s="148">
        <f t="array" ref="BD44">IFERROR(INDEX(LCIA_Data,MATCH($AO$15&amp;BD$27,LCIA_Rows_B&amp;LCIA_Rows_C,0),MATCH($D44,LCIA_Columns,0)),0)*$AU44</f>
        <v>0</v>
      </c>
      <c r="BE44" s="148">
        <f t="array" ref="BE44">IFERROR(INDEX(LCIA_Data,MATCH($AO$15&amp;BE$27,LCIA_Rows_B&amp;LCIA_Rows_C,0),MATCH($D44,LCIA_Columns,0)),0)*$AU44</f>
        <v>0</v>
      </c>
      <c r="BF44" s="148">
        <f t="array" ref="BF44">IFERROR(INDEX(LCIA_Data,MATCH($AO$15&amp;BF$27,LCIA_Rows_B&amp;LCIA_Rows_C,0),MATCH($D44,LCIA_Columns,0)),0)*$AU44</f>
        <v>0</v>
      </c>
      <c r="BG44" s="148">
        <f t="array" ref="BG44">IFERROR(INDEX(LCIA_Data,MATCH($AO$15&amp;BG$27,LCIA_Rows_B&amp;LCIA_Rows_C,0),MATCH($D44,LCIA_Columns,0)),0)*$AU44</f>
        <v>0</v>
      </c>
      <c r="BH44" s="148">
        <f t="array" ref="BH44">IFERROR(INDEX(LCIA_Data,MATCH($AO$15&amp;BH$27,LCIA_Rows_B&amp;LCIA_Rows_C,0),MATCH($D44,LCIA_Columns,0)),0)*$AU44</f>
        <v>0</v>
      </c>
      <c r="BI44" s="148">
        <f t="array" ref="BI44">IFERROR(INDEX(LCIA_Data,MATCH($AO$15&amp;BI$27,LCIA_Rows_B&amp;LCIA_Rows_C,0),MATCH($D44,LCIA_Columns,0)),0)*$AU44</f>
        <v>0</v>
      </c>
      <c r="BJ44" s="148">
        <f t="array" ref="BJ44">IFERROR(INDEX(LCIA_Data,MATCH($AO$15&amp;BJ$27,LCIA_Rows_B&amp;LCIA_Rows_C,0),MATCH($D44,LCIA_Columns,0)),0)*$AU44</f>
        <v>0</v>
      </c>
      <c r="BK44" s="148">
        <f t="array" ref="BK44">IFERROR(INDEX(LCIA_Data,MATCH($AO$15&amp;BK$27,LCIA_Rows_B&amp;LCIA_Rows_C,0),MATCH($D44,LCIA_Columns,0)),0)*$AU44</f>
        <v>0</v>
      </c>
      <c r="BM44" s="1">
        <f t="array" ref="BM44">IFERROR(INDEX(LCIA_Data,MATCH($AO$15&amp;BM$27,LCIA_Rows_B&amp;LCIA_Rows_C,0),MATCH(BM$26,LCIA_Columns,0)),0)*$AT44*$AH44*$BN$23</f>
        <v>0</v>
      </c>
      <c r="BN44" s="1">
        <f t="array" ref="BN44">IFERROR(INDEX(LCIA_Data,MATCH($AO$15&amp;BN$27,LCIA_Rows_B&amp;LCIA_Rows_C,0),MATCH(BN$26,LCIA_Columns,0)),0)*$AT44*$AH44*$BN$23</f>
        <v>0</v>
      </c>
      <c r="BO44" s="1">
        <f t="array" ref="BO44">IFERROR(INDEX(LCIA_Data,MATCH($AO$15&amp;BO$27,LCIA_Rows_B&amp;LCIA_Rows_C,0),MATCH(BO$26,LCIA_Columns,0)),0)*$AT44*$AH44*$BN$23</f>
        <v>0</v>
      </c>
      <c r="BP44" s="1">
        <f t="array" ref="BP44">IFERROR(INDEX(LCIA_Data,MATCH($AO$15&amp;BP$27,LCIA_Rows_B&amp;LCIA_Rows_C,0),MATCH(BP$26,LCIA_Columns,0)),0)*$AT44*$AH44*$BN$23</f>
        <v>0</v>
      </c>
      <c r="BQ44" s="1">
        <f t="array" ref="BQ44">IFERROR(INDEX(LCIA_Data,MATCH($AO$15&amp;BQ$27,LCIA_Rows_B&amp;LCIA_Rows_C,0),MATCH(BQ$26,LCIA_Columns,0)),0)*$AT44*$AH44*$BN$23</f>
        <v>0</v>
      </c>
      <c r="BR44" s="1">
        <f t="array" ref="BR44">IFERROR(INDEX(LCIA_Data,MATCH($AO$15&amp;BR$27,LCIA_Rows_B&amp;LCIA_Rows_C,0),MATCH(BR$26,LCIA_Columns,0)),0)*$AT44*$AH44*$BN$23</f>
        <v>0</v>
      </c>
      <c r="BS44" s="1">
        <f t="array" ref="BS44">IFERROR(INDEX(LCIA_Data,MATCH($AO$15&amp;BS$27,LCIA_Rows_B&amp;LCIA_Rows_C,0),MATCH(BS$26,LCIA_Columns,0)),0)*$AT44*$AH44*$BN$23</f>
        <v>0</v>
      </c>
      <c r="BT44" s="1">
        <f t="array" ref="BT44">IFERROR(INDEX(LCIA_Data,MATCH($AO$15&amp;BT$27,LCIA_Rows_B&amp;LCIA_Rows_C,0),MATCH(BT$26,LCIA_Columns,0)),0)*$AT44*$AH44*$BN$23</f>
        <v>0</v>
      </c>
      <c r="BU44" s="1">
        <f t="array" ref="BU44">IFERROR(INDEX(LCIA_Data,MATCH($AO$15&amp;BU$27,LCIA_Rows_B&amp;LCIA_Rows_C,0),MATCH(BU$26,LCIA_Columns,0)),0)*$AT44*$AH44*$BN$23</f>
        <v>0</v>
      </c>
      <c r="BV44" s="1">
        <f t="array" ref="BV44">IFERROR(INDEX(LCIA_Data,MATCH($AO$15&amp;BV$27,LCIA_Rows_B&amp;LCIA_Rows_C,0),MATCH(BV$26,LCIA_Columns,0)),0)*$AT44*$AH44*$BN$23</f>
        <v>0</v>
      </c>
      <c r="BW44" s="1">
        <f t="array" ref="BW44">IFERROR(INDEX(LCIA_Data,MATCH($AO$15&amp;BW$27,LCIA_Rows_B&amp;LCIA_Rows_C,0),MATCH(BW$26,LCIA_Columns,0)),0)*$AT44*$AH44*$BN$23</f>
        <v>0</v>
      </c>
      <c r="BX44" s="1">
        <f t="array" ref="BX44">IFERROR(INDEX(LCIA_Data,MATCH($AO$15&amp;BX$27,LCIA_Rows_B&amp;LCIA_Rows_C,0),MATCH(BX$26,LCIA_Columns,0)),0)*$AT44*$AH44*$BN$23</f>
        <v>0</v>
      </c>
      <c r="BY44" s="1">
        <f t="array" ref="BY44">IFERROR(INDEX(LCIA_Data,MATCH($AO$15&amp;BY$27,LCIA_Rows_B&amp;LCIA_Rows_C,0),MATCH(BY$26,LCIA_Columns,0)),0)*$AT44*$AH44*$BN$23</f>
        <v>0</v>
      </c>
      <c r="BZ44" s="1">
        <f t="array" ref="BZ44">IFERROR(INDEX(LCIA_Data,MATCH($AO$15&amp;BZ$27,LCIA_Rows_B&amp;LCIA_Rows_C,0),MATCH(BZ$26,LCIA_Columns,0)),0)*$AT44*$AH44*$BN$23</f>
        <v>0</v>
      </c>
      <c r="CA44" s="1">
        <f t="array" ref="CA44">IFERROR(INDEX(LCIA_Data,MATCH($AO$15&amp;CA$27,LCIA_Rows_B&amp;LCIA_Rows_C,0),MATCH(CA$26,LCIA_Columns,0)),0)*$AT44*$AI44*$BN$23</f>
        <v>0</v>
      </c>
      <c r="CB44" s="1">
        <f t="array" ref="CB44">IFERROR(INDEX(LCIA_Data,MATCH($AO$15&amp;CB$27,LCIA_Rows_B&amp;LCIA_Rows_C,0),MATCH(CB$26,LCIA_Columns,0)),0)*$AT44*$AI44*$BN$23</f>
        <v>0</v>
      </c>
      <c r="CC44" s="1">
        <f t="array" ref="CC44">IFERROR(INDEX(LCIA_Data,MATCH($AO$15&amp;CC$27,LCIA_Rows_B&amp;LCIA_Rows_C,0),MATCH(CC$26,LCIA_Columns,0)),0)*$AT44*$AI44*$BN$23</f>
        <v>0</v>
      </c>
      <c r="CD44" s="1">
        <f t="array" ref="CD44">IFERROR(INDEX(LCIA_Data,MATCH($AO$15&amp;CD$27,LCIA_Rows_B&amp;LCIA_Rows_C,0),MATCH(CD$26,LCIA_Columns,0)),0)*$AT44*$AI44*$BN$23</f>
        <v>0</v>
      </c>
      <c r="CE44" s="1">
        <f t="array" ref="CE44">IFERROR(INDEX(LCIA_Data,MATCH($AO$15&amp;CE$27,LCIA_Rows_B&amp;LCIA_Rows_C,0),MATCH(CE$26,LCIA_Columns,0)),0)*$AT44*$AI44*$BN$23</f>
        <v>0</v>
      </c>
      <c r="CF44" s="1">
        <f t="array" ref="CF44">IFERROR(INDEX(LCIA_Data,MATCH($AO$15&amp;CF$27,LCIA_Rows_B&amp;LCIA_Rows_C,0),MATCH(CF$26,LCIA_Columns,0)),0)*$AT44*$AI44*$BN$23</f>
        <v>0</v>
      </c>
      <c r="CG44" s="1">
        <f t="array" ref="CG44">IFERROR(INDEX(LCIA_Data,MATCH($AO$15&amp;CG$27,LCIA_Rows_B&amp;LCIA_Rows_C,0),MATCH(CG$26,LCIA_Columns,0)),0)*$AT44*$AI44*$BN$23</f>
        <v>0</v>
      </c>
      <c r="CH44" s="1">
        <f t="array" ref="CH44">IFERROR(INDEX(LCIA_Data,MATCH($AO$15&amp;CH$27,LCIA_Rows_B&amp;LCIA_Rows_C,0),MATCH(CH$26,LCIA_Columns,0)),0)*$AT44*$AI44*$BN$23</f>
        <v>0</v>
      </c>
      <c r="CI44" s="1">
        <f t="array" ref="CI44">IFERROR(INDEX(LCIA_Data,MATCH($AO$15&amp;CI$27,LCIA_Rows_B&amp;LCIA_Rows_C,0),MATCH(CI$26,LCIA_Columns,0)),0)*$AT44*$AI44*$BN$23</f>
        <v>0</v>
      </c>
      <c r="CJ44" s="1">
        <f t="array" ref="CJ44">IFERROR(INDEX(LCIA_Data,MATCH($AO$15&amp;CJ$27,LCIA_Rows_B&amp;LCIA_Rows_C,0),MATCH(CJ$26,LCIA_Columns,0)),0)*$AT44*$AI44*$BN$23</f>
        <v>0</v>
      </c>
      <c r="CK44" s="1">
        <f t="array" ref="CK44">IFERROR(INDEX(LCIA_Data,MATCH($AO$15&amp;CK$27,LCIA_Rows_B&amp;LCIA_Rows_C,0),MATCH(CK$26,LCIA_Columns,0)),0)*$AT44*$AI44*$BN$23</f>
        <v>0</v>
      </c>
      <c r="CL44" s="1">
        <f t="array" ref="CL44">IFERROR(INDEX(LCIA_Data,MATCH($AO$15&amp;CL$27,LCIA_Rows_B&amp;LCIA_Rows_C,0),MATCH(CL$26,LCIA_Columns,0)),0)*$AT44*$AI44*$BN$23</f>
        <v>0</v>
      </c>
      <c r="CM44" s="1">
        <f t="array" ref="CM44">IFERROR(INDEX(LCIA_Data,MATCH($AO$15&amp;CM$27,LCIA_Rows_B&amp;LCIA_Rows_C,0),MATCH(CM$26,LCIA_Columns,0)),0)*$AT44*$AJ44*$BN$23</f>
        <v>0</v>
      </c>
      <c r="CN44" s="1">
        <f t="array" ref="CN44">IFERROR(INDEX(LCIA_Data,MATCH($AO$15&amp;CN$27,LCIA_Rows_B&amp;LCIA_Rows_C,0),MATCH(CN$26,LCIA_Columns,0)),0)*$AT44*$AJ44*$BN$23</f>
        <v>0</v>
      </c>
      <c r="CO44" s="1">
        <f t="array" ref="CO44">IFERROR(INDEX(LCIA_Data,MATCH($AO$15&amp;CO$27,LCIA_Rows_B&amp;LCIA_Rows_C,0),MATCH(CO$26,LCIA_Columns,0)),0)*$AT44*$AJ44*$BN$23</f>
        <v>0</v>
      </c>
      <c r="CP44" s="1">
        <f t="array" ref="CP44">IFERROR(INDEX(LCIA_Data,MATCH($AO$15&amp;CP$27,LCIA_Rows_B&amp;LCIA_Rows_C,0),MATCH(CP$26,LCIA_Columns,0)),0)*$AT44*$AJ44*$BN$23</f>
        <v>0</v>
      </c>
      <c r="CQ44" s="1">
        <f t="array" ref="CQ44">IFERROR(INDEX(LCIA_Data,MATCH($AO$15&amp;CQ$27,LCIA_Rows_B&amp;LCIA_Rows_C,0),MATCH(CQ$26,LCIA_Columns,0)),0)*$AT44*$AJ44*$BN$23</f>
        <v>0</v>
      </c>
      <c r="CR44" s="1">
        <f t="array" ref="CR44">IFERROR(INDEX(LCIA_Data,MATCH($AO$15&amp;CR$27,LCIA_Rows_B&amp;LCIA_Rows_C,0),MATCH(CR$26,LCIA_Columns,0)),0)*$AT44*$AJ44*$BN$23</f>
        <v>0</v>
      </c>
      <c r="CS44" s="1">
        <f t="array" ref="CS44">IFERROR(INDEX(LCIA_Data,MATCH($AO$15&amp;CS$27,LCIA_Rows_B&amp;LCIA_Rows_C,0),MATCH(CS$26,LCIA_Columns,0)),0)*$AT44*$AJ44*$BN$23</f>
        <v>0</v>
      </c>
      <c r="CT44" s="1">
        <f t="array" ref="CT44">IFERROR(INDEX(LCIA_Data,MATCH($AO$15&amp;CT$27,LCIA_Rows_B&amp;LCIA_Rows_C,0),MATCH(CT$26,LCIA_Columns,0)),0)*$AT44*$AJ44*$BN$23</f>
        <v>0</v>
      </c>
      <c r="CU44" s="1">
        <f t="array" ref="CU44">IFERROR(INDEX(LCIA_Data,MATCH($AO$15&amp;CU$27,LCIA_Rows_B&amp;LCIA_Rows_C,0),MATCH(CU$26,LCIA_Columns,0)),0)*$AT44*$AJ44*$BN$23</f>
        <v>0</v>
      </c>
      <c r="CV44" s="1">
        <f t="array" ref="CV44">IFERROR(INDEX(LCIA_Data,MATCH($AO$15&amp;CV$27,LCIA_Rows_B&amp;LCIA_Rows_C,0),MATCH(CV$26,LCIA_Columns,0)),0)*$AT44*$AJ44*$BN$23</f>
        <v>0</v>
      </c>
      <c r="CW44" s="1">
        <f t="array" ref="CW44">IFERROR(INDEX(LCIA_Data,MATCH($AO$15&amp;CW$27,LCIA_Rows_B&amp;LCIA_Rows_C,0),MATCH(CW$26,LCIA_Columns,0)),0)*$AT44*$AJ44*$BN$23</f>
        <v>0</v>
      </c>
      <c r="CX44" s="1">
        <f t="array" ref="CX44">IFERROR(INDEX(LCIA_Data,MATCH($AO$15&amp;CX$27,LCIA_Rows_B&amp;LCIA_Rows_C,0),MATCH(CX$26,LCIA_Columns,0)),0)*$AT44*$AJ44*$BN$23</f>
        <v>0</v>
      </c>
      <c r="CY44" s="1">
        <f t="array" ref="CY44">IFERROR(INDEX(LCIA_Data,MATCH($AO$15&amp;CY$27,LCIA_Rows_B&amp;LCIA_Rows_C,0),MATCH(CY$26,LCIA_Columns,0)),0)*$AT44*$AJ44*$BN$23</f>
        <v>0</v>
      </c>
      <c r="CZ44" s="1">
        <f t="array" ref="CZ44">IFERROR(INDEX(LCIA_Data,MATCH($AO$15&amp;CZ$27,LCIA_Rows_B&amp;LCIA_Rows_C,0),MATCH(CZ$26,LCIA_Columns,0)),0)*$AT44*$AJ44*$BN$23</f>
        <v>0</v>
      </c>
      <c r="DA44" s="1">
        <f t="array" ref="DA44">IFERROR(INDEX(LCIA_Data,MATCH($AO$15&amp;DA$27,LCIA_Rows_B&amp;LCIA_Rows_C,0),MATCH(DA$26,LCIA_Columns,0)),0)*$AT44*$AK44*$BN$23</f>
        <v>0</v>
      </c>
      <c r="DB44" s="1">
        <f t="array" ref="DB44">IFERROR(INDEX(LCIA_Data,MATCH($AO$15&amp;DB$27,LCIA_Rows_B&amp;LCIA_Rows_C,0),MATCH(DB$26,LCIA_Columns,0)),0)*$AT44*$AK44*$BN$23</f>
        <v>0</v>
      </c>
      <c r="DC44" s="1">
        <f t="array" ref="DC44">IFERROR(INDEX(LCIA_Data,MATCH($AO$15&amp;DC$27,LCIA_Rows_B&amp;LCIA_Rows_C,0),MATCH(DC$26,LCIA_Columns,0)),0)*$AT44*$AK44*$BN$23</f>
        <v>0</v>
      </c>
      <c r="DD44" s="1">
        <f t="array" ref="DD44">IFERROR(INDEX(LCIA_Data,MATCH($AO$15&amp;DD$27,LCIA_Rows_B&amp;LCIA_Rows_C,0),MATCH(DD$26,LCIA_Columns,0)),0)*$AT44*$AK44*$BN$23</f>
        <v>0</v>
      </c>
      <c r="DE44" s="1">
        <f t="array" ref="DE44">IFERROR(INDEX(LCIA_Data,MATCH($AO$15&amp;DE$27,LCIA_Rows_B&amp;LCIA_Rows_C,0),MATCH(DE$26,LCIA_Columns,0)),0)*$AT44*$AK44*$BN$23</f>
        <v>0</v>
      </c>
      <c r="DF44" s="1">
        <f t="array" ref="DF44">IFERROR(INDEX(LCIA_Data,MATCH($AO$15&amp;DF$27,LCIA_Rows_B&amp;LCIA_Rows_C,0),MATCH(DF$26,LCIA_Columns,0)),0)*$AT44*$AK44*$BN$23</f>
        <v>0</v>
      </c>
      <c r="DG44" s="1">
        <f t="array" ref="DG44">IFERROR(INDEX(LCIA_Data,MATCH($AO$15&amp;DG$27,LCIA_Rows_B&amp;LCIA_Rows_C,0),MATCH(DG$26,LCIA_Columns,0)),0)*$AT44*$AK44*$BN$23</f>
        <v>0</v>
      </c>
      <c r="DH44" s="1">
        <f t="array" ref="DH44">IFERROR(INDEX(LCIA_Data,MATCH($AO$15&amp;DH$27,LCIA_Rows_B&amp;LCIA_Rows_C,0),MATCH(DH$26,LCIA_Columns,0)),0)*$AT44*$AK44*$BN$23</f>
        <v>0</v>
      </c>
      <c r="DI44" s="1">
        <f t="array" ref="DI44">IFERROR(INDEX(LCIA_Data,MATCH($AO$15&amp;DI$27,LCIA_Rows_B&amp;LCIA_Rows_C,0),MATCH(DI$26,LCIA_Columns,0)),0)*$AT44*$AK44*$BN$23</f>
        <v>0</v>
      </c>
      <c r="DJ44" s="1">
        <f t="array" ref="DJ44">IFERROR(INDEX(LCIA_Data,MATCH($AO$15&amp;DJ$27,LCIA_Rows_B&amp;LCIA_Rows_C,0),MATCH(DJ$26,LCIA_Columns,0)),0)*$AT44*$AK44*$BN$23</f>
        <v>0</v>
      </c>
      <c r="DK44" s="1">
        <f t="array" ref="DK44">IFERROR(INDEX(LCIA_Data,MATCH($AO$15&amp;DK$27,LCIA_Rows_B&amp;LCIA_Rows_C,0),MATCH(DK$26,LCIA_Columns,0)),0)*$AT44*$AK44*$BN$23</f>
        <v>0</v>
      </c>
      <c r="DL44" s="1">
        <f t="array" ref="DL44">IFERROR(INDEX(LCIA_Data,MATCH($AO$15&amp;DL$27,LCIA_Rows_B&amp;LCIA_Rows_C,0),MATCH(DL$26,LCIA_Columns,0)),0)*$AT44*$AK44*$BN$23</f>
        <v>0</v>
      </c>
      <c r="DM44" s="1">
        <f t="array" ref="DM44">IFERROR(INDEX(LCIA_Data,MATCH($AO$15&amp;DM$27,LCIA_Rows_B&amp;LCIA_Rows_C,0),MATCH(DM$26,LCIA_Columns,0)),0)*$AT44*$AK44*$BN$23</f>
        <v>0</v>
      </c>
      <c r="DN44" s="1">
        <f t="array" ref="DN44">IFERROR(INDEX(LCIA_Data,MATCH($AO$15&amp;DN$27,LCIA_Rows_B&amp;LCIA_Rows_C,0),MATCH(DN$26,LCIA_Columns,0)),0)*$AT44*$AK44*$BN$23</f>
        <v>0</v>
      </c>
      <c r="DO44">
        <f t="shared" si="20"/>
        <v>0</v>
      </c>
      <c r="DP44">
        <f t="shared" si="20"/>
        <v>0</v>
      </c>
      <c r="DQ44">
        <f t="shared" si="20"/>
        <v>0</v>
      </c>
      <c r="DR44">
        <f t="shared" si="20"/>
        <v>0</v>
      </c>
      <c r="DS44">
        <f t="shared" si="20"/>
        <v>0</v>
      </c>
      <c r="DT44">
        <f t="shared" si="20"/>
        <v>0</v>
      </c>
      <c r="DU44">
        <f t="shared" si="20"/>
        <v>0</v>
      </c>
      <c r="DV44">
        <f t="shared" si="20"/>
        <v>0</v>
      </c>
      <c r="DW44">
        <f t="shared" si="20"/>
        <v>0</v>
      </c>
      <c r="DX44">
        <f t="shared" si="20"/>
        <v>0</v>
      </c>
      <c r="DY44">
        <f t="shared" si="20"/>
        <v>0</v>
      </c>
      <c r="DZ44">
        <f t="shared" si="20"/>
        <v>0</v>
      </c>
      <c r="EA44">
        <f t="shared" si="20"/>
        <v>0</v>
      </c>
      <c r="EB44">
        <f t="shared" si="21"/>
        <v>0</v>
      </c>
      <c r="EC44"/>
      <c r="ED44"/>
      <c r="EE44"/>
      <c r="EF44"/>
      <c r="EG44"/>
    </row>
    <row r="45" spans="2:137" ht="26.25" customHeight="1">
      <c r="B45" s="53">
        <f t="shared" si="25"/>
        <v>0</v>
      </c>
      <c r="C45" s="26">
        <f t="shared" si="22"/>
        <v>16</v>
      </c>
      <c r="D45" s="46" t="str">
        <f>'Plant Inputs'!$D45</f>
        <v>Chemical Admixture - High Range Water Reducer (HRWR)/Super Plasticizer</v>
      </c>
      <c r="E45" s="99"/>
      <c r="F45" s="106" t="str">
        <f t="shared" si="28"/>
        <v>gallon</v>
      </c>
      <c r="G45" s="158">
        <f t="shared" si="26"/>
        <v>0</v>
      </c>
      <c r="H45" s="204" t="str">
        <f t="shared" si="7"/>
        <v>short ton</v>
      </c>
      <c r="I45" s="156">
        <f t="shared" si="8"/>
        <v>0</v>
      </c>
      <c r="J45"/>
      <c r="K45"/>
      <c r="L45"/>
      <c r="M45"/>
      <c r="N45"/>
      <c r="O45"/>
      <c r="P45"/>
      <c r="Q45"/>
      <c r="R45"/>
      <c r="S45"/>
      <c r="T45"/>
      <c r="X45" s="67">
        <f t="shared" si="27"/>
        <v>0</v>
      </c>
      <c r="Y45" s="216">
        <f>IF(AND($X45=1,'Plant Inputs'!$Y45=1),1,0)</f>
        <v>0</v>
      </c>
      <c r="Z45" s="216"/>
      <c r="AA45" s="216">
        <f>IF($Y45=0,0,IF('Plant Inputs'!J45="",0,'Plant Inputs'!J45))</f>
        <v>0</v>
      </c>
      <c r="AB45" s="216">
        <f>IF($Y45=0,0,IF('Plant Inputs'!K45="",0,'Plant Inputs'!K45))</f>
        <v>0</v>
      </c>
      <c r="AC45" s="216">
        <f>IF($Y45=0,0,IF('Plant Inputs'!L45="",0,'Plant Inputs'!L45))</f>
        <v>0</v>
      </c>
      <c r="AD45" s="216">
        <f>IF($Y45=0,0,IF('Plant Inputs'!M45="",0,'Plant Inputs'!M45))</f>
        <v>0</v>
      </c>
      <c r="AE45" s="217" t="str">
        <f>'Plant Inputs'!$O45</f>
        <v>mile</v>
      </c>
      <c r="AF45" s="217">
        <f t="shared" si="9"/>
        <v>1.6093473468862911</v>
      </c>
      <c r="AG45" s="216" t="str">
        <f t="shared" si="23"/>
        <v>km/mile</v>
      </c>
      <c r="AH45" s="216">
        <f t="shared" si="10"/>
        <v>0</v>
      </c>
      <c r="AI45" s="216">
        <f t="shared" si="10"/>
        <v>0</v>
      </c>
      <c r="AJ45" s="216">
        <f t="shared" si="10"/>
        <v>0</v>
      </c>
      <c r="AK45" s="216">
        <f t="shared" si="10"/>
        <v>0</v>
      </c>
      <c r="AL45" s="216"/>
      <c r="AM45" s="1" t="str">
        <f t="shared" si="11"/>
        <v>Chemical Admixture - High Range Water Reducer (HRWR)/Super Plasticizer</v>
      </c>
      <c r="AN45" s="12" t="s">
        <v>128</v>
      </c>
      <c r="AO45">
        <f t="shared" si="12"/>
        <v>1.1982656298327359</v>
      </c>
      <c r="AP45" s="1">
        <f t="shared" si="24"/>
        <v>0</v>
      </c>
      <c r="AQ45" s="1" t="str">
        <f t="shared" si="13"/>
        <v>gallon</v>
      </c>
      <c r="AR45" s="1">
        <f t="shared" si="14"/>
        <v>4.535929094356397E-3</v>
      </c>
      <c r="AS45" s="87" t="str">
        <f t="shared" si="15"/>
        <v>tonne/gallon</v>
      </c>
      <c r="AT45" s="87">
        <f t="shared" si="16"/>
        <v>0</v>
      </c>
      <c r="AU45" s="87">
        <f t="shared" si="17"/>
        <v>0</v>
      </c>
      <c r="AV45" s="87">
        <f t="shared" si="18"/>
        <v>0</v>
      </c>
      <c r="AW45" t="str">
        <f t="shared" si="19"/>
        <v>Chemical Admixture - High Range Water Reducer (HRWR)/Super Plasticizer</v>
      </c>
      <c r="AX45" s="148">
        <f t="array" ref="AX45">IFERROR(INDEX(LCIA_Data,MATCH($AO$15&amp;AX$27,LCIA_Rows_B&amp;LCIA_Rows_C,0),MATCH($D45,LCIA_Columns,0)),0)*$AU45</f>
        <v>0</v>
      </c>
      <c r="AY45" s="148">
        <f t="array" ref="AY45">IFERROR(INDEX(LCIA_Data,MATCH($AO$15&amp;AY$27,LCIA_Rows_B&amp;LCIA_Rows_C,0),MATCH($D45,LCIA_Columns,0)),0)*$AU45</f>
        <v>0</v>
      </c>
      <c r="AZ45" s="148">
        <f t="array" ref="AZ45">IFERROR(INDEX(LCIA_Data,MATCH($AO$15&amp;AZ$27,LCIA_Rows_B&amp;LCIA_Rows_C,0),MATCH($D45,LCIA_Columns,0)),0)*$AU45</f>
        <v>0</v>
      </c>
      <c r="BA45" s="148">
        <f t="array" ref="BA45">IFERROR(INDEX(LCIA_Data,MATCH($AO$15&amp;BA$27,LCIA_Rows_B&amp;LCIA_Rows_C,0),MATCH($D45,LCIA_Columns,0)),0)*$AU45</f>
        <v>0</v>
      </c>
      <c r="BB45" s="148">
        <f t="array" ref="BB45">IFERROR(INDEX(LCIA_Data,MATCH($AO$15&amp;BB$27,LCIA_Rows_B&amp;LCIA_Rows_C,0),MATCH($D45,LCIA_Columns,0)),0)*$AU45</f>
        <v>0</v>
      </c>
      <c r="BC45" s="148">
        <f t="array" ref="BC45">IFERROR(INDEX(LCIA_Data,MATCH($AO$15&amp;BC$27,LCIA_Rows_B&amp;LCIA_Rows_C,0),MATCH($D45,LCIA_Columns,0)),0)*$AU45</f>
        <v>0</v>
      </c>
      <c r="BD45" s="148">
        <f t="array" ref="BD45">IFERROR(INDEX(LCIA_Data,MATCH($AO$15&amp;BD$27,LCIA_Rows_B&amp;LCIA_Rows_C,0),MATCH($D45,LCIA_Columns,0)),0)*$AU45</f>
        <v>0</v>
      </c>
      <c r="BE45" s="148">
        <f t="array" ref="BE45">IFERROR(INDEX(LCIA_Data,MATCH($AO$15&amp;BE$27,LCIA_Rows_B&amp;LCIA_Rows_C,0),MATCH($D45,LCIA_Columns,0)),0)*$AU45</f>
        <v>0</v>
      </c>
      <c r="BF45" s="148">
        <f t="array" ref="BF45">IFERROR(INDEX(LCIA_Data,MATCH($AO$15&amp;BF$27,LCIA_Rows_B&amp;LCIA_Rows_C,0),MATCH($D45,LCIA_Columns,0)),0)*$AU45</f>
        <v>0</v>
      </c>
      <c r="BG45" s="148">
        <f t="array" ref="BG45">IFERROR(INDEX(LCIA_Data,MATCH($AO$15&amp;BG$27,LCIA_Rows_B&amp;LCIA_Rows_C,0),MATCH($D45,LCIA_Columns,0)),0)*$AU45</f>
        <v>0</v>
      </c>
      <c r="BH45" s="148">
        <f t="array" ref="BH45">IFERROR(INDEX(LCIA_Data,MATCH($AO$15&amp;BH$27,LCIA_Rows_B&amp;LCIA_Rows_C,0),MATCH($D45,LCIA_Columns,0)),0)*$AU45</f>
        <v>0</v>
      </c>
      <c r="BI45" s="148">
        <f t="array" ref="BI45">IFERROR(INDEX(LCIA_Data,MATCH($AO$15&amp;BI$27,LCIA_Rows_B&amp;LCIA_Rows_C,0),MATCH($D45,LCIA_Columns,0)),0)*$AU45</f>
        <v>0</v>
      </c>
      <c r="BJ45" s="148">
        <f t="array" ref="BJ45">IFERROR(INDEX(LCIA_Data,MATCH($AO$15&amp;BJ$27,LCIA_Rows_B&amp;LCIA_Rows_C,0),MATCH($D45,LCIA_Columns,0)),0)*$AU45</f>
        <v>0</v>
      </c>
      <c r="BK45" s="148">
        <f t="array" ref="BK45">IFERROR(INDEX(LCIA_Data,MATCH($AO$15&amp;BK$27,LCIA_Rows_B&amp;LCIA_Rows_C,0),MATCH($D45,LCIA_Columns,0)),0)*$AU45</f>
        <v>0</v>
      </c>
      <c r="BM45" s="1">
        <f t="array" ref="BM45">IFERROR(INDEX(LCIA_Data,MATCH($AO$15&amp;BM$27,LCIA_Rows_B&amp;LCIA_Rows_C,0),MATCH(BM$26,LCIA_Columns,0)),0)*$AT45*$AH45*$BN$23</f>
        <v>0</v>
      </c>
      <c r="BN45" s="1">
        <f t="array" ref="BN45">IFERROR(INDEX(LCIA_Data,MATCH($AO$15&amp;BN$27,LCIA_Rows_B&amp;LCIA_Rows_C,0),MATCH(BN$26,LCIA_Columns,0)),0)*$AT45*$AH45*$BN$23</f>
        <v>0</v>
      </c>
      <c r="BO45" s="1">
        <f t="array" ref="BO45">IFERROR(INDEX(LCIA_Data,MATCH($AO$15&amp;BO$27,LCIA_Rows_B&amp;LCIA_Rows_C,0),MATCH(BO$26,LCIA_Columns,0)),0)*$AT45*$AH45*$BN$23</f>
        <v>0</v>
      </c>
      <c r="BP45" s="1">
        <f t="array" ref="BP45">IFERROR(INDEX(LCIA_Data,MATCH($AO$15&amp;BP$27,LCIA_Rows_B&amp;LCIA_Rows_C,0),MATCH(BP$26,LCIA_Columns,0)),0)*$AT45*$AH45*$BN$23</f>
        <v>0</v>
      </c>
      <c r="BQ45" s="1">
        <f t="array" ref="BQ45">IFERROR(INDEX(LCIA_Data,MATCH($AO$15&amp;BQ$27,LCIA_Rows_B&amp;LCIA_Rows_C,0),MATCH(BQ$26,LCIA_Columns,0)),0)*$AT45*$AH45*$BN$23</f>
        <v>0</v>
      </c>
      <c r="BR45" s="1">
        <f t="array" ref="BR45">IFERROR(INDEX(LCIA_Data,MATCH($AO$15&amp;BR$27,LCIA_Rows_B&amp;LCIA_Rows_C,0),MATCH(BR$26,LCIA_Columns,0)),0)*$AT45*$AH45*$BN$23</f>
        <v>0</v>
      </c>
      <c r="BS45" s="1">
        <f t="array" ref="BS45">IFERROR(INDEX(LCIA_Data,MATCH($AO$15&amp;BS$27,LCIA_Rows_B&amp;LCIA_Rows_C,0),MATCH(BS$26,LCIA_Columns,0)),0)*$AT45*$AH45*$BN$23</f>
        <v>0</v>
      </c>
      <c r="BT45" s="1">
        <f t="array" ref="BT45">IFERROR(INDEX(LCIA_Data,MATCH($AO$15&amp;BT$27,LCIA_Rows_B&amp;LCIA_Rows_C,0),MATCH(BT$26,LCIA_Columns,0)),0)*$AT45*$AH45*$BN$23</f>
        <v>0</v>
      </c>
      <c r="BU45" s="1">
        <f t="array" ref="BU45">IFERROR(INDEX(LCIA_Data,MATCH($AO$15&amp;BU$27,LCIA_Rows_B&amp;LCIA_Rows_C,0),MATCH(BU$26,LCIA_Columns,0)),0)*$AT45*$AH45*$BN$23</f>
        <v>0</v>
      </c>
      <c r="BV45" s="1">
        <f t="array" ref="BV45">IFERROR(INDEX(LCIA_Data,MATCH($AO$15&amp;BV$27,LCIA_Rows_B&amp;LCIA_Rows_C,0),MATCH(BV$26,LCIA_Columns,0)),0)*$AT45*$AH45*$BN$23</f>
        <v>0</v>
      </c>
      <c r="BW45" s="1">
        <f t="array" ref="BW45">IFERROR(INDEX(LCIA_Data,MATCH($AO$15&amp;BW$27,LCIA_Rows_B&amp;LCIA_Rows_C,0),MATCH(BW$26,LCIA_Columns,0)),0)*$AT45*$AH45*$BN$23</f>
        <v>0</v>
      </c>
      <c r="BX45" s="1">
        <f t="array" ref="BX45">IFERROR(INDEX(LCIA_Data,MATCH($AO$15&amp;BX$27,LCIA_Rows_B&amp;LCIA_Rows_C,0),MATCH(BX$26,LCIA_Columns,0)),0)*$AT45*$AH45*$BN$23</f>
        <v>0</v>
      </c>
      <c r="BY45" s="1">
        <f t="array" ref="BY45">IFERROR(INDEX(LCIA_Data,MATCH($AO$15&amp;BY$27,LCIA_Rows_B&amp;LCIA_Rows_C,0),MATCH(BY$26,LCIA_Columns,0)),0)*$AT45*$AH45*$BN$23</f>
        <v>0</v>
      </c>
      <c r="BZ45" s="1">
        <f t="array" ref="BZ45">IFERROR(INDEX(LCIA_Data,MATCH($AO$15&amp;BZ$27,LCIA_Rows_B&amp;LCIA_Rows_C,0),MATCH(BZ$26,LCIA_Columns,0)),0)*$AT45*$AH45*$BN$23</f>
        <v>0</v>
      </c>
      <c r="CA45" s="1">
        <f t="array" ref="CA45">IFERROR(INDEX(LCIA_Data,MATCH($AO$15&amp;CA$27,LCIA_Rows_B&amp;LCIA_Rows_C,0),MATCH(CA$26,LCIA_Columns,0)),0)*$AT45*$AI45*$BN$23</f>
        <v>0</v>
      </c>
      <c r="CB45" s="1">
        <f t="array" ref="CB45">IFERROR(INDEX(LCIA_Data,MATCH($AO$15&amp;CB$27,LCIA_Rows_B&amp;LCIA_Rows_C,0),MATCH(CB$26,LCIA_Columns,0)),0)*$AT45*$AI45*$BN$23</f>
        <v>0</v>
      </c>
      <c r="CC45" s="1">
        <f t="array" ref="CC45">IFERROR(INDEX(LCIA_Data,MATCH($AO$15&amp;CC$27,LCIA_Rows_B&amp;LCIA_Rows_C,0),MATCH(CC$26,LCIA_Columns,0)),0)*$AT45*$AI45*$BN$23</f>
        <v>0</v>
      </c>
      <c r="CD45" s="1">
        <f t="array" ref="CD45">IFERROR(INDEX(LCIA_Data,MATCH($AO$15&amp;CD$27,LCIA_Rows_B&amp;LCIA_Rows_C,0),MATCH(CD$26,LCIA_Columns,0)),0)*$AT45*$AI45*$BN$23</f>
        <v>0</v>
      </c>
      <c r="CE45" s="1">
        <f t="array" ref="CE45">IFERROR(INDEX(LCIA_Data,MATCH($AO$15&amp;CE$27,LCIA_Rows_B&amp;LCIA_Rows_C,0),MATCH(CE$26,LCIA_Columns,0)),0)*$AT45*$AI45*$BN$23</f>
        <v>0</v>
      </c>
      <c r="CF45" s="1">
        <f t="array" ref="CF45">IFERROR(INDEX(LCIA_Data,MATCH($AO$15&amp;CF$27,LCIA_Rows_B&amp;LCIA_Rows_C,0),MATCH(CF$26,LCIA_Columns,0)),0)*$AT45*$AI45*$BN$23</f>
        <v>0</v>
      </c>
      <c r="CG45" s="1">
        <f t="array" ref="CG45">IFERROR(INDEX(LCIA_Data,MATCH($AO$15&amp;CG$27,LCIA_Rows_B&amp;LCIA_Rows_C,0),MATCH(CG$26,LCIA_Columns,0)),0)*$AT45*$AI45*$BN$23</f>
        <v>0</v>
      </c>
      <c r="CH45" s="1">
        <f t="array" ref="CH45">IFERROR(INDEX(LCIA_Data,MATCH($AO$15&amp;CH$27,LCIA_Rows_B&amp;LCIA_Rows_C,0),MATCH(CH$26,LCIA_Columns,0)),0)*$AT45*$AI45*$BN$23</f>
        <v>0</v>
      </c>
      <c r="CI45" s="1">
        <f t="array" ref="CI45">IFERROR(INDEX(LCIA_Data,MATCH($AO$15&amp;CI$27,LCIA_Rows_B&amp;LCIA_Rows_C,0),MATCH(CI$26,LCIA_Columns,0)),0)*$AT45*$AI45*$BN$23</f>
        <v>0</v>
      </c>
      <c r="CJ45" s="1">
        <f t="array" ref="CJ45">IFERROR(INDEX(LCIA_Data,MATCH($AO$15&amp;CJ$27,LCIA_Rows_B&amp;LCIA_Rows_C,0),MATCH(CJ$26,LCIA_Columns,0)),0)*$AT45*$AI45*$BN$23</f>
        <v>0</v>
      </c>
      <c r="CK45" s="1">
        <f t="array" ref="CK45">IFERROR(INDEX(LCIA_Data,MATCH($AO$15&amp;CK$27,LCIA_Rows_B&amp;LCIA_Rows_C,0),MATCH(CK$26,LCIA_Columns,0)),0)*$AT45*$AI45*$BN$23</f>
        <v>0</v>
      </c>
      <c r="CL45" s="1">
        <f t="array" ref="CL45">IFERROR(INDEX(LCIA_Data,MATCH($AO$15&amp;CL$27,LCIA_Rows_B&amp;LCIA_Rows_C,0),MATCH(CL$26,LCIA_Columns,0)),0)*$AT45*$AI45*$BN$23</f>
        <v>0</v>
      </c>
      <c r="CM45" s="1">
        <f t="array" ref="CM45">IFERROR(INDEX(LCIA_Data,MATCH($AO$15&amp;CM$27,LCIA_Rows_B&amp;LCIA_Rows_C,0),MATCH(CM$26,LCIA_Columns,0)),0)*$AT45*$AJ45*$BN$23</f>
        <v>0</v>
      </c>
      <c r="CN45" s="1">
        <f t="array" ref="CN45">IFERROR(INDEX(LCIA_Data,MATCH($AO$15&amp;CN$27,LCIA_Rows_B&amp;LCIA_Rows_C,0),MATCH(CN$26,LCIA_Columns,0)),0)*$AT45*$AJ45*$BN$23</f>
        <v>0</v>
      </c>
      <c r="CO45" s="1">
        <f t="array" ref="CO45">IFERROR(INDEX(LCIA_Data,MATCH($AO$15&amp;CO$27,LCIA_Rows_B&amp;LCIA_Rows_C,0),MATCH(CO$26,LCIA_Columns,0)),0)*$AT45*$AJ45*$BN$23</f>
        <v>0</v>
      </c>
      <c r="CP45" s="1">
        <f t="array" ref="CP45">IFERROR(INDEX(LCIA_Data,MATCH($AO$15&amp;CP$27,LCIA_Rows_B&amp;LCIA_Rows_C,0),MATCH(CP$26,LCIA_Columns,0)),0)*$AT45*$AJ45*$BN$23</f>
        <v>0</v>
      </c>
      <c r="CQ45" s="1">
        <f t="array" ref="CQ45">IFERROR(INDEX(LCIA_Data,MATCH($AO$15&amp;CQ$27,LCIA_Rows_B&amp;LCIA_Rows_C,0),MATCH(CQ$26,LCIA_Columns,0)),0)*$AT45*$AJ45*$BN$23</f>
        <v>0</v>
      </c>
      <c r="CR45" s="1">
        <f t="array" ref="CR45">IFERROR(INDEX(LCIA_Data,MATCH($AO$15&amp;CR$27,LCIA_Rows_B&amp;LCIA_Rows_C,0),MATCH(CR$26,LCIA_Columns,0)),0)*$AT45*$AJ45*$BN$23</f>
        <v>0</v>
      </c>
      <c r="CS45" s="1">
        <f t="array" ref="CS45">IFERROR(INDEX(LCIA_Data,MATCH($AO$15&amp;CS$27,LCIA_Rows_B&amp;LCIA_Rows_C,0),MATCH(CS$26,LCIA_Columns,0)),0)*$AT45*$AJ45*$BN$23</f>
        <v>0</v>
      </c>
      <c r="CT45" s="1">
        <f t="array" ref="CT45">IFERROR(INDEX(LCIA_Data,MATCH($AO$15&amp;CT$27,LCIA_Rows_B&amp;LCIA_Rows_C,0),MATCH(CT$26,LCIA_Columns,0)),0)*$AT45*$AJ45*$BN$23</f>
        <v>0</v>
      </c>
      <c r="CU45" s="1">
        <f t="array" ref="CU45">IFERROR(INDEX(LCIA_Data,MATCH($AO$15&amp;CU$27,LCIA_Rows_B&amp;LCIA_Rows_C,0),MATCH(CU$26,LCIA_Columns,0)),0)*$AT45*$AJ45*$BN$23</f>
        <v>0</v>
      </c>
      <c r="CV45" s="1">
        <f t="array" ref="CV45">IFERROR(INDEX(LCIA_Data,MATCH($AO$15&amp;CV$27,LCIA_Rows_B&amp;LCIA_Rows_C,0),MATCH(CV$26,LCIA_Columns,0)),0)*$AT45*$AJ45*$BN$23</f>
        <v>0</v>
      </c>
      <c r="CW45" s="1">
        <f t="array" ref="CW45">IFERROR(INDEX(LCIA_Data,MATCH($AO$15&amp;CW$27,LCIA_Rows_B&amp;LCIA_Rows_C,0),MATCH(CW$26,LCIA_Columns,0)),0)*$AT45*$AJ45*$BN$23</f>
        <v>0</v>
      </c>
      <c r="CX45" s="1">
        <f t="array" ref="CX45">IFERROR(INDEX(LCIA_Data,MATCH($AO$15&amp;CX$27,LCIA_Rows_B&amp;LCIA_Rows_C,0),MATCH(CX$26,LCIA_Columns,0)),0)*$AT45*$AJ45*$BN$23</f>
        <v>0</v>
      </c>
      <c r="CY45" s="1">
        <f t="array" ref="CY45">IFERROR(INDEX(LCIA_Data,MATCH($AO$15&amp;CY$27,LCIA_Rows_B&amp;LCIA_Rows_C,0),MATCH(CY$26,LCIA_Columns,0)),0)*$AT45*$AJ45*$BN$23</f>
        <v>0</v>
      </c>
      <c r="CZ45" s="1">
        <f t="array" ref="CZ45">IFERROR(INDEX(LCIA_Data,MATCH($AO$15&amp;CZ$27,LCIA_Rows_B&amp;LCIA_Rows_C,0),MATCH(CZ$26,LCIA_Columns,0)),0)*$AT45*$AJ45*$BN$23</f>
        <v>0</v>
      </c>
      <c r="DA45" s="1">
        <f t="array" ref="DA45">IFERROR(INDEX(LCIA_Data,MATCH($AO$15&amp;DA$27,LCIA_Rows_B&amp;LCIA_Rows_C,0),MATCH(DA$26,LCIA_Columns,0)),0)*$AT45*$AK45*$BN$23</f>
        <v>0</v>
      </c>
      <c r="DB45" s="1">
        <f t="array" ref="DB45">IFERROR(INDEX(LCIA_Data,MATCH($AO$15&amp;DB$27,LCIA_Rows_B&amp;LCIA_Rows_C,0),MATCH(DB$26,LCIA_Columns,0)),0)*$AT45*$AK45*$BN$23</f>
        <v>0</v>
      </c>
      <c r="DC45" s="1">
        <f t="array" ref="DC45">IFERROR(INDEX(LCIA_Data,MATCH($AO$15&amp;DC$27,LCIA_Rows_B&amp;LCIA_Rows_C,0),MATCH(DC$26,LCIA_Columns,0)),0)*$AT45*$AK45*$BN$23</f>
        <v>0</v>
      </c>
      <c r="DD45" s="1">
        <f t="array" ref="DD45">IFERROR(INDEX(LCIA_Data,MATCH($AO$15&amp;DD$27,LCIA_Rows_B&amp;LCIA_Rows_C,0),MATCH(DD$26,LCIA_Columns,0)),0)*$AT45*$AK45*$BN$23</f>
        <v>0</v>
      </c>
      <c r="DE45" s="1">
        <f t="array" ref="DE45">IFERROR(INDEX(LCIA_Data,MATCH($AO$15&amp;DE$27,LCIA_Rows_B&amp;LCIA_Rows_C,0),MATCH(DE$26,LCIA_Columns,0)),0)*$AT45*$AK45*$BN$23</f>
        <v>0</v>
      </c>
      <c r="DF45" s="1">
        <f t="array" ref="DF45">IFERROR(INDEX(LCIA_Data,MATCH($AO$15&amp;DF$27,LCIA_Rows_B&amp;LCIA_Rows_C,0),MATCH(DF$26,LCIA_Columns,0)),0)*$AT45*$AK45*$BN$23</f>
        <v>0</v>
      </c>
      <c r="DG45" s="1">
        <f t="array" ref="DG45">IFERROR(INDEX(LCIA_Data,MATCH($AO$15&amp;DG$27,LCIA_Rows_B&amp;LCIA_Rows_C,0),MATCH(DG$26,LCIA_Columns,0)),0)*$AT45*$AK45*$BN$23</f>
        <v>0</v>
      </c>
      <c r="DH45" s="1">
        <f t="array" ref="DH45">IFERROR(INDEX(LCIA_Data,MATCH($AO$15&amp;DH$27,LCIA_Rows_B&amp;LCIA_Rows_C,0),MATCH(DH$26,LCIA_Columns,0)),0)*$AT45*$AK45*$BN$23</f>
        <v>0</v>
      </c>
      <c r="DI45" s="1">
        <f t="array" ref="DI45">IFERROR(INDEX(LCIA_Data,MATCH($AO$15&amp;DI$27,LCIA_Rows_B&amp;LCIA_Rows_C,0),MATCH(DI$26,LCIA_Columns,0)),0)*$AT45*$AK45*$BN$23</f>
        <v>0</v>
      </c>
      <c r="DJ45" s="1">
        <f t="array" ref="DJ45">IFERROR(INDEX(LCIA_Data,MATCH($AO$15&amp;DJ$27,LCIA_Rows_B&amp;LCIA_Rows_C,0),MATCH(DJ$26,LCIA_Columns,0)),0)*$AT45*$AK45*$BN$23</f>
        <v>0</v>
      </c>
      <c r="DK45" s="1">
        <f t="array" ref="DK45">IFERROR(INDEX(LCIA_Data,MATCH($AO$15&amp;DK$27,LCIA_Rows_B&amp;LCIA_Rows_C,0),MATCH(DK$26,LCIA_Columns,0)),0)*$AT45*$AK45*$BN$23</f>
        <v>0</v>
      </c>
      <c r="DL45" s="1">
        <f t="array" ref="DL45">IFERROR(INDEX(LCIA_Data,MATCH($AO$15&amp;DL$27,LCIA_Rows_B&amp;LCIA_Rows_C,0),MATCH(DL$26,LCIA_Columns,0)),0)*$AT45*$AK45*$BN$23</f>
        <v>0</v>
      </c>
      <c r="DM45" s="1">
        <f t="array" ref="DM45">IFERROR(INDEX(LCIA_Data,MATCH($AO$15&amp;DM$27,LCIA_Rows_B&amp;LCIA_Rows_C,0),MATCH(DM$26,LCIA_Columns,0)),0)*$AT45*$AK45*$BN$23</f>
        <v>0</v>
      </c>
      <c r="DN45" s="1">
        <f t="array" ref="DN45">IFERROR(INDEX(LCIA_Data,MATCH($AO$15&amp;DN$27,LCIA_Rows_B&amp;LCIA_Rows_C,0),MATCH(DN$26,LCIA_Columns,0)),0)*$AT45*$AK45*$BN$23</f>
        <v>0</v>
      </c>
      <c r="DO45">
        <f t="shared" si="20"/>
        <v>0</v>
      </c>
      <c r="DP45">
        <f t="shared" si="20"/>
        <v>0</v>
      </c>
      <c r="DQ45">
        <f t="shared" si="20"/>
        <v>0</v>
      </c>
      <c r="DR45">
        <f t="shared" si="20"/>
        <v>0</v>
      </c>
      <c r="DS45">
        <f t="shared" si="20"/>
        <v>0</v>
      </c>
      <c r="DT45">
        <f t="shared" si="20"/>
        <v>0</v>
      </c>
      <c r="DU45">
        <f t="shared" si="20"/>
        <v>0</v>
      </c>
      <c r="DV45">
        <f t="shared" si="20"/>
        <v>0</v>
      </c>
      <c r="DW45">
        <f t="shared" si="20"/>
        <v>0</v>
      </c>
      <c r="DX45">
        <f t="shared" si="20"/>
        <v>0</v>
      </c>
      <c r="DY45">
        <f t="shared" si="20"/>
        <v>0</v>
      </c>
      <c r="DZ45">
        <f t="shared" si="20"/>
        <v>0</v>
      </c>
      <c r="EA45">
        <f t="shared" si="20"/>
        <v>0</v>
      </c>
      <c r="EB45">
        <f t="shared" si="21"/>
        <v>0</v>
      </c>
      <c r="EC45"/>
      <c r="ED45"/>
      <c r="EE45"/>
      <c r="EF45"/>
      <c r="EG45"/>
    </row>
    <row r="46" spans="2:137" ht="15" customHeight="1">
      <c r="B46" s="53">
        <f>X46</f>
        <v>0</v>
      </c>
      <c r="C46" s="26">
        <f t="shared" si="22"/>
        <v>17</v>
      </c>
      <c r="D46" s="46" t="str">
        <f>'Plant Inputs'!$D46</f>
        <v>Chemical Admixture - Corrosion Inhibiting</v>
      </c>
      <c r="E46" s="99"/>
      <c r="F46" s="106" t="str">
        <f t="shared" si="28"/>
        <v>gallon</v>
      </c>
      <c r="G46" s="158">
        <f t="shared" si="26"/>
        <v>0</v>
      </c>
      <c r="H46" s="204" t="str">
        <f t="shared" si="7"/>
        <v>short ton</v>
      </c>
      <c r="I46" s="156">
        <f t="shared" si="8"/>
        <v>0</v>
      </c>
      <c r="J46"/>
      <c r="K46"/>
      <c r="L46"/>
      <c r="M46"/>
      <c r="N46"/>
      <c r="O46"/>
      <c r="P46"/>
      <c r="Q46"/>
      <c r="R46"/>
      <c r="S46"/>
      <c r="T46"/>
      <c r="X46" s="67">
        <f>IF(ISBLANK(E46),0,1)</f>
        <v>0</v>
      </c>
      <c r="Y46" s="216">
        <f>IF(AND($X46=1,'Plant Inputs'!$Y46=1),1,0)</f>
        <v>0</v>
      </c>
      <c r="Z46" s="216"/>
      <c r="AA46" s="216">
        <f>IF($Y46=0,0,IF('Plant Inputs'!J46="",0,'Plant Inputs'!J46))</f>
        <v>0</v>
      </c>
      <c r="AB46" s="216">
        <f>IF($Y46=0,0,IF('Plant Inputs'!K46="",0,'Plant Inputs'!K46))</f>
        <v>0</v>
      </c>
      <c r="AC46" s="216">
        <f>IF($Y46=0,0,IF('Plant Inputs'!L46="",0,'Plant Inputs'!L46))</f>
        <v>0</v>
      </c>
      <c r="AD46" s="216">
        <f>IF($Y46=0,0,IF('Plant Inputs'!M46="",0,'Plant Inputs'!M46))</f>
        <v>0</v>
      </c>
      <c r="AE46" s="217" t="str">
        <f>'Plant Inputs'!$O46</f>
        <v>mile</v>
      </c>
      <c r="AF46" s="217">
        <f t="shared" si="9"/>
        <v>1.6093473468862911</v>
      </c>
      <c r="AG46" s="216" t="str">
        <f t="shared" si="23"/>
        <v>km/mile</v>
      </c>
      <c r="AH46" s="216">
        <f>AA46*$AF46</f>
        <v>0</v>
      </c>
      <c r="AI46" s="216">
        <f>AB46*$AF46</f>
        <v>0</v>
      </c>
      <c r="AJ46" s="216">
        <f>AC46*$AF46</f>
        <v>0</v>
      </c>
      <c r="AK46" s="216">
        <f>AD46*$AF46</f>
        <v>0</v>
      </c>
      <c r="AL46" s="216"/>
      <c r="AM46" s="1" t="str">
        <f>D46</f>
        <v>Chemical Admixture - Corrosion Inhibiting</v>
      </c>
      <c r="AN46" s="12" t="s">
        <v>128</v>
      </c>
      <c r="AO46">
        <f>VLOOKUP(AM46,Material_Densities,2,FALSE)</f>
        <v>1.1982656298327359</v>
      </c>
      <c r="AP46" s="1">
        <f t="shared" si="24"/>
        <v>0</v>
      </c>
      <c r="AQ46" s="1" t="str">
        <f>F46</f>
        <v>gallon</v>
      </c>
      <c r="AR46" s="1">
        <f t="shared" si="14"/>
        <v>4.535929094356397E-3</v>
      </c>
      <c r="AS46" s="87" t="str">
        <f>$AT$29&amp;"/"&amp;AQ46</f>
        <v>tonne/gallon</v>
      </c>
      <c r="AT46" s="87">
        <f>AP46*AR46</f>
        <v>0</v>
      </c>
      <c r="AU46" s="87">
        <f>INDEX(Conversion_Table,MATCH($AT$29,Conversion_Rows,0),MATCH($AU$29,Conversion_Columns,0))*AT46</f>
        <v>0</v>
      </c>
      <c r="AV46" s="87">
        <f t="shared" si="18"/>
        <v>0</v>
      </c>
      <c r="AW46" t="str">
        <f>AM46</f>
        <v>Chemical Admixture - Corrosion Inhibiting</v>
      </c>
      <c r="AX46" s="148">
        <f t="array" ref="AX46">IFERROR(INDEX(LCIA_Data,MATCH($AO$15&amp;AX$27,LCIA_Rows_B&amp;LCIA_Rows_C,0),MATCH($D46,LCIA_Columns,0)),0)*$AU46</f>
        <v>0</v>
      </c>
      <c r="AY46" s="148">
        <f t="array" ref="AY46">IFERROR(INDEX(LCIA_Data,MATCH($AO$15&amp;AY$27,LCIA_Rows_B&amp;LCIA_Rows_C,0),MATCH($D46,LCIA_Columns,0)),0)*$AU46</f>
        <v>0</v>
      </c>
      <c r="AZ46" s="148">
        <f t="array" ref="AZ46">IFERROR(INDEX(LCIA_Data,MATCH($AO$15&amp;AZ$27,LCIA_Rows_B&amp;LCIA_Rows_C,0),MATCH($D46,LCIA_Columns,0)),0)*$AU46</f>
        <v>0</v>
      </c>
      <c r="BA46" s="148">
        <f t="array" ref="BA46">IFERROR(INDEX(LCIA_Data,MATCH($AO$15&amp;BA$27,LCIA_Rows_B&amp;LCIA_Rows_C,0),MATCH($D46,LCIA_Columns,0)),0)*$AU46</f>
        <v>0</v>
      </c>
      <c r="BB46" s="148">
        <f t="array" ref="BB46">IFERROR(INDEX(LCIA_Data,MATCH($AO$15&amp;BB$27,LCIA_Rows_B&amp;LCIA_Rows_C,0),MATCH($D46,LCIA_Columns,0)),0)*$AU46</f>
        <v>0</v>
      </c>
      <c r="BC46" s="148">
        <f t="array" ref="BC46">IFERROR(INDEX(LCIA_Data,MATCH($AO$15&amp;BC$27,LCIA_Rows_B&amp;LCIA_Rows_C,0),MATCH($D46,LCIA_Columns,0)),0)*$AU46</f>
        <v>0</v>
      </c>
      <c r="BD46" s="148">
        <f t="array" ref="BD46">IFERROR(INDEX(LCIA_Data,MATCH($AO$15&amp;BD$27,LCIA_Rows_B&amp;LCIA_Rows_C,0),MATCH($D46,LCIA_Columns,0)),0)*$AU46</f>
        <v>0</v>
      </c>
      <c r="BE46" s="148">
        <f t="array" ref="BE46">IFERROR(INDEX(LCIA_Data,MATCH($AO$15&amp;BE$27,LCIA_Rows_B&amp;LCIA_Rows_C,0),MATCH($D46,LCIA_Columns,0)),0)*$AU46</f>
        <v>0</v>
      </c>
      <c r="BF46" s="148">
        <f t="array" ref="BF46">IFERROR(INDEX(LCIA_Data,MATCH($AO$15&amp;BF$27,LCIA_Rows_B&amp;LCIA_Rows_C,0),MATCH($D46,LCIA_Columns,0)),0)*$AU46</f>
        <v>0</v>
      </c>
      <c r="BG46" s="148">
        <f t="array" ref="BG46">IFERROR(INDEX(LCIA_Data,MATCH($AO$15&amp;BG$27,LCIA_Rows_B&amp;LCIA_Rows_C,0),MATCH($D46,LCIA_Columns,0)),0)*$AU46</f>
        <v>0</v>
      </c>
      <c r="BH46" s="148">
        <f t="array" ref="BH46">IFERROR(INDEX(LCIA_Data,MATCH($AO$15&amp;BH$27,LCIA_Rows_B&amp;LCIA_Rows_C,0),MATCH($D46,LCIA_Columns,0)),0)*$AU46</f>
        <v>0</v>
      </c>
      <c r="BI46" s="148">
        <f t="array" ref="BI46">IFERROR(INDEX(LCIA_Data,MATCH($AO$15&amp;BI$27,LCIA_Rows_B&amp;LCIA_Rows_C,0),MATCH($D46,LCIA_Columns,0)),0)*$AU46</f>
        <v>0</v>
      </c>
      <c r="BJ46" s="148">
        <f t="array" ref="BJ46">IFERROR(INDEX(LCIA_Data,MATCH($AO$15&amp;BJ$27,LCIA_Rows_B&amp;LCIA_Rows_C,0),MATCH($D46,LCIA_Columns,0)),0)*$AU46</f>
        <v>0</v>
      </c>
      <c r="BK46" s="148">
        <f t="array" ref="BK46">IFERROR(INDEX(LCIA_Data,MATCH($AO$15&amp;BK$27,LCIA_Rows_B&amp;LCIA_Rows_C,0),MATCH($D46,LCIA_Columns,0)),0)*$AU46</f>
        <v>0</v>
      </c>
      <c r="BM46" s="1">
        <f t="array" ref="BM46">IFERROR(INDEX(LCIA_Data,MATCH($AO$15&amp;BM$27,LCIA_Rows_B&amp;LCIA_Rows_C,0),MATCH(BM$26,LCIA_Columns,0)),0)*$AT46*$AH46*$BN$23</f>
        <v>0</v>
      </c>
      <c r="BN46" s="1">
        <f t="array" ref="BN46">IFERROR(INDEX(LCIA_Data,MATCH($AO$15&amp;BN$27,LCIA_Rows_B&amp;LCIA_Rows_C,0),MATCH(BN$26,LCIA_Columns,0)),0)*$AT46*$AH46*$BN$23</f>
        <v>0</v>
      </c>
      <c r="BO46" s="1">
        <f t="array" ref="BO46">IFERROR(INDEX(LCIA_Data,MATCH($AO$15&amp;BO$27,LCIA_Rows_B&amp;LCIA_Rows_C,0),MATCH(BO$26,LCIA_Columns,0)),0)*$AT46*$AH46*$BN$23</f>
        <v>0</v>
      </c>
      <c r="BP46" s="1">
        <f t="array" ref="BP46">IFERROR(INDEX(LCIA_Data,MATCH($AO$15&amp;BP$27,LCIA_Rows_B&amp;LCIA_Rows_C,0),MATCH(BP$26,LCIA_Columns,0)),0)*$AT46*$AH46*$BN$23</f>
        <v>0</v>
      </c>
      <c r="BQ46" s="1">
        <f t="array" ref="BQ46">IFERROR(INDEX(LCIA_Data,MATCH($AO$15&amp;BQ$27,LCIA_Rows_B&amp;LCIA_Rows_C,0),MATCH(BQ$26,LCIA_Columns,0)),0)*$AT46*$AH46*$BN$23</f>
        <v>0</v>
      </c>
      <c r="BR46" s="1">
        <f t="array" ref="BR46">IFERROR(INDEX(LCIA_Data,MATCH($AO$15&amp;BR$27,LCIA_Rows_B&amp;LCIA_Rows_C,0),MATCH(BR$26,LCIA_Columns,0)),0)*$AT46*$AH46*$BN$23</f>
        <v>0</v>
      </c>
      <c r="BS46" s="1">
        <f t="array" ref="BS46">IFERROR(INDEX(LCIA_Data,MATCH($AO$15&amp;BS$27,LCIA_Rows_B&amp;LCIA_Rows_C,0),MATCH(BS$26,LCIA_Columns,0)),0)*$AT46*$AH46*$BN$23</f>
        <v>0</v>
      </c>
      <c r="BT46" s="1">
        <f t="array" ref="BT46">IFERROR(INDEX(LCIA_Data,MATCH($AO$15&amp;BT$27,LCIA_Rows_B&amp;LCIA_Rows_C,0),MATCH(BT$26,LCIA_Columns,0)),0)*$AT46*$AH46*$BN$23</f>
        <v>0</v>
      </c>
      <c r="BU46" s="1">
        <f t="array" ref="BU46">IFERROR(INDEX(LCIA_Data,MATCH($AO$15&amp;BU$27,LCIA_Rows_B&amp;LCIA_Rows_C,0),MATCH(BU$26,LCIA_Columns,0)),0)*$AT46*$AH46*$BN$23</f>
        <v>0</v>
      </c>
      <c r="BV46" s="1">
        <f t="array" ref="BV46">IFERROR(INDEX(LCIA_Data,MATCH($AO$15&amp;BV$27,LCIA_Rows_B&amp;LCIA_Rows_C,0),MATCH(BV$26,LCIA_Columns,0)),0)*$AT46*$AH46*$BN$23</f>
        <v>0</v>
      </c>
      <c r="BW46" s="1">
        <f t="array" ref="BW46">IFERROR(INDEX(LCIA_Data,MATCH($AO$15&amp;BW$27,LCIA_Rows_B&amp;LCIA_Rows_C,0),MATCH(BW$26,LCIA_Columns,0)),0)*$AT46*$AH46*$BN$23</f>
        <v>0</v>
      </c>
      <c r="BX46" s="1">
        <f t="array" ref="BX46">IFERROR(INDEX(LCIA_Data,MATCH($AO$15&amp;BX$27,LCIA_Rows_B&amp;LCIA_Rows_C,0),MATCH(BX$26,LCIA_Columns,0)),0)*$AT46*$AH46*$BN$23</f>
        <v>0</v>
      </c>
      <c r="BY46" s="1">
        <f t="array" ref="BY46">IFERROR(INDEX(LCIA_Data,MATCH($AO$15&amp;BY$27,LCIA_Rows_B&amp;LCIA_Rows_C,0),MATCH(BY$26,LCIA_Columns,0)),0)*$AT46*$AH46*$BN$23</f>
        <v>0</v>
      </c>
      <c r="BZ46" s="1">
        <f t="array" ref="BZ46">IFERROR(INDEX(LCIA_Data,MATCH($AO$15&amp;BZ$27,LCIA_Rows_B&amp;LCIA_Rows_C,0),MATCH(BZ$26,LCIA_Columns,0)),0)*$AT46*$AH46*$BN$23</f>
        <v>0</v>
      </c>
      <c r="CA46" s="1">
        <f t="array" ref="CA46">IFERROR(INDEX(LCIA_Data,MATCH($AO$15&amp;CA$27,LCIA_Rows_B&amp;LCIA_Rows_C,0),MATCH(CA$26,LCIA_Columns,0)),0)*$AT46*$AI46*$BN$23</f>
        <v>0</v>
      </c>
      <c r="CB46" s="1">
        <f t="array" ref="CB46">IFERROR(INDEX(LCIA_Data,MATCH($AO$15&amp;CB$27,LCIA_Rows_B&amp;LCIA_Rows_C,0),MATCH(CB$26,LCIA_Columns,0)),0)*$AT46*$AI46*$BN$23</f>
        <v>0</v>
      </c>
      <c r="CC46" s="1">
        <f t="array" ref="CC46">IFERROR(INDEX(LCIA_Data,MATCH($AO$15&amp;CC$27,LCIA_Rows_B&amp;LCIA_Rows_C,0),MATCH(CC$26,LCIA_Columns,0)),0)*$AT46*$AI46*$BN$23</f>
        <v>0</v>
      </c>
      <c r="CD46" s="1">
        <f t="array" ref="CD46">IFERROR(INDEX(LCIA_Data,MATCH($AO$15&amp;CD$27,LCIA_Rows_B&amp;LCIA_Rows_C,0),MATCH(CD$26,LCIA_Columns,0)),0)*$AT46*$AI46*$BN$23</f>
        <v>0</v>
      </c>
      <c r="CE46" s="1">
        <f t="array" ref="CE46">IFERROR(INDEX(LCIA_Data,MATCH($AO$15&amp;CE$27,LCIA_Rows_B&amp;LCIA_Rows_C,0),MATCH(CE$26,LCIA_Columns,0)),0)*$AT46*$AI46*$BN$23</f>
        <v>0</v>
      </c>
      <c r="CF46" s="1">
        <f t="array" ref="CF46">IFERROR(INDEX(LCIA_Data,MATCH($AO$15&amp;CF$27,LCIA_Rows_B&amp;LCIA_Rows_C,0),MATCH(CF$26,LCIA_Columns,0)),0)*$AT46*$AI46*$BN$23</f>
        <v>0</v>
      </c>
      <c r="CG46" s="1">
        <f t="array" ref="CG46">IFERROR(INDEX(LCIA_Data,MATCH($AO$15&amp;CG$27,LCIA_Rows_B&amp;LCIA_Rows_C,0),MATCH(CG$26,LCIA_Columns,0)),0)*$AT46*$AI46*$BN$23</f>
        <v>0</v>
      </c>
      <c r="CH46" s="1">
        <f t="array" ref="CH46">IFERROR(INDEX(LCIA_Data,MATCH($AO$15&amp;CH$27,LCIA_Rows_B&amp;LCIA_Rows_C,0),MATCH(CH$26,LCIA_Columns,0)),0)*$AT46*$AI46*$BN$23</f>
        <v>0</v>
      </c>
      <c r="CI46" s="1">
        <f t="array" ref="CI46">IFERROR(INDEX(LCIA_Data,MATCH($AO$15&amp;CI$27,LCIA_Rows_B&amp;LCIA_Rows_C,0),MATCH(CI$26,LCIA_Columns,0)),0)*$AT46*$AI46*$BN$23</f>
        <v>0</v>
      </c>
      <c r="CJ46" s="1">
        <f t="array" ref="CJ46">IFERROR(INDEX(LCIA_Data,MATCH($AO$15&amp;CJ$27,LCIA_Rows_B&amp;LCIA_Rows_C,0),MATCH(CJ$26,LCIA_Columns,0)),0)*$AT46*$AI46*$BN$23</f>
        <v>0</v>
      </c>
      <c r="CK46" s="1">
        <f t="array" ref="CK46">IFERROR(INDEX(LCIA_Data,MATCH($AO$15&amp;CK$27,LCIA_Rows_B&amp;LCIA_Rows_C,0),MATCH(CK$26,LCIA_Columns,0)),0)*$AT46*$AI46*$BN$23</f>
        <v>0</v>
      </c>
      <c r="CL46" s="1">
        <f t="array" ref="CL46">IFERROR(INDEX(LCIA_Data,MATCH($AO$15&amp;CL$27,LCIA_Rows_B&amp;LCIA_Rows_C,0),MATCH(CL$26,LCIA_Columns,0)),0)*$AT46*$AI46*$BN$23</f>
        <v>0</v>
      </c>
      <c r="CM46" s="1">
        <f t="array" ref="CM46">IFERROR(INDEX(LCIA_Data,MATCH($AO$15&amp;CM$27,LCIA_Rows_B&amp;LCIA_Rows_C,0),MATCH(CM$26,LCIA_Columns,0)),0)*$AT46*$AJ46*$BN$23</f>
        <v>0</v>
      </c>
      <c r="CN46" s="1">
        <f t="array" ref="CN46">IFERROR(INDEX(LCIA_Data,MATCH($AO$15&amp;CN$27,LCIA_Rows_B&amp;LCIA_Rows_C,0),MATCH(CN$26,LCIA_Columns,0)),0)*$AT46*$AJ46*$BN$23</f>
        <v>0</v>
      </c>
      <c r="CO46" s="1">
        <f t="array" ref="CO46">IFERROR(INDEX(LCIA_Data,MATCH($AO$15&amp;CO$27,LCIA_Rows_B&amp;LCIA_Rows_C,0),MATCH(CO$26,LCIA_Columns,0)),0)*$AT46*$AJ46*$BN$23</f>
        <v>0</v>
      </c>
      <c r="CP46" s="1">
        <f t="array" ref="CP46">IFERROR(INDEX(LCIA_Data,MATCH($AO$15&amp;CP$27,LCIA_Rows_B&amp;LCIA_Rows_C,0),MATCH(CP$26,LCIA_Columns,0)),0)*$AT46*$AJ46*$BN$23</f>
        <v>0</v>
      </c>
      <c r="CQ46" s="1">
        <f t="array" ref="CQ46">IFERROR(INDEX(LCIA_Data,MATCH($AO$15&amp;CQ$27,LCIA_Rows_B&amp;LCIA_Rows_C,0),MATCH(CQ$26,LCIA_Columns,0)),0)*$AT46*$AJ46*$BN$23</f>
        <v>0</v>
      </c>
      <c r="CR46" s="1">
        <f t="array" ref="CR46">IFERROR(INDEX(LCIA_Data,MATCH($AO$15&amp;CR$27,LCIA_Rows_B&amp;LCIA_Rows_C,0),MATCH(CR$26,LCIA_Columns,0)),0)*$AT46*$AJ46*$BN$23</f>
        <v>0</v>
      </c>
      <c r="CS46" s="1">
        <f t="array" ref="CS46">IFERROR(INDEX(LCIA_Data,MATCH($AO$15&amp;CS$27,LCIA_Rows_B&amp;LCIA_Rows_C,0),MATCH(CS$26,LCIA_Columns,0)),0)*$AT46*$AJ46*$BN$23</f>
        <v>0</v>
      </c>
      <c r="CT46" s="1">
        <f t="array" ref="CT46">IFERROR(INDEX(LCIA_Data,MATCH($AO$15&amp;CT$27,LCIA_Rows_B&amp;LCIA_Rows_C,0),MATCH(CT$26,LCIA_Columns,0)),0)*$AT46*$AJ46*$BN$23</f>
        <v>0</v>
      </c>
      <c r="CU46" s="1">
        <f t="array" ref="CU46">IFERROR(INDEX(LCIA_Data,MATCH($AO$15&amp;CU$27,LCIA_Rows_B&amp;LCIA_Rows_C,0),MATCH(CU$26,LCIA_Columns,0)),0)*$AT46*$AJ46*$BN$23</f>
        <v>0</v>
      </c>
      <c r="CV46" s="1">
        <f t="array" ref="CV46">IFERROR(INDEX(LCIA_Data,MATCH($AO$15&amp;CV$27,LCIA_Rows_B&amp;LCIA_Rows_C,0),MATCH(CV$26,LCIA_Columns,0)),0)*$AT46*$AJ46*$BN$23</f>
        <v>0</v>
      </c>
      <c r="CW46" s="1">
        <f t="array" ref="CW46">IFERROR(INDEX(LCIA_Data,MATCH($AO$15&amp;CW$27,LCIA_Rows_B&amp;LCIA_Rows_C,0),MATCH(CW$26,LCIA_Columns,0)),0)*$AT46*$AJ46*$BN$23</f>
        <v>0</v>
      </c>
      <c r="CX46" s="1">
        <f t="array" ref="CX46">IFERROR(INDEX(LCIA_Data,MATCH($AO$15&amp;CX$27,LCIA_Rows_B&amp;LCIA_Rows_C,0),MATCH(CX$26,LCIA_Columns,0)),0)*$AT46*$AJ46*$BN$23</f>
        <v>0</v>
      </c>
      <c r="CY46" s="1">
        <f t="array" ref="CY46">IFERROR(INDEX(LCIA_Data,MATCH($AO$15&amp;CY$27,LCIA_Rows_B&amp;LCIA_Rows_C,0),MATCH(CY$26,LCIA_Columns,0)),0)*$AT46*$AJ46*$BN$23</f>
        <v>0</v>
      </c>
      <c r="CZ46" s="1">
        <f t="array" ref="CZ46">IFERROR(INDEX(LCIA_Data,MATCH($AO$15&amp;CZ$27,LCIA_Rows_B&amp;LCIA_Rows_C,0),MATCH(CZ$26,LCIA_Columns,0)),0)*$AT46*$AJ46*$BN$23</f>
        <v>0</v>
      </c>
      <c r="DA46" s="1">
        <f t="array" ref="DA46">IFERROR(INDEX(LCIA_Data,MATCH($AO$15&amp;DA$27,LCIA_Rows_B&amp;LCIA_Rows_C,0),MATCH(DA$26,LCIA_Columns,0)),0)*$AT46*$AK46*$BN$23</f>
        <v>0</v>
      </c>
      <c r="DB46" s="1">
        <f t="array" ref="DB46">IFERROR(INDEX(LCIA_Data,MATCH($AO$15&amp;DB$27,LCIA_Rows_B&amp;LCIA_Rows_C,0),MATCH(DB$26,LCIA_Columns,0)),0)*$AT46*$AK46*$BN$23</f>
        <v>0</v>
      </c>
      <c r="DC46" s="1">
        <f t="array" ref="DC46">IFERROR(INDEX(LCIA_Data,MATCH($AO$15&amp;DC$27,LCIA_Rows_B&amp;LCIA_Rows_C,0),MATCH(DC$26,LCIA_Columns,0)),0)*$AT46*$AK46*$BN$23</f>
        <v>0</v>
      </c>
      <c r="DD46" s="1">
        <f t="array" ref="DD46">IFERROR(INDEX(LCIA_Data,MATCH($AO$15&amp;DD$27,LCIA_Rows_B&amp;LCIA_Rows_C,0),MATCH(DD$26,LCIA_Columns,0)),0)*$AT46*$AK46*$BN$23</f>
        <v>0</v>
      </c>
      <c r="DE46" s="1">
        <f t="array" ref="DE46">IFERROR(INDEX(LCIA_Data,MATCH($AO$15&amp;DE$27,LCIA_Rows_B&amp;LCIA_Rows_C,0),MATCH(DE$26,LCIA_Columns,0)),0)*$AT46*$AK46*$BN$23</f>
        <v>0</v>
      </c>
      <c r="DF46" s="1">
        <f t="array" ref="DF46">IFERROR(INDEX(LCIA_Data,MATCH($AO$15&amp;DF$27,LCIA_Rows_B&amp;LCIA_Rows_C,0),MATCH(DF$26,LCIA_Columns,0)),0)*$AT46*$AK46*$BN$23</f>
        <v>0</v>
      </c>
      <c r="DG46" s="1">
        <f t="array" ref="DG46">IFERROR(INDEX(LCIA_Data,MATCH($AO$15&amp;DG$27,LCIA_Rows_B&amp;LCIA_Rows_C,0),MATCH(DG$26,LCIA_Columns,0)),0)*$AT46*$AK46*$BN$23</f>
        <v>0</v>
      </c>
      <c r="DH46" s="1">
        <f t="array" ref="DH46">IFERROR(INDEX(LCIA_Data,MATCH($AO$15&amp;DH$27,LCIA_Rows_B&amp;LCIA_Rows_C,0),MATCH(DH$26,LCIA_Columns,0)),0)*$AT46*$AK46*$BN$23</f>
        <v>0</v>
      </c>
      <c r="DI46" s="1">
        <f t="array" ref="DI46">IFERROR(INDEX(LCIA_Data,MATCH($AO$15&amp;DI$27,LCIA_Rows_B&amp;LCIA_Rows_C,0),MATCH(DI$26,LCIA_Columns,0)),0)*$AT46*$AK46*$BN$23</f>
        <v>0</v>
      </c>
      <c r="DJ46" s="1">
        <f t="array" ref="DJ46">IFERROR(INDEX(LCIA_Data,MATCH($AO$15&amp;DJ$27,LCIA_Rows_B&amp;LCIA_Rows_C,0),MATCH(DJ$26,LCIA_Columns,0)),0)*$AT46*$AK46*$BN$23</f>
        <v>0</v>
      </c>
      <c r="DK46" s="1">
        <f t="array" ref="DK46">IFERROR(INDEX(LCIA_Data,MATCH($AO$15&amp;DK$27,LCIA_Rows_B&amp;LCIA_Rows_C,0),MATCH(DK$26,LCIA_Columns,0)),0)*$AT46*$AK46*$BN$23</f>
        <v>0</v>
      </c>
      <c r="DL46" s="1">
        <f t="array" ref="DL46">IFERROR(INDEX(LCIA_Data,MATCH($AO$15&amp;DL$27,LCIA_Rows_B&amp;LCIA_Rows_C,0),MATCH(DL$26,LCIA_Columns,0)),0)*$AT46*$AK46*$BN$23</f>
        <v>0</v>
      </c>
      <c r="DM46" s="1">
        <f t="array" ref="DM46">IFERROR(INDEX(LCIA_Data,MATCH($AO$15&amp;DM$27,LCIA_Rows_B&amp;LCIA_Rows_C,0),MATCH(DM$26,LCIA_Columns,0)),0)*$AT46*$AK46*$BN$23</f>
        <v>0</v>
      </c>
      <c r="DN46" s="1">
        <f t="array" ref="DN46">IFERROR(INDEX(LCIA_Data,MATCH($AO$15&amp;DN$27,LCIA_Rows_B&amp;LCIA_Rows_C,0),MATCH(DN$26,LCIA_Columns,0)),0)*$AT46*$AK46*$BN$23</f>
        <v>0</v>
      </c>
      <c r="DO46">
        <f t="shared" si="20"/>
        <v>0</v>
      </c>
      <c r="DP46">
        <f t="shared" si="20"/>
        <v>0</v>
      </c>
      <c r="DQ46">
        <f t="shared" si="20"/>
        <v>0</v>
      </c>
      <c r="DR46">
        <f t="shared" si="20"/>
        <v>0</v>
      </c>
      <c r="DS46">
        <f t="shared" si="20"/>
        <v>0</v>
      </c>
      <c r="DT46">
        <f t="shared" si="20"/>
        <v>0</v>
      </c>
      <c r="DU46">
        <f t="shared" si="20"/>
        <v>0</v>
      </c>
      <c r="DV46">
        <f t="shared" si="20"/>
        <v>0</v>
      </c>
      <c r="DW46">
        <f t="shared" si="20"/>
        <v>0</v>
      </c>
      <c r="DX46">
        <f t="shared" si="20"/>
        <v>0</v>
      </c>
      <c r="DY46">
        <f t="shared" si="20"/>
        <v>0</v>
      </c>
      <c r="DZ46">
        <f t="shared" si="20"/>
        <v>0</v>
      </c>
      <c r="EA46">
        <f t="shared" si="20"/>
        <v>0</v>
      </c>
      <c r="EB46">
        <f t="shared" si="21"/>
        <v>0</v>
      </c>
      <c r="EC46"/>
      <c r="ED46"/>
      <c r="EE46"/>
      <c r="EF46"/>
      <c r="EG46"/>
    </row>
    <row r="47" spans="2:137" ht="15" customHeight="1">
      <c r="B47" s="53">
        <f t="shared" ref="B47:B64" si="29">X47</f>
        <v>0</v>
      </c>
      <c r="C47" s="26">
        <f t="shared" si="22"/>
        <v>18</v>
      </c>
      <c r="D47" s="46" t="str">
        <f>'Plant Inputs'!$D47</f>
        <v>Chemical Admixture - Viscosity Modifying Admixture (VMA)</v>
      </c>
      <c r="E47" s="99"/>
      <c r="F47" s="106" t="str">
        <f t="shared" si="28"/>
        <v>gallon</v>
      </c>
      <c r="G47" s="158">
        <f t="shared" si="26"/>
        <v>0</v>
      </c>
      <c r="H47" s="204" t="str">
        <f t="shared" si="7"/>
        <v>short ton</v>
      </c>
      <c r="I47" s="156">
        <f t="shared" si="8"/>
        <v>0</v>
      </c>
      <c r="J47"/>
      <c r="K47"/>
      <c r="L47"/>
      <c r="M47"/>
      <c r="N47"/>
      <c r="O47"/>
      <c r="P47"/>
      <c r="Q47"/>
      <c r="R47"/>
      <c r="S47"/>
      <c r="T47"/>
      <c r="X47" s="67">
        <f t="shared" ref="X47:X65" si="30">IF(ISBLANK(E47),0,1)</f>
        <v>0</v>
      </c>
      <c r="Y47" s="216">
        <f>IF(AND($X47=1,'Plant Inputs'!$Y47=1),1,0)</f>
        <v>0</v>
      </c>
      <c r="Z47" s="216"/>
      <c r="AA47" s="216">
        <f>IF($Y47=0,0,IF('Plant Inputs'!J47="",0,'Plant Inputs'!J47))</f>
        <v>0</v>
      </c>
      <c r="AB47" s="216">
        <f>IF($Y47=0,0,IF('Plant Inputs'!K47="",0,'Plant Inputs'!K47))</f>
        <v>0</v>
      </c>
      <c r="AC47" s="216">
        <f>IF($Y47=0,0,IF('Plant Inputs'!L47="",0,'Plant Inputs'!L47))</f>
        <v>0</v>
      </c>
      <c r="AD47" s="216">
        <f>IF($Y47=0,0,IF('Plant Inputs'!M47="",0,'Plant Inputs'!M47))</f>
        <v>0</v>
      </c>
      <c r="AE47" s="217" t="str">
        <f>'Plant Inputs'!$O47</f>
        <v>mile</v>
      </c>
      <c r="AF47" s="217">
        <f t="shared" si="9"/>
        <v>1.6093473468862911</v>
      </c>
      <c r="AG47" s="216" t="str">
        <f t="shared" si="23"/>
        <v>km/mile</v>
      </c>
      <c r="AH47" s="216">
        <f t="shared" ref="AH47:AK52" si="31">AA47*$AF47</f>
        <v>0</v>
      </c>
      <c r="AI47" s="216">
        <f t="shared" si="31"/>
        <v>0</v>
      </c>
      <c r="AJ47" s="216">
        <f t="shared" si="31"/>
        <v>0</v>
      </c>
      <c r="AK47" s="216">
        <f t="shared" si="31"/>
        <v>0</v>
      </c>
      <c r="AL47" s="216"/>
      <c r="AM47" s="1" t="str">
        <f t="shared" ref="AM47:AM64" si="32">D47</f>
        <v>Chemical Admixture - Viscosity Modifying Admixture (VMA)</v>
      </c>
      <c r="AN47" s="12" t="s">
        <v>128</v>
      </c>
      <c r="AO47">
        <f t="shared" ref="AO47:AO65" si="33">VLOOKUP(AM47,Material_Densities,2,FALSE)</f>
        <v>1.1982656298327359</v>
      </c>
      <c r="AP47" s="1">
        <f t="shared" si="24"/>
        <v>0</v>
      </c>
      <c r="AQ47" s="1" t="str">
        <f t="shared" ref="AQ47:AQ65" si="34">F47</f>
        <v>gallon</v>
      </c>
      <c r="AR47" s="1">
        <f t="shared" si="14"/>
        <v>4.535929094356397E-3</v>
      </c>
      <c r="AS47" s="87" t="str">
        <f t="shared" ref="AS47:AS65" si="35">$AT$29&amp;"/"&amp;AQ47</f>
        <v>tonne/gallon</v>
      </c>
      <c r="AT47" s="87">
        <f t="shared" ref="AT47:AT65" si="36">AP47*AR47</f>
        <v>0</v>
      </c>
      <c r="AU47" s="87">
        <f t="shared" ref="AU47:AU65" si="37">INDEX(Conversion_Table,MATCH($AT$29,Conversion_Rows,0),MATCH($AU$29,Conversion_Columns,0))*AT47</f>
        <v>0</v>
      </c>
      <c r="AV47" s="87">
        <f t="shared" si="18"/>
        <v>0</v>
      </c>
      <c r="AW47" t="str">
        <f t="shared" ref="AW47:AW65" si="38">AM47</f>
        <v>Chemical Admixture - Viscosity Modifying Admixture (VMA)</v>
      </c>
      <c r="AX47" s="148">
        <f t="array" ref="AX47">IFERROR(INDEX(LCIA_Data,MATCH($AO$15&amp;AX$27,LCIA_Rows_B&amp;LCIA_Rows_C,0),MATCH($D47,LCIA_Columns,0)),0)*$AU47</f>
        <v>0</v>
      </c>
      <c r="AY47" s="148">
        <f t="array" ref="AY47">IFERROR(INDEX(LCIA_Data,MATCH($AO$15&amp;AY$27,LCIA_Rows_B&amp;LCIA_Rows_C,0),MATCH($D47,LCIA_Columns,0)),0)*$AU47</f>
        <v>0</v>
      </c>
      <c r="AZ47" s="148">
        <f t="array" ref="AZ47">IFERROR(INDEX(LCIA_Data,MATCH($AO$15&amp;AZ$27,LCIA_Rows_B&amp;LCIA_Rows_C,0),MATCH($D47,LCIA_Columns,0)),0)*$AU47</f>
        <v>0</v>
      </c>
      <c r="BA47" s="148">
        <f t="array" ref="BA47">IFERROR(INDEX(LCIA_Data,MATCH($AO$15&amp;BA$27,LCIA_Rows_B&amp;LCIA_Rows_C,0),MATCH($D47,LCIA_Columns,0)),0)*$AU47</f>
        <v>0</v>
      </c>
      <c r="BB47" s="148">
        <f t="array" ref="BB47">IFERROR(INDEX(LCIA_Data,MATCH($AO$15&amp;BB$27,LCIA_Rows_B&amp;LCIA_Rows_C,0),MATCH($D47,LCIA_Columns,0)),0)*$AU47</f>
        <v>0</v>
      </c>
      <c r="BC47" s="148">
        <f t="array" ref="BC47">IFERROR(INDEX(LCIA_Data,MATCH($AO$15&amp;BC$27,LCIA_Rows_B&amp;LCIA_Rows_C,0),MATCH($D47,LCIA_Columns,0)),0)*$AU47</f>
        <v>0</v>
      </c>
      <c r="BD47" s="148">
        <f t="array" ref="BD47">IFERROR(INDEX(LCIA_Data,MATCH($AO$15&amp;BD$27,LCIA_Rows_B&amp;LCIA_Rows_C,0),MATCH($D47,LCIA_Columns,0)),0)*$AU47</f>
        <v>0</v>
      </c>
      <c r="BE47" s="148">
        <f t="array" ref="BE47">IFERROR(INDEX(LCIA_Data,MATCH($AO$15&amp;BE$27,LCIA_Rows_B&amp;LCIA_Rows_C,0),MATCH($D47,LCIA_Columns,0)),0)*$AU47</f>
        <v>0</v>
      </c>
      <c r="BF47" s="148">
        <f t="array" ref="BF47">IFERROR(INDEX(LCIA_Data,MATCH($AO$15&amp;BF$27,LCIA_Rows_B&amp;LCIA_Rows_C,0),MATCH($D47,LCIA_Columns,0)),0)*$AU47</f>
        <v>0</v>
      </c>
      <c r="BG47" s="148">
        <f t="array" ref="BG47">IFERROR(INDEX(LCIA_Data,MATCH($AO$15&amp;BG$27,LCIA_Rows_B&amp;LCIA_Rows_C,0),MATCH($D47,LCIA_Columns,0)),0)*$AU47</f>
        <v>0</v>
      </c>
      <c r="BH47" s="148">
        <f t="array" ref="BH47">IFERROR(INDEX(LCIA_Data,MATCH($AO$15&amp;BH$27,LCIA_Rows_B&amp;LCIA_Rows_C,0),MATCH($D47,LCIA_Columns,0)),0)*$AU47</f>
        <v>0</v>
      </c>
      <c r="BI47" s="148">
        <f t="array" ref="BI47">IFERROR(INDEX(LCIA_Data,MATCH($AO$15&amp;BI$27,LCIA_Rows_B&amp;LCIA_Rows_C,0),MATCH($D47,LCIA_Columns,0)),0)*$AU47</f>
        <v>0</v>
      </c>
      <c r="BJ47" s="148">
        <f t="array" ref="BJ47">IFERROR(INDEX(LCIA_Data,MATCH($AO$15&amp;BJ$27,LCIA_Rows_B&amp;LCIA_Rows_C,0),MATCH($D47,LCIA_Columns,0)),0)*$AU47</f>
        <v>0</v>
      </c>
      <c r="BK47" s="148">
        <f t="array" ref="BK47">IFERROR(INDEX(LCIA_Data,MATCH($AO$15&amp;BK$27,LCIA_Rows_B&amp;LCIA_Rows_C,0),MATCH($D47,LCIA_Columns,0)),0)*$AU47</f>
        <v>0</v>
      </c>
      <c r="BM47" s="1">
        <f t="array" ref="BM47">IFERROR(INDEX(LCIA_Data,MATCH($AO$15&amp;BM$27,LCIA_Rows_B&amp;LCIA_Rows_C,0),MATCH(BM$26,LCIA_Columns,0)),0)*$AT47*$AH47*$BN$23</f>
        <v>0</v>
      </c>
      <c r="BN47" s="1">
        <f t="array" ref="BN47">IFERROR(INDEX(LCIA_Data,MATCH($AO$15&amp;BN$27,LCIA_Rows_B&amp;LCIA_Rows_C,0),MATCH(BN$26,LCIA_Columns,0)),0)*$AT47*$AH47*$BN$23</f>
        <v>0</v>
      </c>
      <c r="BO47" s="1">
        <f t="array" ref="BO47">IFERROR(INDEX(LCIA_Data,MATCH($AO$15&amp;BO$27,LCIA_Rows_B&amp;LCIA_Rows_C,0),MATCH(BO$26,LCIA_Columns,0)),0)*$AT47*$AH47*$BN$23</f>
        <v>0</v>
      </c>
      <c r="BP47" s="1">
        <f t="array" ref="BP47">IFERROR(INDEX(LCIA_Data,MATCH($AO$15&amp;BP$27,LCIA_Rows_B&amp;LCIA_Rows_C,0),MATCH(BP$26,LCIA_Columns,0)),0)*$AT47*$AH47*$BN$23</f>
        <v>0</v>
      </c>
      <c r="BQ47" s="1">
        <f t="array" ref="BQ47">IFERROR(INDEX(LCIA_Data,MATCH($AO$15&amp;BQ$27,LCIA_Rows_B&amp;LCIA_Rows_C,0),MATCH(BQ$26,LCIA_Columns,0)),0)*$AT47*$AH47*$BN$23</f>
        <v>0</v>
      </c>
      <c r="BR47" s="1">
        <f t="array" ref="BR47">IFERROR(INDEX(LCIA_Data,MATCH($AO$15&amp;BR$27,LCIA_Rows_B&amp;LCIA_Rows_C,0),MATCH(BR$26,LCIA_Columns,0)),0)*$AT47*$AH47*$BN$23</f>
        <v>0</v>
      </c>
      <c r="BS47" s="1">
        <f t="array" ref="BS47">IFERROR(INDEX(LCIA_Data,MATCH($AO$15&amp;BS$27,LCIA_Rows_B&amp;LCIA_Rows_C,0),MATCH(BS$26,LCIA_Columns,0)),0)*$AT47*$AH47*$BN$23</f>
        <v>0</v>
      </c>
      <c r="BT47" s="1">
        <f t="array" ref="BT47">IFERROR(INDEX(LCIA_Data,MATCH($AO$15&amp;BT$27,LCIA_Rows_B&amp;LCIA_Rows_C,0),MATCH(BT$26,LCIA_Columns,0)),0)*$AT47*$AH47*$BN$23</f>
        <v>0</v>
      </c>
      <c r="BU47" s="1">
        <f t="array" ref="BU47">IFERROR(INDEX(LCIA_Data,MATCH($AO$15&amp;BU$27,LCIA_Rows_B&amp;LCIA_Rows_C,0),MATCH(BU$26,LCIA_Columns,0)),0)*$AT47*$AH47*$BN$23</f>
        <v>0</v>
      </c>
      <c r="BV47" s="1">
        <f t="array" ref="BV47">IFERROR(INDEX(LCIA_Data,MATCH($AO$15&amp;BV$27,LCIA_Rows_B&amp;LCIA_Rows_C,0),MATCH(BV$26,LCIA_Columns,0)),0)*$AT47*$AH47*$BN$23</f>
        <v>0</v>
      </c>
      <c r="BW47" s="1">
        <f t="array" ref="BW47">IFERROR(INDEX(LCIA_Data,MATCH($AO$15&amp;BW$27,LCIA_Rows_B&amp;LCIA_Rows_C,0),MATCH(BW$26,LCIA_Columns,0)),0)*$AT47*$AH47*$BN$23</f>
        <v>0</v>
      </c>
      <c r="BX47" s="1">
        <f t="array" ref="BX47">IFERROR(INDEX(LCIA_Data,MATCH($AO$15&amp;BX$27,LCIA_Rows_B&amp;LCIA_Rows_C,0),MATCH(BX$26,LCIA_Columns,0)),0)*$AT47*$AH47*$BN$23</f>
        <v>0</v>
      </c>
      <c r="BY47" s="1">
        <f t="array" ref="BY47">IFERROR(INDEX(LCIA_Data,MATCH($AO$15&amp;BY$27,LCIA_Rows_B&amp;LCIA_Rows_C,0),MATCH(BY$26,LCIA_Columns,0)),0)*$AT47*$AH47*$BN$23</f>
        <v>0</v>
      </c>
      <c r="BZ47" s="1">
        <f t="array" ref="BZ47">IFERROR(INDEX(LCIA_Data,MATCH($AO$15&amp;BZ$27,LCIA_Rows_B&amp;LCIA_Rows_C,0),MATCH(BZ$26,LCIA_Columns,0)),0)*$AT47*$AH47*$BN$23</f>
        <v>0</v>
      </c>
      <c r="CA47" s="1">
        <f t="array" ref="CA47">IFERROR(INDEX(LCIA_Data,MATCH($AO$15&amp;CA$27,LCIA_Rows_B&amp;LCIA_Rows_C,0),MATCH(CA$26,LCIA_Columns,0)),0)*$AT47*$AI47*$BN$23</f>
        <v>0</v>
      </c>
      <c r="CB47" s="1">
        <f t="array" ref="CB47">IFERROR(INDEX(LCIA_Data,MATCH($AO$15&amp;CB$27,LCIA_Rows_B&amp;LCIA_Rows_C,0),MATCH(CB$26,LCIA_Columns,0)),0)*$AT47*$AI47*$BN$23</f>
        <v>0</v>
      </c>
      <c r="CC47" s="1">
        <f t="array" ref="CC47">IFERROR(INDEX(LCIA_Data,MATCH($AO$15&amp;CC$27,LCIA_Rows_B&amp;LCIA_Rows_C,0),MATCH(CC$26,LCIA_Columns,0)),0)*$AT47*$AI47*$BN$23</f>
        <v>0</v>
      </c>
      <c r="CD47" s="1">
        <f t="array" ref="CD47">IFERROR(INDEX(LCIA_Data,MATCH($AO$15&amp;CD$27,LCIA_Rows_B&amp;LCIA_Rows_C,0),MATCH(CD$26,LCIA_Columns,0)),0)*$AT47*$AI47*$BN$23</f>
        <v>0</v>
      </c>
      <c r="CE47" s="1">
        <f t="array" ref="CE47">IFERROR(INDEX(LCIA_Data,MATCH($AO$15&amp;CE$27,LCIA_Rows_B&amp;LCIA_Rows_C,0),MATCH(CE$26,LCIA_Columns,0)),0)*$AT47*$AI47*$BN$23</f>
        <v>0</v>
      </c>
      <c r="CF47" s="1">
        <f t="array" ref="CF47">IFERROR(INDEX(LCIA_Data,MATCH($AO$15&amp;CF$27,LCIA_Rows_B&amp;LCIA_Rows_C,0),MATCH(CF$26,LCIA_Columns,0)),0)*$AT47*$AI47*$BN$23</f>
        <v>0</v>
      </c>
      <c r="CG47" s="1">
        <f t="array" ref="CG47">IFERROR(INDEX(LCIA_Data,MATCH($AO$15&amp;CG$27,LCIA_Rows_B&amp;LCIA_Rows_C,0),MATCH(CG$26,LCIA_Columns,0)),0)*$AT47*$AI47*$BN$23</f>
        <v>0</v>
      </c>
      <c r="CH47" s="1">
        <f t="array" ref="CH47">IFERROR(INDEX(LCIA_Data,MATCH($AO$15&amp;CH$27,LCIA_Rows_B&amp;LCIA_Rows_C,0),MATCH(CH$26,LCIA_Columns,0)),0)*$AT47*$AI47*$BN$23</f>
        <v>0</v>
      </c>
      <c r="CI47" s="1">
        <f t="array" ref="CI47">IFERROR(INDEX(LCIA_Data,MATCH($AO$15&amp;CI$27,LCIA_Rows_B&amp;LCIA_Rows_C,0),MATCH(CI$26,LCIA_Columns,0)),0)*$AT47*$AI47*$BN$23</f>
        <v>0</v>
      </c>
      <c r="CJ47" s="1">
        <f t="array" ref="CJ47">IFERROR(INDEX(LCIA_Data,MATCH($AO$15&amp;CJ$27,LCIA_Rows_B&amp;LCIA_Rows_C,0),MATCH(CJ$26,LCIA_Columns,0)),0)*$AT47*$AI47*$BN$23</f>
        <v>0</v>
      </c>
      <c r="CK47" s="1">
        <f t="array" ref="CK47">IFERROR(INDEX(LCIA_Data,MATCH($AO$15&amp;CK$27,LCIA_Rows_B&amp;LCIA_Rows_C,0),MATCH(CK$26,LCIA_Columns,0)),0)*$AT47*$AI47*$BN$23</f>
        <v>0</v>
      </c>
      <c r="CL47" s="1">
        <f t="array" ref="CL47">IFERROR(INDEX(LCIA_Data,MATCH($AO$15&amp;CL$27,LCIA_Rows_B&amp;LCIA_Rows_C,0),MATCH(CL$26,LCIA_Columns,0)),0)*$AT47*$AI47*$BN$23</f>
        <v>0</v>
      </c>
      <c r="CM47" s="1">
        <f t="array" ref="CM47">IFERROR(INDEX(LCIA_Data,MATCH($AO$15&amp;CM$27,LCIA_Rows_B&amp;LCIA_Rows_C,0),MATCH(CM$26,LCIA_Columns,0)),0)*$AT47*$AJ47*$BN$23</f>
        <v>0</v>
      </c>
      <c r="CN47" s="1">
        <f t="array" ref="CN47">IFERROR(INDEX(LCIA_Data,MATCH($AO$15&amp;CN$27,LCIA_Rows_B&amp;LCIA_Rows_C,0),MATCH(CN$26,LCIA_Columns,0)),0)*$AT47*$AJ47*$BN$23</f>
        <v>0</v>
      </c>
      <c r="CO47" s="1">
        <f t="array" ref="CO47">IFERROR(INDEX(LCIA_Data,MATCH($AO$15&amp;CO$27,LCIA_Rows_B&amp;LCIA_Rows_C,0),MATCH(CO$26,LCIA_Columns,0)),0)*$AT47*$AJ47*$BN$23</f>
        <v>0</v>
      </c>
      <c r="CP47" s="1">
        <f t="array" ref="CP47">IFERROR(INDEX(LCIA_Data,MATCH($AO$15&amp;CP$27,LCIA_Rows_B&amp;LCIA_Rows_C,0),MATCH(CP$26,LCIA_Columns,0)),0)*$AT47*$AJ47*$BN$23</f>
        <v>0</v>
      </c>
      <c r="CQ47" s="1">
        <f t="array" ref="CQ47">IFERROR(INDEX(LCIA_Data,MATCH($AO$15&amp;CQ$27,LCIA_Rows_B&amp;LCIA_Rows_C,0),MATCH(CQ$26,LCIA_Columns,0)),0)*$AT47*$AJ47*$BN$23</f>
        <v>0</v>
      </c>
      <c r="CR47" s="1">
        <f t="array" ref="CR47">IFERROR(INDEX(LCIA_Data,MATCH($AO$15&amp;CR$27,LCIA_Rows_B&amp;LCIA_Rows_C,0),MATCH(CR$26,LCIA_Columns,0)),0)*$AT47*$AJ47*$BN$23</f>
        <v>0</v>
      </c>
      <c r="CS47" s="1">
        <f t="array" ref="CS47">IFERROR(INDEX(LCIA_Data,MATCH($AO$15&amp;CS$27,LCIA_Rows_B&amp;LCIA_Rows_C,0),MATCH(CS$26,LCIA_Columns,0)),0)*$AT47*$AJ47*$BN$23</f>
        <v>0</v>
      </c>
      <c r="CT47" s="1">
        <f t="array" ref="CT47">IFERROR(INDEX(LCIA_Data,MATCH($AO$15&amp;CT$27,LCIA_Rows_B&amp;LCIA_Rows_C,0),MATCH(CT$26,LCIA_Columns,0)),0)*$AT47*$AJ47*$BN$23</f>
        <v>0</v>
      </c>
      <c r="CU47" s="1">
        <f t="array" ref="CU47">IFERROR(INDEX(LCIA_Data,MATCH($AO$15&amp;CU$27,LCIA_Rows_B&amp;LCIA_Rows_C,0),MATCH(CU$26,LCIA_Columns,0)),0)*$AT47*$AJ47*$BN$23</f>
        <v>0</v>
      </c>
      <c r="CV47" s="1">
        <f t="array" ref="CV47">IFERROR(INDEX(LCIA_Data,MATCH($AO$15&amp;CV$27,LCIA_Rows_B&amp;LCIA_Rows_C,0),MATCH(CV$26,LCIA_Columns,0)),0)*$AT47*$AJ47*$BN$23</f>
        <v>0</v>
      </c>
      <c r="CW47" s="1">
        <f t="array" ref="CW47">IFERROR(INDEX(LCIA_Data,MATCH($AO$15&amp;CW$27,LCIA_Rows_B&amp;LCIA_Rows_C,0),MATCH(CW$26,LCIA_Columns,0)),0)*$AT47*$AJ47*$BN$23</f>
        <v>0</v>
      </c>
      <c r="CX47" s="1">
        <f t="array" ref="CX47">IFERROR(INDEX(LCIA_Data,MATCH($AO$15&amp;CX$27,LCIA_Rows_B&amp;LCIA_Rows_C,0),MATCH(CX$26,LCIA_Columns,0)),0)*$AT47*$AJ47*$BN$23</f>
        <v>0</v>
      </c>
      <c r="CY47" s="1">
        <f t="array" ref="CY47">IFERROR(INDEX(LCIA_Data,MATCH($AO$15&amp;CY$27,LCIA_Rows_B&amp;LCIA_Rows_C,0),MATCH(CY$26,LCIA_Columns,0)),0)*$AT47*$AJ47*$BN$23</f>
        <v>0</v>
      </c>
      <c r="CZ47" s="1">
        <f t="array" ref="CZ47">IFERROR(INDEX(LCIA_Data,MATCH($AO$15&amp;CZ$27,LCIA_Rows_B&amp;LCIA_Rows_C,0),MATCH(CZ$26,LCIA_Columns,0)),0)*$AT47*$AJ47*$BN$23</f>
        <v>0</v>
      </c>
      <c r="DA47" s="1">
        <f t="array" ref="DA47">IFERROR(INDEX(LCIA_Data,MATCH($AO$15&amp;DA$27,LCIA_Rows_B&amp;LCIA_Rows_C,0),MATCH(DA$26,LCIA_Columns,0)),0)*$AT47*$AK47*$BN$23</f>
        <v>0</v>
      </c>
      <c r="DB47" s="1">
        <f t="array" ref="DB47">IFERROR(INDEX(LCIA_Data,MATCH($AO$15&amp;DB$27,LCIA_Rows_B&amp;LCIA_Rows_C,0),MATCH(DB$26,LCIA_Columns,0)),0)*$AT47*$AK47*$BN$23</f>
        <v>0</v>
      </c>
      <c r="DC47" s="1">
        <f t="array" ref="DC47">IFERROR(INDEX(LCIA_Data,MATCH($AO$15&amp;DC$27,LCIA_Rows_B&amp;LCIA_Rows_C,0),MATCH(DC$26,LCIA_Columns,0)),0)*$AT47*$AK47*$BN$23</f>
        <v>0</v>
      </c>
      <c r="DD47" s="1">
        <f t="array" ref="DD47">IFERROR(INDEX(LCIA_Data,MATCH($AO$15&amp;DD$27,LCIA_Rows_B&amp;LCIA_Rows_C,0),MATCH(DD$26,LCIA_Columns,0)),0)*$AT47*$AK47*$BN$23</f>
        <v>0</v>
      </c>
      <c r="DE47" s="1">
        <f t="array" ref="DE47">IFERROR(INDEX(LCIA_Data,MATCH($AO$15&amp;DE$27,LCIA_Rows_B&amp;LCIA_Rows_C,0),MATCH(DE$26,LCIA_Columns,0)),0)*$AT47*$AK47*$BN$23</f>
        <v>0</v>
      </c>
      <c r="DF47" s="1">
        <f t="array" ref="DF47">IFERROR(INDEX(LCIA_Data,MATCH($AO$15&amp;DF$27,LCIA_Rows_B&amp;LCIA_Rows_C,0),MATCH(DF$26,LCIA_Columns,0)),0)*$AT47*$AK47*$BN$23</f>
        <v>0</v>
      </c>
      <c r="DG47" s="1">
        <f t="array" ref="DG47">IFERROR(INDEX(LCIA_Data,MATCH($AO$15&amp;DG$27,LCIA_Rows_B&amp;LCIA_Rows_C,0),MATCH(DG$26,LCIA_Columns,0)),0)*$AT47*$AK47*$BN$23</f>
        <v>0</v>
      </c>
      <c r="DH47" s="1">
        <f t="array" ref="DH47">IFERROR(INDEX(LCIA_Data,MATCH($AO$15&amp;DH$27,LCIA_Rows_B&amp;LCIA_Rows_C,0),MATCH(DH$26,LCIA_Columns,0)),0)*$AT47*$AK47*$BN$23</f>
        <v>0</v>
      </c>
      <c r="DI47" s="1">
        <f t="array" ref="DI47">IFERROR(INDEX(LCIA_Data,MATCH($AO$15&amp;DI$27,LCIA_Rows_B&amp;LCIA_Rows_C,0),MATCH(DI$26,LCIA_Columns,0)),0)*$AT47*$AK47*$BN$23</f>
        <v>0</v>
      </c>
      <c r="DJ47" s="1">
        <f t="array" ref="DJ47">IFERROR(INDEX(LCIA_Data,MATCH($AO$15&amp;DJ$27,LCIA_Rows_B&amp;LCIA_Rows_C,0),MATCH(DJ$26,LCIA_Columns,0)),0)*$AT47*$AK47*$BN$23</f>
        <v>0</v>
      </c>
      <c r="DK47" s="1">
        <f t="array" ref="DK47">IFERROR(INDEX(LCIA_Data,MATCH($AO$15&amp;DK$27,LCIA_Rows_B&amp;LCIA_Rows_C,0),MATCH(DK$26,LCIA_Columns,0)),0)*$AT47*$AK47*$BN$23</f>
        <v>0</v>
      </c>
      <c r="DL47" s="1">
        <f t="array" ref="DL47">IFERROR(INDEX(LCIA_Data,MATCH($AO$15&amp;DL$27,LCIA_Rows_B&amp;LCIA_Rows_C,0),MATCH(DL$26,LCIA_Columns,0)),0)*$AT47*$AK47*$BN$23</f>
        <v>0</v>
      </c>
      <c r="DM47" s="1">
        <f t="array" ref="DM47">IFERROR(INDEX(LCIA_Data,MATCH($AO$15&amp;DM$27,LCIA_Rows_B&amp;LCIA_Rows_C,0),MATCH(DM$26,LCIA_Columns,0)),0)*$AT47*$AK47*$BN$23</f>
        <v>0</v>
      </c>
      <c r="DN47" s="1">
        <f t="array" ref="DN47">IFERROR(INDEX(LCIA_Data,MATCH($AO$15&amp;DN$27,LCIA_Rows_B&amp;LCIA_Rows_C,0),MATCH(DN$26,LCIA_Columns,0)),0)*$AT47*$AK47*$BN$23</f>
        <v>0</v>
      </c>
      <c r="DO47">
        <f t="shared" si="20"/>
        <v>0</v>
      </c>
      <c r="DP47">
        <f t="shared" si="20"/>
        <v>0</v>
      </c>
      <c r="DQ47">
        <f t="shared" si="20"/>
        <v>0</v>
      </c>
      <c r="DR47">
        <f t="shared" si="20"/>
        <v>0</v>
      </c>
      <c r="DS47">
        <f t="shared" si="20"/>
        <v>0</v>
      </c>
      <c r="DT47">
        <f t="shared" si="20"/>
        <v>0</v>
      </c>
      <c r="DU47">
        <f t="shared" si="20"/>
        <v>0</v>
      </c>
      <c r="DV47">
        <f t="shared" si="20"/>
        <v>0</v>
      </c>
      <c r="DW47">
        <f t="shared" si="20"/>
        <v>0</v>
      </c>
      <c r="DX47">
        <f t="shared" si="20"/>
        <v>0</v>
      </c>
      <c r="DY47">
        <f t="shared" si="20"/>
        <v>0</v>
      </c>
      <c r="DZ47">
        <f t="shared" si="20"/>
        <v>0</v>
      </c>
      <c r="EA47">
        <f t="shared" si="20"/>
        <v>0</v>
      </c>
      <c r="EB47">
        <f t="shared" si="21"/>
        <v>0</v>
      </c>
      <c r="EC47"/>
      <c r="ED47"/>
      <c r="EE47"/>
      <c r="EF47"/>
      <c r="EG47"/>
    </row>
    <row r="48" spans="2:137" ht="15" customHeight="1" thickBot="1">
      <c r="B48" s="53">
        <f t="shared" si="29"/>
        <v>0</v>
      </c>
      <c r="C48" s="32">
        <f t="shared" si="22"/>
        <v>19</v>
      </c>
      <c r="D48" s="47" t="str">
        <f>'Plant Inputs'!$D48</f>
        <v>Form Release Agent</v>
      </c>
      <c r="E48" s="102"/>
      <c r="F48" s="247" t="str">
        <f t="shared" si="28"/>
        <v>gallon</v>
      </c>
      <c r="G48" s="228">
        <f t="shared" si="26"/>
        <v>0</v>
      </c>
      <c r="H48" s="227" t="str">
        <f t="shared" si="7"/>
        <v>short ton</v>
      </c>
      <c r="I48" s="157">
        <f t="shared" si="8"/>
        <v>0</v>
      </c>
      <c r="J48"/>
      <c r="K48"/>
      <c r="L48"/>
      <c r="M48"/>
      <c r="N48"/>
      <c r="O48"/>
      <c r="P48"/>
      <c r="Q48"/>
      <c r="R48"/>
      <c r="S48"/>
      <c r="T48"/>
      <c r="X48" s="67">
        <f t="shared" si="30"/>
        <v>0</v>
      </c>
      <c r="Y48" s="216">
        <f>IF(AND($X48=1,'Plant Inputs'!$Y48=1),1,0)</f>
        <v>0</v>
      </c>
      <c r="Z48" s="216"/>
      <c r="AA48" s="216">
        <f>IF($Y48=0,0,IF('Plant Inputs'!J48="",0,'Plant Inputs'!J48))</f>
        <v>0</v>
      </c>
      <c r="AB48" s="216">
        <f>IF($Y48=0,0,IF('Plant Inputs'!K48="",0,'Plant Inputs'!K48))</f>
        <v>0</v>
      </c>
      <c r="AC48" s="216">
        <f>IF($Y48=0,0,IF('Plant Inputs'!L48="",0,'Plant Inputs'!L48))</f>
        <v>0</v>
      </c>
      <c r="AD48" s="216">
        <f>IF($Y48=0,0,IF('Plant Inputs'!M48="",0,'Plant Inputs'!M48))</f>
        <v>0</v>
      </c>
      <c r="AE48" s="217" t="str">
        <f>'Plant Inputs'!$O48</f>
        <v>mile</v>
      </c>
      <c r="AF48" s="217">
        <f t="shared" si="9"/>
        <v>1.6093473468862911</v>
      </c>
      <c r="AG48" s="216" t="str">
        <f t="shared" si="23"/>
        <v>km/mile</v>
      </c>
      <c r="AH48" s="216">
        <f t="shared" si="31"/>
        <v>0</v>
      </c>
      <c r="AI48" s="216">
        <f t="shared" si="31"/>
        <v>0</v>
      </c>
      <c r="AJ48" s="216">
        <f t="shared" si="31"/>
        <v>0</v>
      </c>
      <c r="AK48" s="216">
        <f t="shared" si="31"/>
        <v>0</v>
      </c>
      <c r="AL48" s="216"/>
      <c r="AM48" s="1" t="str">
        <f t="shared" si="32"/>
        <v>Form Release Agent</v>
      </c>
      <c r="AN48" s="12" t="s">
        <v>128</v>
      </c>
      <c r="AO48">
        <f t="shared" si="33"/>
        <v>0.86599999999999999</v>
      </c>
      <c r="AP48" s="1">
        <f t="shared" si="24"/>
        <v>0</v>
      </c>
      <c r="AQ48" s="1" t="str">
        <f t="shared" si="34"/>
        <v>gallon</v>
      </c>
      <c r="AR48" s="1">
        <f t="shared" si="14"/>
        <v>3.2781667920000006E-3</v>
      </c>
      <c r="AS48" s="87" t="str">
        <f t="shared" si="35"/>
        <v>tonne/gallon</v>
      </c>
      <c r="AT48" s="87">
        <f t="shared" si="36"/>
        <v>0</v>
      </c>
      <c r="AU48" s="87">
        <f t="shared" si="37"/>
        <v>0</v>
      </c>
      <c r="AV48" s="87">
        <f t="shared" si="18"/>
        <v>0</v>
      </c>
      <c r="AW48" t="str">
        <f t="shared" si="38"/>
        <v>Form Release Agent</v>
      </c>
      <c r="AX48" s="148">
        <f t="array" ref="AX48">IFERROR(INDEX(LCIA_Data,MATCH($AO$15&amp;AX$27,LCIA_Rows_B&amp;LCIA_Rows_C,0),MATCH($D48,LCIA_Columns,0)),0)*$AU48</f>
        <v>0</v>
      </c>
      <c r="AY48" s="148">
        <f t="array" ref="AY48">IFERROR(INDEX(LCIA_Data,MATCH($AO$15&amp;AY$27,LCIA_Rows_B&amp;LCIA_Rows_C,0),MATCH($D48,LCIA_Columns,0)),0)*$AU48</f>
        <v>0</v>
      </c>
      <c r="AZ48" s="148">
        <f t="array" ref="AZ48">IFERROR(INDEX(LCIA_Data,MATCH($AO$15&amp;AZ$27,LCIA_Rows_B&amp;LCIA_Rows_C,0),MATCH($D48,LCIA_Columns,0)),0)*$AU48</f>
        <v>0</v>
      </c>
      <c r="BA48" s="148">
        <f t="array" ref="BA48">IFERROR(INDEX(LCIA_Data,MATCH($AO$15&amp;BA$27,LCIA_Rows_B&amp;LCIA_Rows_C,0),MATCH($D48,LCIA_Columns,0)),0)*$AU48</f>
        <v>0</v>
      </c>
      <c r="BB48" s="148">
        <f t="array" ref="BB48">IFERROR(INDEX(LCIA_Data,MATCH($AO$15&amp;BB$27,LCIA_Rows_B&amp;LCIA_Rows_C,0),MATCH($D48,LCIA_Columns,0)),0)*$AU48</f>
        <v>0</v>
      </c>
      <c r="BC48" s="148">
        <f t="array" ref="BC48">IFERROR(INDEX(LCIA_Data,MATCH($AO$15&amp;BC$27,LCIA_Rows_B&amp;LCIA_Rows_C,0),MATCH($D48,LCIA_Columns,0)),0)*$AU48</f>
        <v>0</v>
      </c>
      <c r="BD48" s="148">
        <f t="array" ref="BD48">IFERROR(INDEX(LCIA_Data,MATCH($AO$15&amp;BD$27,LCIA_Rows_B&amp;LCIA_Rows_C,0),MATCH($D48,LCIA_Columns,0)),0)*$AU48</f>
        <v>0</v>
      </c>
      <c r="BE48" s="148">
        <f t="array" ref="BE48">IFERROR(INDEX(LCIA_Data,MATCH($AO$15&amp;BE$27,LCIA_Rows_B&amp;LCIA_Rows_C,0),MATCH($D48,LCIA_Columns,0)),0)*$AU48</f>
        <v>0</v>
      </c>
      <c r="BF48" s="148">
        <f t="array" ref="BF48">IFERROR(INDEX(LCIA_Data,MATCH($AO$15&amp;BF$27,LCIA_Rows_B&amp;LCIA_Rows_C,0),MATCH($D48,LCIA_Columns,0)),0)*$AU48</f>
        <v>0</v>
      </c>
      <c r="BG48" s="148">
        <f t="array" ref="BG48">IFERROR(INDEX(LCIA_Data,MATCH($AO$15&amp;BG$27,LCIA_Rows_B&amp;LCIA_Rows_C,0),MATCH($D48,LCIA_Columns,0)),0)*$AU48</f>
        <v>0</v>
      </c>
      <c r="BH48" s="148">
        <f t="array" ref="BH48">IFERROR(INDEX(LCIA_Data,MATCH($AO$15&amp;BH$27,LCIA_Rows_B&amp;LCIA_Rows_C,0),MATCH($D48,LCIA_Columns,0)),0)*$AU48</f>
        <v>0</v>
      </c>
      <c r="BI48" s="148">
        <f t="array" ref="BI48">IFERROR(INDEX(LCIA_Data,MATCH($AO$15&amp;BI$27,LCIA_Rows_B&amp;LCIA_Rows_C,0),MATCH($D48,LCIA_Columns,0)),0)*$AU48</f>
        <v>0</v>
      </c>
      <c r="BJ48" s="148">
        <f t="array" ref="BJ48">IFERROR(INDEX(LCIA_Data,MATCH($AO$15&amp;BJ$27,LCIA_Rows_B&amp;LCIA_Rows_C,0),MATCH($D48,LCIA_Columns,0)),0)*$AU48</f>
        <v>0</v>
      </c>
      <c r="BK48" s="148">
        <f t="array" ref="BK48">IFERROR(INDEX(LCIA_Data,MATCH($AO$15&amp;BK$27,LCIA_Rows_B&amp;LCIA_Rows_C,0),MATCH($D48,LCIA_Columns,0)),0)*$AU48</f>
        <v>0</v>
      </c>
      <c r="BM48" s="1">
        <f t="array" ref="BM48">IFERROR(INDEX(LCIA_Data,MATCH($AO$15&amp;BM$27,LCIA_Rows_B&amp;LCIA_Rows_C,0),MATCH(BM$26,LCIA_Columns,0)),0)*$AT48*$AH48*$BN$23</f>
        <v>0</v>
      </c>
      <c r="BN48" s="1">
        <f t="array" ref="BN48">IFERROR(INDEX(LCIA_Data,MATCH($AO$15&amp;BN$27,LCIA_Rows_B&amp;LCIA_Rows_C,0),MATCH(BN$26,LCIA_Columns,0)),0)*$AT48*$AH48*$BN$23</f>
        <v>0</v>
      </c>
      <c r="BO48" s="1">
        <f t="array" ref="BO48">IFERROR(INDEX(LCIA_Data,MATCH($AO$15&amp;BO$27,LCIA_Rows_B&amp;LCIA_Rows_C,0),MATCH(BO$26,LCIA_Columns,0)),0)*$AT48*$AH48*$BN$23</f>
        <v>0</v>
      </c>
      <c r="BP48" s="1">
        <f t="array" ref="BP48">IFERROR(INDEX(LCIA_Data,MATCH($AO$15&amp;BP$27,LCIA_Rows_B&amp;LCIA_Rows_C,0),MATCH(BP$26,LCIA_Columns,0)),0)*$AT48*$AH48*$BN$23</f>
        <v>0</v>
      </c>
      <c r="BQ48" s="1">
        <f t="array" ref="BQ48">IFERROR(INDEX(LCIA_Data,MATCH($AO$15&amp;BQ$27,LCIA_Rows_B&amp;LCIA_Rows_C,0),MATCH(BQ$26,LCIA_Columns,0)),0)*$AT48*$AH48*$BN$23</f>
        <v>0</v>
      </c>
      <c r="BR48" s="1">
        <f t="array" ref="BR48">IFERROR(INDEX(LCIA_Data,MATCH($AO$15&amp;BR$27,LCIA_Rows_B&amp;LCIA_Rows_C,0),MATCH(BR$26,LCIA_Columns,0)),0)*$AT48*$AH48*$BN$23</f>
        <v>0</v>
      </c>
      <c r="BS48" s="1">
        <f t="array" ref="BS48">IFERROR(INDEX(LCIA_Data,MATCH($AO$15&amp;BS$27,LCIA_Rows_B&amp;LCIA_Rows_C,0),MATCH(BS$26,LCIA_Columns,0)),0)*$AT48*$AH48*$BN$23</f>
        <v>0</v>
      </c>
      <c r="BT48" s="1">
        <f t="array" ref="BT48">IFERROR(INDEX(LCIA_Data,MATCH($AO$15&amp;BT$27,LCIA_Rows_B&amp;LCIA_Rows_C,0),MATCH(BT$26,LCIA_Columns,0)),0)*$AT48*$AH48*$BN$23</f>
        <v>0</v>
      </c>
      <c r="BU48" s="1">
        <f t="array" ref="BU48">IFERROR(INDEX(LCIA_Data,MATCH($AO$15&amp;BU$27,LCIA_Rows_B&amp;LCIA_Rows_C,0),MATCH(BU$26,LCIA_Columns,0)),0)*$AT48*$AH48*$BN$23</f>
        <v>0</v>
      </c>
      <c r="BV48" s="1">
        <f t="array" ref="BV48">IFERROR(INDEX(LCIA_Data,MATCH($AO$15&amp;BV$27,LCIA_Rows_B&amp;LCIA_Rows_C,0),MATCH(BV$26,LCIA_Columns,0)),0)*$AT48*$AH48*$BN$23</f>
        <v>0</v>
      </c>
      <c r="BW48" s="1">
        <f t="array" ref="BW48">IFERROR(INDEX(LCIA_Data,MATCH($AO$15&amp;BW$27,LCIA_Rows_B&amp;LCIA_Rows_C,0),MATCH(BW$26,LCIA_Columns,0)),0)*$AT48*$AH48*$BN$23</f>
        <v>0</v>
      </c>
      <c r="BX48" s="1">
        <f t="array" ref="BX48">IFERROR(INDEX(LCIA_Data,MATCH($AO$15&amp;BX$27,LCIA_Rows_B&amp;LCIA_Rows_C,0),MATCH(BX$26,LCIA_Columns,0)),0)*$AT48*$AH48*$BN$23</f>
        <v>0</v>
      </c>
      <c r="BY48" s="1">
        <f t="array" ref="BY48">IFERROR(INDEX(LCIA_Data,MATCH($AO$15&amp;BY$27,LCIA_Rows_B&amp;LCIA_Rows_C,0),MATCH(BY$26,LCIA_Columns,0)),0)*$AT48*$AH48*$BN$23</f>
        <v>0</v>
      </c>
      <c r="BZ48" s="1">
        <f t="array" ref="BZ48">IFERROR(INDEX(LCIA_Data,MATCH($AO$15&amp;BZ$27,LCIA_Rows_B&amp;LCIA_Rows_C,0),MATCH(BZ$26,LCIA_Columns,0)),0)*$AT48*$AH48*$BN$23</f>
        <v>0</v>
      </c>
      <c r="CA48" s="1">
        <f t="array" ref="CA48">IFERROR(INDEX(LCIA_Data,MATCH($AO$15&amp;CA$27,LCIA_Rows_B&amp;LCIA_Rows_C,0),MATCH(CA$26,LCIA_Columns,0)),0)*$AT48*$AI48*$BN$23</f>
        <v>0</v>
      </c>
      <c r="CB48" s="1">
        <f t="array" ref="CB48">IFERROR(INDEX(LCIA_Data,MATCH($AO$15&amp;CB$27,LCIA_Rows_B&amp;LCIA_Rows_C,0),MATCH(CB$26,LCIA_Columns,0)),0)*$AT48*$AI48*$BN$23</f>
        <v>0</v>
      </c>
      <c r="CC48" s="1">
        <f t="array" ref="CC48">IFERROR(INDEX(LCIA_Data,MATCH($AO$15&amp;CC$27,LCIA_Rows_B&amp;LCIA_Rows_C,0),MATCH(CC$26,LCIA_Columns,0)),0)*$AT48*$AI48*$BN$23</f>
        <v>0</v>
      </c>
      <c r="CD48" s="1">
        <f t="array" ref="CD48">IFERROR(INDEX(LCIA_Data,MATCH($AO$15&amp;CD$27,LCIA_Rows_B&amp;LCIA_Rows_C,0),MATCH(CD$26,LCIA_Columns,0)),0)*$AT48*$AI48*$BN$23</f>
        <v>0</v>
      </c>
      <c r="CE48" s="1">
        <f t="array" ref="CE48">IFERROR(INDEX(LCIA_Data,MATCH($AO$15&amp;CE$27,LCIA_Rows_B&amp;LCIA_Rows_C,0),MATCH(CE$26,LCIA_Columns,0)),0)*$AT48*$AI48*$BN$23</f>
        <v>0</v>
      </c>
      <c r="CF48" s="1">
        <f t="array" ref="CF48">IFERROR(INDEX(LCIA_Data,MATCH($AO$15&amp;CF$27,LCIA_Rows_B&amp;LCIA_Rows_C,0),MATCH(CF$26,LCIA_Columns,0)),0)*$AT48*$AI48*$BN$23</f>
        <v>0</v>
      </c>
      <c r="CG48" s="1">
        <f t="array" ref="CG48">IFERROR(INDEX(LCIA_Data,MATCH($AO$15&amp;CG$27,LCIA_Rows_B&amp;LCIA_Rows_C,0),MATCH(CG$26,LCIA_Columns,0)),0)*$AT48*$AI48*$BN$23</f>
        <v>0</v>
      </c>
      <c r="CH48" s="1">
        <f t="array" ref="CH48">IFERROR(INDEX(LCIA_Data,MATCH($AO$15&amp;CH$27,LCIA_Rows_B&amp;LCIA_Rows_C,0),MATCH(CH$26,LCIA_Columns,0)),0)*$AT48*$AI48*$BN$23</f>
        <v>0</v>
      </c>
      <c r="CI48" s="1">
        <f t="array" ref="CI48">IFERROR(INDEX(LCIA_Data,MATCH($AO$15&amp;CI$27,LCIA_Rows_B&amp;LCIA_Rows_C,0),MATCH(CI$26,LCIA_Columns,0)),0)*$AT48*$AI48*$BN$23</f>
        <v>0</v>
      </c>
      <c r="CJ48" s="1">
        <f t="array" ref="CJ48">IFERROR(INDEX(LCIA_Data,MATCH($AO$15&amp;CJ$27,LCIA_Rows_B&amp;LCIA_Rows_C,0),MATCH(CJ$26,LCIA_Columns,0)),0)*$AT48*$AI48*$BN$23</f>
        <v>0</v>
      </c>
      <c r="CK48" s="1">
        <f t="array" ref="CK48">IFERROR(INDEX(LCIA_Data,MATCH($AO$15&amp;CK$27,LCIA_Rows_B&amp;LCIA_Rows_C,0),MATCH(CK$26,LCIA_Columns,0)),0)*$AT48*$AI48*$BN$23</f>
        <v>0</v>
      </c>
      <c r="CL48" s="1">
        <f t="array" ref="CL48">IFERROR(INDEX(LCIA_Data,MATCH($AO$15&amp;CL$27,LCIA_Rows_B&amp;LCIA_Rows_C,0),MATCH(CL$26,LCIA_Columns,0)),0)*$AT48*$AI48*$BN$23</f>
        <v>0</v>
      </c>
      <c r="CM48" s="1">
        <f t="array" ref="CM48">IFERROR(INDEX(LCIA_Data,MATCH($AO$15&amp;CM$27,LCIA_Rows_B&amp;LCIA_Rows_C,0),MATCH(CM$26,LCIA_Columns,0)),0)*$AT48*$AJ48*$BN$23</f>
        <v>0</v>
      </c>
      <c r="CN48" s="1">
        <f t="array" ref="CN48">IFERROR(INDEX(LCIA_Data,MATCH($AO$15&amp;CN$27,LCIA_Rows_B&amp;LCIA_Rows_C,0),MATCH(CN$26,LCIA_Columns,0)),0)*$AT48*$AJ48*$BN$23</f>
        <v>0</v>
      </c>
      <c r="CO48" s="1">
        <f t="array" ref="CO48">IFERROR(INDEX(LCIA_Data,MATCH($AO$15&amp;CO$27,LCIA_Rows_B&amp;LCIA_Rows_C,0),MATCH(CO$26,LCIA_Columns,0)),0)*$AT48*$AJ48*$BN$23</f>
        <v>0</v>
      </c>
      <c r="CP48" s="1">
        <f t="array" ref="CP48">IFERROR(INDEX(LCIA_Data,MATCH($AO$15&amp;CP$27,LCIA_Rows_B&amp;LCIA_Rows_C,0),MATCH(CP$26,LCIA_Columns,0)),0)*$AT48*$AJ48*$BN$23</f>
        <v>0</v>
      </c>
      <c r="CQ48" s="1">
        <f t="array" ref="CQ48">IFERROR(INDEX(LCIA_Data,MATCH($AO$15&amp;CQ$27,LCIA_Rows_B&amp;LCIA_Rows_C,0),MATCH(CQ$26,LCIA_Columns,0)),0)*$AT48*$AJ48*$BN$23</f>
        <v>0</v>
      </c>
      <c r="CR48" s="1">
        <f t="array" ref="CR48">IFERROR(INDEX(LCIA_Data,MATCH($AO$15&amp;CR$27,LCIA_Rows_B&amp;LCIA_Rows_C,0),MATCH(CR$26,LCIA_Columns,0)),0)*$AT48*$AJ48*$BN$23</f>
        <v>0</v>
      </c>
      <c r="CS48" s="1">
        <f t="array" ref="CS48">IFERROR(INDEX(LCIA_Data,MATCH($AO$15&amp;CS$27,LCIA_Rows_B&amp;LCIA_Rows_C,0),MATCH(CS$26,LCIA_Columns,0)),0)*$AT48*$AJ48*$BN$23</f>
        <v>0</v>
      </c>
      <c r="CT48" s="1">
        <f t="array" ref="CT48">IFERROR(INDEX(LCIA_Data,MATCH($AO$15&amp;CT$27,LCIA_Rows_B&amp;LCIA_Rows_C,0),MATCH(CT$26,LCIA_Columns,0)),0)*$AT48*$AJ48*$BN$23</f>
        <v>0</v>
      </c>
      <c r="CU48" s="1">
        <f t="array" ref="CU48">IFERROR(INDEX(LCIA_Data,MATCH($AO$15&amp;CU$27,LCIA_Rows_B&amp;LCIA_Rows_C,0),MATCH(CU$26,LCIA_Columns,0)),0)*$AT48*$AJ48*$BN$23</f>
        <v>0</v>
      </c>
      <c r="CV48" s="1">
        <f t="array" ref="CV48">IFERROR(INDEX(LCIA_Data,MATCH($AO$15&amp;CV$27,LCIA_Rows_B&amp;LCIA_Rows_C,0),MATCH(CV$26,LCIA_Columns,0)),0)*$AT48*$AJ48*$BN$23</f>
        <v>0</v>
      </c>
      <c r="CW48" s="1">
        <f t="array" ref="CW48">IFERROR(INDEX(LCIA_Data,MATCH($AO$15&amp;CW$27,LCIA_Rows_B&amp;LCIA_Rows_C,0),MATCH(CW$26,LCIA_Columns,0)),0)*$AT48*$AJ48*$BN$23</f>
        <v>0</v>
      </c>
      <c r="CX48" s="1">
        <f t="array" ref="CX48">IFERROR(INDEX(LCIA_Data,MATCH($AO$15&amp;CX$27,LCIA_Rows_B&amp;LCIA_Rows_C,0),MATCH(CX$26,LCIA_Columns,0)),0)*$AT48*$AJ48*$BN$23</f>
        <v>0</v>
      </c>
      <c r="CY48" s="1">
        <f t="array" ref="CY48">IFERROR(INDEX(LCIA_Data,MATCH($AO$15&amp;CY$27,LCIA_Rows_B&amp;LCIA_Rows_C,0),MATCH(CY$26,LCIA_Columns,0)),0)*$AT48*$AJ48*$BN$23</f>
        <v>0</v>
      </c>
      <c r="CZ48" s="1">
        <f t="array" ref="CZ48">IFERROR(INDEX(LCIA_Data,MATCH($AO$15&amp;CZ$27,LCIA_Rows_B&amp;LCIA_Rows_C,0),MATCH(CZ$26,LCIA_Columns,0)),0)*$AT48*$AJ48*$BN$23</f>
        <v>0</v>
      </c>
      <c r="DA48" s="1">
        <f t="array" ref="DA48">IFERROR(INDEX(LCIA_Data,MATCH($AO$15&amp;DA$27,LCIA_Rows_B&amp;LCIA_Rows_C,0),MATCH(DA$26,LCIA_Columns,0)),0)*$AT48*$AK48*$BN$23</f>
        <v>0</v>
      </c>
      <c r="DB48" s="1">
        <f t="array" ref="DB48">IFERROR(INDEX(LCIA_Data,MATCH($AO$15&amp;DB$27,LCIA_Rows_B&amp;LCIA_Rows_C,0),MATCH(DB$26,LCIA_Columns,0)),0)*$AT48*$AK48*$BN$23</f>
        <v>0</v>
      </c>
      <c r="DC48" s="1">
        <f t="array" ref="DC48">IFERROR(INDEX(LCIA_Data,MATCH($AO$15&amp;DC$27,LCIA_Rows_B&amp;LCIA_Rows_C,0),MATCH(DC$26,LCIA_Columns,0)),0)*$AT48*$AK48*$BN$23</f>
        <v>0</v>
      </c>
      <c r="DD48" s="1">
        <f t="array" ref="DD48">IFERROR(INDEX(LCIA_Data,MATCH($AO$15&amp;DD$27,LCIA_Rows_B&amp;LCIA_Rows_C,0),MATCH(DD$26,LCIA_Columns,0)),0)*$AT48*$AK48*$BN$23</f>
        <v>0</v>
      </c>
      <c r="DE48" s="1">
        <f t="array" ref="DE48">IFERROR(INDEX(LCIA_Data,MATCH($AO$15&amp;DE$27,LCIA_Rows_B&amp;LCIA_Rows_C,0),MATCH(DE$26,LCIA_Columns,0)),0)*$AT48*$AK48*$BN$23</f>
        <v>0</v>
      </c>
      <c r="DF48" s="1">
        <f t="array" ref="DF48">IFERROR(INDEX(LCIA_Data,MATCH($AO$15&amp;DF$27,LCIA_Rows_B&amp;LCIA_Rows_C,0),MATCH(DF$26,LCIA_Columns,0)),0)*$AT48*$AK48*$BN$23</f>
        <v>0</v>
      </c>
      <c r="DG48" s="1">
        <f t="array" ref="DG48">IFERROR(INDEX(LCIA_Data,MATCH($AO$15&amp;DG$27,LCIA_Rows_B&amp;LCIA_Rows_C,0),MATCH(DG$26,LCIA_Columns,0)),0)*$AT48*$AK48*$BN$23</f>
        <v>0</v>
      </c>
      <c r="DH48" s="1">
        <f t="array" ref="DH48">IFERROR(INDEX(LCIA_Data,MATCH($AO$15&amp;DH$27,LCIA_Rows_B&amp;LCIA_Rows_C,0),MATCH(DH$26,LCIA_Columns,0)),0)*$AT48*$AK48*$BN$23</f>
        <v>0</v>
      </c>
      <c r="DI48" s="1">
        <f t="array" ref="DI48">IFERROR(INDEX(LCIA_Data,MATCH($AO$15&amp;DI$27,LCIA_Rows_B&amp;LCIA_Rows_C,0),MATCH(DI$26,LCIA_Columns,0)),0)*$AT48*$AK48*$BN$23</f>
        <v>0</v>
      </c>
      <c r="DJ48" s="1">
        <f t="array" ref="DJ48">IFERROR(INDEX(LCIA_Data,MATCH($AO$15&amp;DJ$27,LCIA_Rows_B&amp;LCIA_Rows_C,0),MATCH(DJ$26,LCIA_Columns,0)),0)*$AT48*$AK48*$BN$23</f>
        <v>0</v>
      </c>
      <c r="DK48" s="1">
        <f t="array" ref="DK48">IFERROR(INDEX(LCIA_Data,MATCH($AO$15&amp;DK$27,LCIA_Rows_B&amp;LCIA_Rows_C,0),MATCH(DK$26,LCIA_Columns,0)),0)*$AT48*$AK48*$BN$23</f>
        <v>0</v>
      </c>
      <c r="DL48" s="1">
        <f t="array" ref="DL48">IFERROR(INDEX(LCIA_Data,MATCH($AO$15&amp;DL$27,LCIA_Rows_B&amp;LCIA_Rows_C,0),MATCH(DL$26,LCIA_Columns,0)),0)*$AT48*$AK48*$BN$23</f>
        <v>0</v>
      </c>
      <c r="DM48" s="1">
        <f t="array" ref="DM48">IFERROR(INDEX(LCIA_Data,MATCH($AO$15&amp;DM$27,LCIA_Rows_B&amp;LCIA_Rows_C,0),MATCH(DM$26,LCIA_Columns,0)),0)*$AT48*$AK48*$BN$23</f>
        <v>0</v>
      </c>
      <c r="DN48" s="1">
        <f t="array" ref="DN48">IFERROR(INDEX(LCIA_Data,MATCH($AO$15&amp;DN$27,LCIA_Rows_B&amp;LCIA_Rows_C,0),MATCH(DN$26,LCIA_Columns,0)),0)*$AT48*$AK48*$BN$23</f>
        <v>0</v>
      </c>
      <c r="DO48">
        <f t="shared" si="20"/>
        <v>0</v>
      </c>
      <c r="DP48">
        <f t="shared" si="20"/>
        <v>0</v>
      </c>
      <c r="DQ48">
        <f t="shared" si="20"/>
        <v>0</v>
      </c>
      <c r="DR48">
        <f t="shared" si="20"/>
        <v>0</v>
      </c>
      <c r="DS48">
        <f t="shared" si="20"/>
        <v>0</v>
      </c>
      <c r="DT48">
        <f t="shared" si="20"/>
        <v>0</v>
      </c>
      <c r="DU48">
        <f t="shared" si="20"/>
        <v>0</v>
      </c>
      <c r="DV48">
        <f t="shared" si="20"/>
        <v>0</v>
      </c>
      <c r="DW48">
        <f t="shared" si="20"/>
        <v>0</v>
      </c>
      <c r="DX48">
        <f t="shared" si="20"/>
        <v>0</v>
      </c>
      <c r="DY48">
        <f t="shared" si="20"/>
        <v>0</v>
      </c>
      <c r="DZ48">
        <f t="shared" si="20"/>
        <v>0</v>
      </c>
      <c r="EA48">
        <f t="shared" si="20"/>
        <v>0</v>
      </c>
      <c r="EB48">
        <f t="shared" si="21"/>
        <v>0</v>
      </c>
      <c r="EC48"/>
      <c r="ED48"/>
      <c r="EE48"/>
      <c r="EF48"/>
      <c r="EG48"/>
    </row>
    <row r="49" spans="2:137" ht="15" customHeight="1">
      <c r="B49" s="53">
        <f t="shared" si="29"/>
        <v>0</v>
      </c>
      <c r="C49" s="221">
        <f t="shared" si="22"/>
        <v>20</v>
      </c>
      <c r="D49" s="222" t="str">
        <f>'Plant Inputs'!$D49</f>
        <v>Rebar</v>
      </c>
      <c r="E49" s="154"/>
      <c r="F49" s="223" t="str">
        <f t="shared" ref="F49:F58" si="39">MassDisplayUnit</f>
        <v>short ton</v>
      </c>
      <c r="G49" s="224">
        <f t="shared" si="26"/>
        <v>0</v>
      </c>
      <c r="H49" s="225" t="str">
        <f t="shared" si="7"/>
        <v>short ton</v>
      </c>
      <c r="I49" s="156">
        <f t="shared" si="8"/>
        <v>0</v>
      </c>
      <c r="J49"/>
      <c r="K49"/>
      <c r="L49"/>
      <c r="M49"/>
      <c r="N49"/>
      <c r="O49"/>
      <c r="P49"/>
      <c r="Q49"/>
      <c r="R49"/>
      <c r="S49"/>
      <c r="T49"/>
      <c r="X49" s="67">
        <f t="shared" si="30"/>
        <v>0</v>
      </c>
      <c r="Y49" s="216">
        <f>IF(AND($X49=1,'Plant Inputs'!$Y49=1),1,0)</f>
        <v>0</v>
      </c>
      <c r="Z49" s="216"/>
      <c r="AA49" s="216">
        <f>IF($Y49=0,0,IF('Plant Inputs'!J49="",0,'Plant Inputs'!J49))</f>
        <v>0</v>
      </c>
      <c r="AB49" s="216">
        <f>IF($Y49=0,0,IF('Plant Inputs'!K49="",0,'Plant Inputs'!K49))</f>
        <v>0</v>
      </c>
      <c r="AC49" s="216">
        <f>IF($Y49=0,0,IF('Plant Inputs'!L49="",0,'Plant Inputs'!L49))</f>
        <v>0</v>
      </c>
      <c r="AD49" s="216">
        <f>IF($Y49=0,0,IF('Plant Inputs'!M49="",0,'Plant Inputs'!M49))</f>
        <v>0</v>
      </c>
      <c r="AE49" s="217" t="str">
        <f>'Plant Inputs'!$O49</f>
        <v>mile</v>
      </c>
      <c r="AF49" s="217">
        <f t="shared" si="9"/>
        <v>1.6093473468862911</v>
      </c>
      <c r="AG49" s="216" t="str">
        <f t="shared" si="23"/>
        <v>km/mile</v>
      </c>
      <c r="AH49" s="216">
        <f t="shared" si="31"/>
        <v>0</v>
      </c>
      <c r="AI49" s="216">
        <f t="shared" si="31"/>
        <v>0</v>
      </c>
      <c r="AJ49" s="216">
        <f t="shared" si="31"/>
        <v>0</v>
      </c>
      <c r="AK49" s="216">
        <f t="shared" si="31"/>
        <v>0</v>
      </c>
      <c r="AL49" s="216"/>
      <c r="AM49" s="1" t="str">
        <f t="shared" si="32"/>
        <v>Rebar</v>
      </c>
      <c r="AN49" t="s">
        <v>127</v>
      </c>
      <c r="AO49">
        <f t="shared" si="33"/>
        <v>0</v>
      </c>
      <c r="AP49" s="1">
        <f t="shared" si="24"/>
        <v>0</v>
      </c>
      <c r="AQ49" s="1" t="str">
        <f t="shared" si="34"/>
        <v>short ton</v>
      </c>
      <c r="AR49" s="1">
        <f t="shared" si="14"/>
        <v>0.90718499588591606</v>
      </c>
      <c r="AS49" s="87" t="str">
        <f t="shared" si="35"/>
        <v>tonne/short ton</v>
      </c>
      <c r="AT49" s="87">
        <f t="shared" si="36"/>
        <v>0</v>
      </c>
      <c r="AU49" s="87">
        <f t="shared" si="37"/>
        <v>0</v>
      </c>
      <c r="AV49" s="87">
        <f t="shared" si="18"/>
        <v>0</v>
      </c>
      <c r="AW49" t="str">
        <f t="shared" si="38"/>
        <v>Rebar</v>
      </c>
      <c r="AX49" s="148">
        <f t="array" ref="AX49">IFERROR(INDEX(LCIA_Data,MATCH($AO$15&amp;AX$27,LCIA_Rows_B&amp;LCIA_Rows_C,0),MATCH($D49,LCIA_Columns,0)),0)*$AU49</f>
        <v>0</v>
      </c>
      <c r="AY49" s="148">
        <f t="array" ref="AY49">IFERROR(INDEX(LCIA_Data,MATCH($AO$15&amp;AY$27,LCIA_Rows_B&amp;LCIA_Rows_C,0),MATCH($D49,LCIA_Columns,0)),0)*$AU49</f>
        <v>0</v>
      </c>
      <c r="AZ49" s="148">
        <f t="array" ref="AZ49">IFERROR(INDEX(LCIA_Data,MATCH($AO$15&amp;AZ$27,LCIA_Rows_B&amp;LCIA_Rows_C,0),MATCH($D49,LCIA_Columns,0)),0)*$AU49</f>
        <v>0</v>
      </c>
      <c r="BA49" s="148">
        <f t="array" ref="BA49">IFERROR(INDEX(LCIA_Data,MATCH($AO$15&amp;BA$27,LCIA_Rows_B&amp;LCIA_Rows_C,0),MATCH($D49,LCIA_Columns,0)),0)*$AU49</f>
        <v>0</v>
      </c>
      <c r="BB49" s="148">
        <f t="array" ref="BB49">IFERROR(INDEX(LCIA_Data,MATCH($AO$15&amp;BB$27,LCIA_Rows_B&amp;LCIA_Rows_C,0),MATCH($D49,LCIA_Columns,0)),0)*$AU49</f>
        <v>0</v>
      </c>
      <c r="BC49" s="148">
        <f t="array" ref="BC49">IFERROR(INDEX(LCIA_Data,MATCH($AO$15&amp;BC$27,LCIA_Rows_B&amp;LCIA_Rows_C,0),MATCH($D49,LCIA_Columns,0)),0)*$AU49</f>
        <v>0</v>
      </c>
      <c r="BD49" s="148">
        <f t="array" ref="BD49">IFERROR(INDEX(LCIA_Data,MATCH($AO$15&amp;BD$27,LCIA_Rows_B&amp;LCIA_Rows_C,0),MATCH($D49,LCIA_Columns,0)),0)*$AU49</f>
        <v>0</v>
      </c>
      <c r="BE49" s="148">
        <f t="array" ref="BE49">IFERROR(INDEX(LCIA_Data,MATCH($AO$15&amp;BE$27,LCIA_Rows_B&amp;LCIA_Rows_C,0),MATCH($D49,LCIA_Columns,0)),0)*$AU49</f>
        <v>0</v>
      </c>
      <c r="BF49" s="148">
        <f t="array" ref="BF49">IFERROR(INDEX(LCIA_Data,MATCH($AO$15&amp;BF$27,LCIA_Rows_B&amp;LCIA_Rows_C,0),MATCH($D49,LCIA_Columns,0)),0)*$AU49</f>
        <v>0</v>
      </c>
      <c r="BG49" s="148">
        <f t="array" ref="BG49">IFERROR(INDEX(LCIA_Data,MATCH($AO$15&amp;BG$27,LCIA_Rows_B&amp;LCIA_Rows_C,0),MATCH($D49,LCIA_Columns,0)),0)*$AU49</f>
        <v>0</v>
      </c>
      <c r="BH49" s="148">
        <f t="array" ref="BH49">IFERROR(INDEX(LCIA_Data,MATCH($AO$15&amp;BH$27,LCIA_Rows_B&amp;LCIA_Rows_C,0),MATCH($D49,LCIA_Columns,0)),0)*$AU49</f>
        <v>0</v>
      </c>
      <c r="BI49" s="148">
        <f t="array" ref="BI49">IFERROR(INDEX(LCIA_Data,MATCH($AO$15&amp;BI$27,LCIA_Rows_B&amp;LCIA_Rows_C,0),MATCH($D49,LCIA_Columns,0)),0)*$AU49</f>
        <v>0</v>
      </c>
      <c r="BJ49" s="148">
        <f t="array" ref="BJ49">IFERROR(INDEX(LCIA_Data,MATCH($AO$15&amp;BJ$27,LCIA_Rows_B&amp;LCIA_Rows_C,0),MATCH($D49,LCIA_Columns,0)),0)*$AU49</f>
        <v>0</v>
      </c>
      <c r="BK49" s="148">
        <f t="array" ref="BK49">IFERROR(INDEX(LCIA_Data,MATCH($AO$15&amp;BK$27,LCIA_Rows_B&amp;LCIA_Rows_C,0),MATCH($D49,LCIA_Columns,0)),0)*$AU49</f>
        <v>0</v>
      </c>
      <c r="BM49" s="1">
        <f t="array" ref="BM49">IFERROR(INDEX(LCIA_Data,MATCH($AO$15&amp;BM$27,LCIA_Rows_B&amp;LCIA_Rows_C,0),MATCH(BM$26,LCIA_Columns,0)),0)*$AT49*$AH49*$BN$23</f>
        <v>0</v>
      </c>
      <c r="BN49" s="1">
        <f t="array" ref="BN49">IFERROR(INDEX(LCIA_Data,MATCH($AO$15&amp;BN$27,LCIA_Rows_B&amp;LCIA_Rows_C,0),MATCH(BN$26,LCIA_Columns,0)),0)*$AT49*$AH49*$BN$23</f>
        <v>0</v>
      </c>
      <c r="BO49" s="1">
        <f t="array" ref="BO49">IFERROR(INDEX(LCIA_Data,MATCH($AO$15&amp;BO$27,LCIA_Rows_B&amp;LCIA_Rows_C,0),MATCH(BO$26,LCIA_Columns,0)),0)*$AT49*$AH49*$BN$23</f>
        <v>0</v>
      </c>
      <c r="BP49" s="1">
        <f t="array" ref="BP49">IFERROR(INDEX(LCIA_Data,MATCH($AO$15&amp;BP$27,LCIA_Rows_B&amp;LCIA_Rows_C,0),MATCH(BP$26,LCIA_Columns,0)),0)*$AT49*$AH49*$BN$23</f>
        <v>0</v>
      </c>
      <c r="BQ49" s="1">
        <f t="array" ref="BQ49">IFERROR(INDEX(LCIA_Data,MATCH($AO$15&amp;BQ$27,LCIA_Rows_B&amp;LCIA_Rows_C,0),MATCH(BQ$26,LCIA_Columns,0)),0)*$AT49*$AH49*$BN$23</f>
        <v>0</v>
      </c>
      <c r="BR49" s="1">
        <f t="array" ref="BR49">IFERROR(INDEX(LCIA_Data,MATCH($AO$15&amp;BR$27,LCIA_Rows_B&amp;LCIA_Rows_C,0),MATCH(BR$26,LCIA_Columns,0)),0)*$AT49*$AH49*$BN$23</f>
        <v>0</v>
      </c>
      <c r="BS49" s="1">
        <f t="array" ref="BS49">IFERROR(INDEX(LCIA_Data,MATCH($AO$15&amp;BS$27,LCIA_Rows_B&amp;LCIA_Rows_C,0),MATCH(BS$26,LCIA_Columns,0)),0)*$AT49*$AH49*$BN$23</f>
        <v>0</v>
      </c>
      <c r="BT49" s="1">
        <f t="array" ref="BT49">IFERROR(INDEX(LCIA_Data,MATCH($AO$15&amp;BT$27,LCIA_Rows_B&amp;LCIA_Rows_C,0),MATCH(BT$26,LCIA_Columns,0)),0)*$AT49*$AH49*$BN$23</f>
        <v>0</v>
      </c>
      <c r="BU49" s="1">
        <f t="array" ref="BU49">IFERROR(INDEX(LCIA_Data,MATCH($AO$15&amp;BU$27,LCIA_Rows_B&amp;LCIA_Rows_C,0),MATCH(BU$26,LCIA_Columns,0)),0)*$AT49*$AH49*$BN$23</f>
        <v>0</v>
      </c>
      <c r="BV49" s="1">
        <f t="array" ref="BV49">IFERROR(INDEX(LCIA_Data,MATCH($AO$15&amp;BV$27,LCIA_Rows_B&amp;LCIA_Rows_C,0),MATCH(BV$26,LCIA_Columns,0)),0)*$AT49*$AH49*$BN$23</f>
        <v>0</v>
      </c>
      <c r="BW49" s="1">
        <f t="array" ref="BW49">IFERROR(INDEX(LCIA_Data,MATCH($AO$15&amp;BW$27,LCIA_Rows_B&amp;LCIA_Rows_C,0),MATCH(BW$26,LCIA_Columns,0)),0)*$AT49*$AH49*$BN$23</f>
        <v>0</v>
      </c>
      <c r="BX49" s="1">
        <f t="array" ref="BX49">IFERROR(INDEX(LCIA_Data,MATCH($AO$15&amp;BX$27,LCIA_Rows_B&amp;LCIA_Rows_C,0),MATCH(BX$26,LCIA_Columns,0)),0)*$AT49*$AH49*$BN$23</f>
        <v>0</v>
      </c>
      <c r="BY49" s="1">
        <f t="array" ref="BY49">IFERROR(INDEX(LCIA_Data,MATCH($AO$15&amp;BY$27,LCIA_Rows_B&amp;LCIA_Rows_C,0),MATCH(BY$26,LCIA_Columns,0)),0)*$AT49*$AH49*$BN$23</f>
        <v>0</v>
      </c>
      <c r="BZ49" s="1">
        <f t="array" ref="BZ49">IFERROR(INDEX(LCIA_Data,MATCH($AO$15&amp;BZ$27,LCIA_Rows_B&amp;LCIA_Rows_C,0),MATCH(BZ$26,LCIA_Columns,0)),0)*$AT49*$AH49*$BN$23</f>
        <v>0</v>
      </c>
      <c r="CA49" s="1">
        <f t="array" ref="CA49">IFERROR(INDEX(LCIA_Data,MATCH($AO$15&amp;CA$27,LCIA_Rows_B&amp;LCIA_Rows_C,0),MATCH(CA$26,LCIA_Columns,0)),0)*$AT49*$AI49*$BN$23</f>
        <v>0</v>
      </c>
      <c r="CB49" s="1">
        <f t="array" ref="CB49">IFERROR(INDEX(LCIA_Data,MATCH($AO$15&amp;CB$27,LCIA_Rows_B&amp;LCIA_Rows_C,0),MATCH(CB$26,LCIA_Columns,0)),0)*$AT49*$AI49*$BN$23</f>
        <v>0</v>
      </c>
      <c r="CC49" s="1">
        <f t="array" ref="CC49">IFERROR(INDEX(LCIA_Data,MATCH($AO$15&amp;CC$27,LCIA_Rows_B&amp;LCIA_Rows_C,0),MATCH(CC$26,LCIA_Columns,0)),0)*$AT49*$AI49*$BN$23</f>
        <v>0</v>
      </c>
      <c r="CD49" s="1">
        <f t="array" ref="CD49">IFERROR(INDEX(LCIA_Data,MATCH($AO$15&amp;CD$27,LCIA_Rows_B&amp;LCIA_Rows_C,0),MATCH(CD$26,LCIA_Columns,0)),0)*$AT49*$AI49*$BN$23</f>
        <v>0</v>
      </c>
      <c r="CE49" s="1">
        <f t="array" ref="CE49">IFERROR(INDEX(LCIA_Data,MATCH($AO$15&amp;CE$27,LCIA_Rows_B&amp;LCIA_Rows_C,0),MATCH(CE$26,LCIA_Columns,0)),0)*$AT49*$AI49*$BN$23</f>
        <v>0</v>
      </c>
      <c r="CF49" s="1">
        <f t="array" ref="CF49">IFERROR(INDEX(LCIA_Data,MATCH($AO$15&amp;CF$27,LCIA_Rows_B&amp;LCIA_Rows_C,0),MATCH(CF$26,LCIA_Columns,0)),0)*$AT49*$AI49*$BN$23</f>
        <v>0</v>
      </c>
      <c r="CG49" s="1">
        <f t="array" ref="CG49">IFERROR(INDEX(LCIA_Data,MATCH($AO$15&amp;CG$27,LCIA_Rows_B&amp;LCIA_Rows_C,0),MATCH(CG$26,LCIA_Columns,0)),0)*$AT49*$AI49*$BN$23</f>
        <v>0</v>
      </c>
      <c r="CH49" s="1">
        <f t="array" ref="CH49">IFERROR(INDEX(LCIA_Data,MATCH($AO$15&amp;CH$27,LCIA_Rows_B&amp;LCIA_Rows_C,0),MATCH(CH$26,LCIA_Columns,0)),0)*$AT49*$AI49*$BN$23</f>
        <v>0</v>
      </c>
      <c r="CI49" s="1">
        <f t="array" ref="CI49">IFERROR(INDEX(LCIA_Data,MATCH($AO$15&amp;CI$27,LCIA_Rows_B&amp;LCIA_Rows_C,0),MATCH(CI$26,LCIA_Columns,0)),0)*$AT49*$AI49*$BN$23</f>
        <v>0</v>
      </c>
      <c r="CJ49" s="1">
        <f t="array" ref="CJ49">IFERROR(INDEX(LCIA_Data,MATCH($AO$15&amp;CJ$27,LCIA_Rows_B&amp;LCIA_Rows_C,0),MATCH(CJ$26,LCIA_Columns,0)),0)*$AT49*$AI49*$BN$23</f>
        <v>0</v>
      </c>
      <c r="CK49" s="1">
        <f t="array" ref="CK49">IFERROR(INDEX(LCIA_Data,MATCH($AO$15&amp;CK$27,LCIA_Rows_B&amp;LCIA_Rows_C,0),MATCH(CK$26,LCIA_Columns,0)),0)*$AT49*$AI49*$BN$23</f>
        <v>0</v>
      </c>
      <c r="CL49" s="1">
        <f t="array" ref="CL49">IFERROR(INDEX(LCIA_Data,MATCH($AO$15&amp;CL$27,LCIA_Rows_B&amp;LCIA_Rows_C,0),MATCH(CL$26,LCIA_Columns,0)),0)*$AT49*$AI49*$BN$23</f>
        <v>0</v>
      </c>
      <c r="CM49" s="1">
        <f t="array" ref="CM49">IFERROR(INDEX(LCIA_Data,MATCH($AO$15&amp;CM$27,LCIA_Rows_B&amp;LCIA_Rows_C,0),MATCH(CM$26,LCIA_Columns,0)),0)*$AT49*$AJ49*$BN$23</f>
        <v>0</v>
      </c>
      <c r="CN49" s="1">
        <f t="array" ref="CN49">IFERROR(INDEX(LCIA_Data,MATCH($AO$15&amp;CN$27,LCIA_Rows_B&amp;LCIA_Rows_C,0),MATCH(CN$26,LCIA_Columns,0)),0)*$AT49*$AJ49*$BN$23</f>
        <v>0</v>
      </c>
      <c r="CO49" s="1">
        <f t="array" ref="CO49">IFERROR(INDEX(LCIA_Data,MATCH($AO$15&amp;CO$27,LCIA_Rows_B&amp;LCIA_Rows_C,0),MATCH(CO$26,LCIA_Columns,0)),0)*$AT49*$AJ49*$BN$23</f>
        <v>0</v>
      </c>
      <c r="CP49" s="1">
        <f t="array" ref="CP49">IFERROR(INDEX(LCIA_Data,MATCH($AO$15&amp;CP$27,LCIA_Rows_B&amp;LCIA_Rows_C,0),MATCH(CP$26,LCIA_Columns,0)),0)*$AT49*$AJ49*$BN$23</f>
        <v>0</v>
      </c>
      <c r="CQ49" s="1">
        <f t="array" ref="CQ49">IFERROR(INDEX(LCIA_Data,MATCH($AO$15&amp;CQ$27,LCIA_Rows_B&amp;LCIA_Rows_C,0),MATCH(CQ$26,LCIA_Columns,0)),0)*$AT49*$AJ49*$BN$23</f>
        <v>0</v>
      </c>
      <c r="CR49" s="1">
        <f t="array" ref="CR49">IFERROR(INDEX(LCIA_Data,MATCH($AO$15&amp;CR$27,LCIA_Rows_B&amp;LCIA_Rows_C,0),MATCH(CR$26,LCIA_Columns,0)),0)*$AT49*$AJ49*$BN$23</f>
        <v>0</v>
      </c>
      <c r="CS49" s="1">
        <f t="array" ref="CS49">IFERROR(INDEX(LCIA_Data,MATCH($AO$15&amp;CS$27,LCIA_Rows_B&amp;LCIA_Rows_C,0),MATCH(CS$26,LCIA_Columns,0)),0)*$AT49*$AJ49*$BN$23</f>
        <v>0</v>
      </c>
      <c r="CT49" s="1">
        <f t="array" ref="CT49">IFERROR(INDEX(LCIA_Data,MATCH($AO$15&amp;CT$27,LCIA_Rows_B&amp;LCIA_Rows_C,0),MATCH(CT$26,LCIA_Columns,0)),0)*$AT49*$AJ49*$BN$23</f>
        <v>0</v>
      </c>
      <c r="CU49" s="1">
        <f t="array" ref="CU49">IFERROR(INDEX(LCIA_Data,MATCH($AO$15&amp;CU$27,LCIA_Rows_B&amp;LCIA_Rows_C,0),MATCH(CU$26,LCIA_Columns,0)),0)*$AT49*$AJ49*$BN$23</f>
        <v>0</v>
      </c>
      <c r="CV49" s="1">
        <f t="array" ref="CV49">IFERROR(INDEX(LCIA_Data,MATCH($AO$15&amp;CV$27,LCIA_Rows_B&amp;LCIA_Rows_C,0),MATCH(CV$26,LCIA_Columns,0)),0)*$AT49*$AJ49*$BN$23</f>
        <v>0</v>
      </c>
      <c r="CW49" s="1">
        <f t="array" ref="CW49">IFERROR(INDEX(LCIA_Data,MATCH($AO$15&amp;CW$27,LCIA_Rows_B&amp;LCIA_Rows_C,0),MATCH(CW$26,LCIA_Columns,0)),0)*$AT49*$AJ49*$BN$23</f>
        <v>0</v>
      </c>
      <c r="CX49" s="1">
        <f t="array" ref="CX49">IFERROR(INDEX(LCIA_Data,MATCH($AO$15&amp;CX$27,LCIA_Rows_B&amp;LCIA_Rows_C,0),MATCH(CX$26,LCIA_Columns,0)),0)*$AT49*$AJ49*$BN$23</f>
        <v>0</v>
      </c>
      <c r="CY49" s="1">
        <f t="array" ref="CY49">IFERROR(INDEX(LCIA_Data,MATCH($AO$15&amp;CY$27,LCIA_Rows_B&amp;LCIA_Rows_C,0),MATCH(CY$26,LCIA_Columns,0)),0)*$AT49*$AJ49*$BN$23</f>
        <v>0</v>
      </c>
      <c r="CZ49" s="1">
        <f t="array" ref="CZ49">IFERROR(INDEX(LCIA_Data,MATCH($AO$15&amp;CZ$27,LCIA_Rows_B&amp;LCIA_Rows_C,0),MATCH(CZ$26,LCIA_Columns,0)),0)*$AT49*$AJ49*$BN$23</f>
        <v>0</v>
      </c>
      <c r="DA49" s="1">
        <f t="array" ref="DA49">IFERROR(INDEX(LCIA_Data,MATCH($AO$15&amp;DA$27,LCIA_Rows_B&amp;LCIA_Rows_C,0),MATCH(DA$26,LCIA_Columns,0)),0)*$AT49*$AK49*$BN$23</f>
        <v>0</v>
      </c>
      <c r="DB49" s="1">
        <f t="array" ref="DB49">IFERROR(INDEX(LCIA_Data,MATCH($AO$15&amp;DB$27,LCIA_Rows_B&amp;LCIA_Rows_C,0),MATCH(DB$26,LCIA_Columns,0)),0)*$AT49*$AK49*$BN$23</f>
        <v>0</v>
      </c>
      <c r="DC49" s="1">
        <f t="array" ref="DC49">IFERROR(INDEX(LCIA_Data,MATCH($AO$15&amp;DC$27,LCIA_Rows_B&amp;LCIA_Rows_C,0),MATCH(DC$26,LCIA_Columns,0)),0)*$AT49*$AK49*$BN$23</f>
        <v>0</v>
      </c>
      <c r="DD49" s="1">
        <f t="array" ref="DD49">IFERROR(INDEX(LCIA_Data,MATCH($AO$15&amp;DD$27,LCIA_Rows_B&amp;LCIA_Rows_C,0),MATCH(DD$26,LCIA_Columns,0)),0)*$AT49*$AK49*$BN$23</f>
        <v>0</v>
      </c>
      <c r="DE49" s="1">
        <f t="array" ref="DE49">IFERROR(INDEX(LCIA_Data,MATCH($AO$15&amp;DE$27,LCIA_Rows_B&amp;LCIA_Rows_C,0),MATCH(DE$26,LCIA_Columns,0)),0)*$AT49*$AK49*$BN$23</f>
        <v>0</v>
      </c>
      <c r="DF49" s="1">
        <f t="array" ref="DF49">IFERROR(INDEX(LCIA_Data,MATCH($AO$15&amp;DF$27,LCIA_Rows_B&amp;LCIA_Rows_C,0),MATCH(DF$26,LCIA_Columns,0)),0)*$AT49*$AK49*$BN$23</f>
        <v>0</v>
      </c>
      <c r="DG49" s="1">
        <f t="array" ref="DG49">IFERROR(INDEX(LCIA_Data,MATCH($AO$15&amp;DG$27,LCIA_Rows_B&amp;LCIA_Rows_C,0),MATCH(DG$26,LCIA_Columns,0)),0)*$AT49*$AK49*$BN$23</f>
        <v>0</v>
      </c>
      <c r="DH49" s="1">
        <f t="array" ref="DH49">IFERROR(INDEX(LCIA_Data,MATCH($AO$15&amp;DH$27,LCIA_Rows_B&amp;LCIA_Rows_C,0),MATCH(DH$26,LCIA_Columns,0)),0)*$AT49*$AK49*$BN$23</f>
        <v>0</v>
      </c>
      <c r="DI49" s="1">
        <f t="array" ref="DI49">IFERROR(INDEX(LCIA_Data,MATCH($AO$15&amp;DI$27,LCIA_Rows_B&amp;LCIA_Rows_C,0),MATCH(DI$26,LCIA_Columns,0)),0)*$AT49*$AK49*$BN$23</f>
        <v>0</v>
      </c>
      <c r="DJ49" s="1">
        <f t="array" ref="DJ49">IFERROR(INDEX(LCIA_Data,MATCH($AO$15&amp;DJ$27,LCIA_Rows_B&amp;LCIA_Rows_C,0),MATCH(DJ$26,LCIA_Columns,0)),0)*$AT49*$AK49*$BN$23</f>
        <v>0</v>
      </c>
      <c r="DK49" s="1">
        <f t="array" ref="DK49">IFERROR(INDEX(LCIA_Data,MATCH($AO$15&amp;DK$27,LCIA_Rows_B&amp;LCIA_Rows_C,0),MATCH(DK$26,LCIA_Columns,0)),0)*$AT49*$AK49*$BN$23</f>
        <v>0</v>
      </c>
      <c r="DL49" s="1">
        <f t="array" ref="DL49">IFERROR(INDEX(LCIA_Data,MATCH($AO$15&amp;DL$27,LCIA_Rows_B&amp;LCIA_Rows_C,0),MATCH(DL$26,LCIA_Columns,0)),0)*$AT49*$AK49*$BN$23</f>
        <v>0</v>
      </c>
      <c r="DM49" s="1">
        <f t="array" ref="DM49">IFERROR(INDEX(LCIA_Data,MATCH($AO$15&amp;DM$27,LCIA_Rows_B&amp;LCIA_Rows_C,0),MATCH(DM$26,LCIA_Columns,0)),0)*$AT49*$AK49*$BN$23</f>
        <v>0</v>
      </c>
      <c r="DN49" s="1">
        <f t="array" ref="DN49">IFERROR(INDEX(LCIA_Data,MATCH($AO$15&amp;DN$27,LCIA_Rows_B&amp;LCIA_Rows_C,0),MATCH(DN$26,LCIA_Columns,0)),0)*$AT49*$AK49*$BN$23</f>
        <v>0</v>
      </c>
      <c r="DO49">
        <f t="shared" si="20"/>
        <v>0</v>
      </c>
      <c r="DP49">
        <f t="shared" si="20"/>
        <v>0</v>
      </c>
      <c r="DQ49">
        <f t="shared" si="20"/>
        <v>0</v>
      </c>
      <c r="DR49">
        <f t="shared" si="20"/>
        <v>0</v>
      </c>
      <c r="DS49">
        <f t="shared" si="20"/>
        <v>0</v>
      </c>
      <c r="DT49">
        <f t="shared" si="20"/>
        <v>0</v>
      </c>
      <c r="DU49">
        <f t="shared" si="20"/>
        <v>0</v>
      </c>
      <c r="DV49">
        <f t="shared" si="20"/>
        <v>0</v>
      </c>
      <c r="DW49">
        <f t="shared" ref="DW49:EA64" si="40">BU49+CI49+CU49+DI49</f>
        <v>0</v>
      </c>
      <c r="DX49">
        <f t="shared" si="40"/>
        <v>0</v>
      </c>
      <c r="DY49">
        <f t="shared" si="40"/>
        <v>0</v>
      </c>
      <c r="DZ49">
        <f t="shared" si="40"/>
        <v>0</v>
      </c>
      <c r="EA49">
        <f t="shared" si="40"/>
        <v>0</v>
      </c>
      <c r="EB49">
        <f t="shared" si="21"/>
        <v>0</v>
      </c>
      <c r="EC49"/>
      <c r="ED49"/>
      <c r="EE49"/>
      <c r="EF49"/>
      <c r="EG49"/>
    </row>
    <row r="50" spans="2:137" ht="15" customHeight="1">
      <c r="B50" s="53">
        <f t="shared" si="29"/>
        <v>0</v>
      </c>
      <c r="C50" s="26">
        <f t="shared" si="22"/>
        <v>21</v>
      </c>
      <c r="D50" s="46" t="str">
        <f>'Plant Inputs'!$D50</f>
        <v>Welded Wire Reinforcement (WWR)</v>
      </c>
      <c r="E50" s="99"/>
      <c r="F50" s="119" t="str">
        <f t="shared" si="39"/>
        <v>short ton</v>
      </c>
      <c r="G50" s="158">
        <f t="shared" si="26"/>
        <v>0</v>
      </c>
      <c r="H50" s="204" t="str">
        <f t="shared" si="7"/>
        <v>short ton</v>
      </c>
      <c r="I50" s="156">
        <f t="shared" si="8"/>
        <v>0</v>
      </c>
      <c r="J50"/>
      <c r="K50"/>
      <c r="L50"/>
      <c r="M50"/>
      <c r="N50"/>
      <c r="O50"/>
      <c r="P50"/>
      <c r="Q50"/>
      <c r="R50"/>
      <c r="S50"/>
      <c r="T50"/>
      <c r="X50" s="67">
        <f t="shared" si="30"/>
        <v>0</v>
      </c>
      <c r="Y50" s="216">
        <f>IF(AND($X50=1,'Plant Inputs'!$Y50=1),1,0)</f>
        <v>0</v>
      </c>
      <c r="Z50" s="216"/>
      <c r="AA50" s="216">
        <f>IF($Y50=0,0,IF('Plant Inputs'!J50="",0,'Plant Inputs'!J50))</f>
        <v>0</v>
      </c>
      <c r="AB50" s="216">
        <f>IF($Y50=0,0,IF('Plant Inputs'!K50="",0,'Plant Inputs'!K50))</f>
        <v>0</v>
      </c>
      <c r="AC50" s="216">
        <f>IF($Y50=0,0,IF('Plant Inputs'!L50="",0,'Plant Inputs'!L50))</f>
        <v>0</v>
      </c>
      <c r="AD50" s="216">
        <f>IF($Y50=0,0,IF('Plant Inputs'!M50="",0,'Plant Inputs'!M50))</f>
        <v>0</v>
      </c>
      <c r="AE50" s="217" t="str">
        <f>'Plant Inputs'!$O50</f>
        <v>mile</v>
      </c>
      <c r="AF50" s="217">
        <f t="shared" si="9"/>
        <v>1.6093473468862911</v>
      </c>
      <c r="AG50" s="216" t="str">
        <f t="shared" si="23"/>
        <v>km/mile</v>
      </c>
      <c r="AH50" s="216">
        <f t="shared" si="31"/>
        <v>0</v>
      </c>
      <c r="AI50" s="216">
        <f t="shared" si="31"/>
        <v>0</v>
      </c>
      <c r="AJ50" s="216">
        <f t="shared" si="31"/>
        <v>0</v>
      </c>
      <c r="AK50" s="216">
        <f t="shared" si="31"/>
        <v>0</v>
      </c>
      <c r="AL50" s="216"/>
      <c r="AM50" s="1" t="str">
        <f t="shared" si="32"/>
        <v>Welded Wire Reinforcement (WWR)</v>
      </c>
      <c r="AN50" t="s">
        <v>127</v>
      </c>
      <c r="AO50">
        <f t="shared" si="33"/>
        <v>0</v>
      </c>
      <c r="AP50" s="1">
        <f t="shared" si="24"/>
        <v>0</v>
      </c>
      <c r="AQ50" s="1" t="str">
        <f t="shared" si="34"/>
        <v>short ton</v>
      </c>
      <c r="AR50" s="1">
        <f t="shared" si="14"/>
        <v>0.90718499588591606</v>
      </c>
      <c r="AS50" s="87" t="str">
        <f t="shared" si="35"/>
        <v>tonne/short ton</v>
      </c>
      <c r="AT50" s="87">
        <f t="shared" si="36"/>
        <v>0</v>
      </c>
      <c r="AU50" s="87">
        <f t="shared" si="37"/>
        <v>0</v>
      </c>
      <c r="AV50" s="87">
        <f t="shared" si="18"/>
        <v>0</v>
      </c>
      <c r="AW50" t="str">
        <f t="shared" si="38"/>
        <v>Welded Wire Reinforcement (WWR)</v>
      </c>
      <c r="AX50" s="148">
        <f t="array" ref="AX50">IFERROR(INDEX(LCIA_Data,MATCH($AO$15&amp;AX$27,LCIA_Rows_B&amp;LCIA_Rows_C,0),MATCH($D50,LCIA_Columns,0)),0)*$AU50</f>
        <v>0</v>
      </c>
      <c r="AY50" s="148">
        <f t="array" ref="AY50">IFERROR(INDEX(LCIA_Data,MATCH($AO$15&amp;AY$27,LCIA_Rows_B&amp;LCIA_Rows_C,0),MATCH($D50,LCIA_Columns,0)),0)*$AU50</f>
        <v>0</v>
      </c>
      <c r="AZ50" s="148">
        <f t="array" ref="AZ50">IFERROR(INDEX(LCIA_Data,MATCH($AO$15&amp;AZ$27,LCIA_Rows_B&amp;LCIA_Rows_C,0),MATCH($D50,LCIA_Columns,0)),0)*$AU50</f>
        <v>0</v>
      </c>
      <c r="BA50" s="148">
        <f t="array" ref="BA50">IFERROR(INDEX(LCIA_Data,MATCH($AO$15&amp;BA$27,LCIA_Rows_B&amp;LCIA_Rows_C,0),MATCH($D50,LCIA_Columns,0)),0)*$AU50</f>
        <v>0</v>
      </c>
      <c r="BB50" s="148">
        <f t="array" ref="BB50">IFERROR(INDEX(LCIA_Data,MATCH($AO$15&amp;BB$27,LCIA_Rows_B&amp;LCIA_Rows_C,0),MATCH($D50,LCIA_Columns,0)),0)*$AU50</f>
        <v>0</v>
      </c>
      <c r="BC50" s="148">
        <f t="array" ref="BC50">IFERROR(INDEX(LCIA_Data,MATCH($AO$15&amp;BC$27,LCIA_Rows_B&amp;LCIA_Rows_C,0),MATCH($D50,LCIA_Columns,0)),0)*$AU50</f>
        <v>0</v>
      </c>
      <c r="BD50" s="148">
        <f t="array" ref="BD50">IFERROR(INDEX(LCIA_Data,MATCH($AO$15&amp;BD$27,LCIA_Rows_B&amp;LCIA_Rows_C,0),MATCH($D50,LCIA_Columns,0)),0)*$AU50</f>
        <v>0</v>
      </c>
      <c r="BE50" s="148">
        <f t="array" ref="BE50">IFERROR(INDEX(LCIA_Data,MATCH($AO$15&amp;BE$27,LCIA_Rows_B&amp;LCIA_Rows_C,0),MATCH($D50,LCIA_Columns,0)),0)*$AU50</f>
        <v>0</v>
      </c>
      <c r="BF50" s="148">
        <f t="array" ref="BF50">IFERROR(INDEX(LCIA_Data,MATCH($AO$15&amp;BF$27,LCIA_Rows_B&amp;LCIA_Rows_C,0),MATCH($D50,LCIA_Columns,0)),0)*$AU50</f>
        <v>0</v>
      </c>
      <c r="BG50" s="148">
        <f t="array" ref="BG50">IFERROR(INDEX(LCIA_Data,MATCH($AO$15&amp;BG$27,LCIA_Rows_B&amp;LCIA_Rows_C,0),MATCH($D50,LCIA_Columns,0)),0)*$AU50</f>
        <v>0</v>
      </c>
      <c r="BH50" s="148">
        <f t="array" ref="BH50">IFERROR(INDEX(LCIA_Data,MATCH($AO$15&amp;BH$27,LCIA_Rows_B&amp;LCIA_Rows_C,0),MATCH($D50,LCIA_Columns,0)),0)*$AU50</f>
        <v>0</v>
      </c>
      <c r="BI50" s="148">
        <f t="array" ref="BI50">IFERROR(INDEX(LCIA_Data,MATCH($AO$15&amp;BI$27,LCIA_Rows_B&amp;LCIA_Rows_C,0),MATCH($D50,LCIA_Columns,0)),0)*$AU50</f>
        <v>0</v>
      </c>
      <c r="BJ50" s="148">
        <f t="array" ref="BJ50">IFERROR(INDEX(LCIA_Data,MATCH($AO$15&amp;BJ$27,LCIA_Rows_B&amp;LCIA_Rows_C,0),MATCH($D50,LCIA_Columns,0)),0)*$AU50</f>
        <v>0</v>
      </c>
      <c r="BK50" s="148">
        <f t="array" ref="BK50">IFERROR(INDEX(LCIA_Data,MATCH($AO$15&amp;BK$27,LCIA_Rows_B&amp;LCIA_Rows_C,0),MATCH($D50,LCIA_Columns,0)),0)*$AU50</f>
        <v>0</v>
      </c>
      <c r="BM50" s="1">
        <f t="array" ref="BM50">IFERROR(INDEX(LCIA_Data,MATCH($AO$15&amp;BM$27,LCIA_Rows_B&amp;LCIA_Rows_C,0),MATCH(BM$26,LCIA_Columns,0)),0)*$AT50*$AH50*$BN$23</f>
        <v>0</v>
      </c>
      <c r="BN50" s="1">
        <f t="array" ref="BN50">IFERROR(INDEX(LCIA_Data,MATCH($AO$15&amp;BN$27,LCIA_Rows_B&amp;LCIA_Rows_C,0),MATCH(BN$26,LCIA_Columns,0)),0)*$AT50*$AH50*$BN$23</f>
        <v>0</v>
      </c>
      <c r="BO50" s="1">
        <f t="array" ref="BO50">IFERROR(INDEX(LCIA_Data,MATCH($AO$15&amp;BO$27,LCIA_Rows_B&amp;LCIA_Rows_C,0),MATCH(BO$26,LCIA_Columns,0)),0)*$AT50*$AH50*$BN$23</f>
        <v>0</v>
      </c>
      <c r="BP50" s="1">
        <f t="array" ref="BP50">IFERROR(INDEX(LCIA_Data,MATCH($AO$15&amp;BP$27,LCIA_Rows_B&amp;LCIA_Rows_C,0),MATCH(BP$26,LCIA_Columns,0)),0)*$AT50*$AH50*$BN$23</f>
        <v>0</v>
      </c>
      <c r="BQ50" s="1">
        <f t="array" ref="BQ50">IFERROR(INDEX(LCIA_Data,MATCH($AO$15&amp;BQ$27,LCIA_Rows_B&amp;LCIA_Rows_C,0),MATCH(BQ$26,LCIA_Columns,0)),0)*$AT50*$AH50*$BN$23</f>
        <v>0</v>
      </c>
      <c r="BR50" s="1">
        <f t="array" ref="BR50">IFERROR(INDEX(LCIA_Data,MATCH($AO$15&amp;BR$27,LCIA_Rows_B&amp;LCIA_Rows_C,0),MATCH(BR$26,LCIA_Columns,0)),0)*$AT50*$AH50*$BN$23</f>
        <v>0</v>
      </c>
      <c r="BS50" s="1">
        <f t="array" ref="BS50">IFERROR(INDEX(LCIA_Data,MATCH($AO$15&amp;BS$27,LCIA_Rows_B&amp;LCIA_Rows_C,0),MATCH(BS$26,LCIA_Columns,0)),0)*$AT50*$AH50*$BN$23</f>
        <v>0</v>
      </c>
      <c r="BT50" s="1">
        <f t="array" ref="BT50">IFERROR(INDEX(LCIA_Data,MATCH($AO$15&amp;BT$27,LCIA_Rows_B&amp;LCIA_Rows_C,0),MATCH(BT$26,LCIA_Columns,0)),0)*$AT50*$AH50*$BN$23</f>
        <v>0</v>
      </c>
      <c r="BU50" s="1">
        <f t="array" ref="BU50">IFERROR(INDEX(LCIA_Data,MATCH($AO$15&amp;BU$27,LCIA_Rows_B&amp;LCIA_Rows_C,0),MATCH(BU$26,LCIA_Columns,0)),0)*$AT50*$AH50*$BN$23</f>
        <v>0</v>
      </c>
      <c r="BV50" s="1">
        <f t="array" ref="BV50">IFERROR(INDEX(LCIA_Data,MATCH($AO$15&amp;BV$27,LCIA_Rows_B&amp;LCIA_Rows_C,0),MATCH(BV$26,LCIA_Columns,0)),0)*$AT50*$AH50*$BN$23</f>
        <v>0</v>
      </c>
      <c r="BW50" s="1">
        <f t="array" ref="BW50">IFERROR(INDEX(LCIA_Data,MATCH($AO$15&amp;BW$27,LCIA_Rows_B&amp;LCIA_Rows_C,0),MATCH(BW$26,LCIA_Columns,0)),0)*$AT50*$AH50*$BN$23</f>
        <v>0</v>
      </c>
      <c r="BX50" s="1">
        <f t="array" ref="BX50">IFERROR(INDEX(LCIA_Data,MATCH($AO$15&amp;BX$27,LCIA_Rows_B&amp;LCIA_Rows_C,0),MATCH(BX$26,LCIA_Columns,0)),0)*$AT50*$AH50*$BN$23</f>
        <v>0</v>
      </c>
      <c r="BY50" s="1">
        <f t="array" ref="BY50">IFERROR(INDEX(LCIA_Data,MATCH($AO$15&amp;BY$27,LCIA_Rows_B&amp;LCIA_Rows_C,0),MATCH(BY$26,LCIA_Columns,0)),0)*$AT50*$AH50*$BN$23</f>
        <v>0</v>
      </c>
      <c r="BZ50" s="1">
        <f t="array" ref="BZ50">IFERROR(INDEX(LCIA_Data,MATCH($AO$15&amp;BZ$27,LCIA_Rows_B&amp;LCIA_Rows_C,0),MATCH(BZ$26,LCIA_Columns,0)),0)*$AT50*$AH50*$BN$23</f>
        <v>0</v>
      </c>
      <c r="CA50" s="1">
        <f t="array" ref="CA50">IFERROR(INDEX(LCIA_Data,MATCH($AO$15&amp;CA$27,LCIA_Rows_B&amp;LCIA_Rows_C,0),MATCH(CA$26,LCIA_Columns,0)),0)*$AT50*$AI50*$BN$23</f>
        <v>0</v>
      </c>
      <c r="CB50" s="1">
        <f t="array" ref="CB50">IFERROR(INDEX(LCIA_Data,MATCH($AO$15&amp;CB$27,LCIA_Rows_B&amp;LCIA_Rows_C,0),MATCH(CB$26,LCIA_Columns,0)),0)*$AT50*$AI50*$BN$23</f>
        <v>0</v>
      </c>
      <c r="CC50" s="1">
        <f t="array" ref="CC50">IFERROR(INDEX(LCIA_Data,MATCH($AO$15&amp;CC$27,LCIA_Rows_B&amp;LCIA_Rows_C,0),MATCH(CC$26,LCIA_Columns,0)),0)*$AT50*$AI50*$BN$23</f>
        <v>0</v>
      </c>
      <c r="CD50" s="1">
        <f t="array" ref="CD50">IFERROR(INDEX(LCIA_Data,MATCH($AO$15&amp;CD$27,LCIA_Rows_B&amp;LCIA_Rows_C,0),MATCH(CD$26,LCIA_Columns,0)),0)*$AT50*$AI50*$BN$23</f>
        <v>0</v>
      </c>
      <c r="CE50" s="1">
        <f t="array" ref="CE50">IFERROR(INDEX(LCIA_Data,MATCH($AO$15&amp;CE$27,LCIA_Rows_B&amp;LCIA_Rows_C,0),MATCH(CE$26,LCIA_Columns,0)),0)*$AT50*$AI50*$BN$23</f>
        <v>0</v>
      </c>
      <c r="CF50" s="1">
        <f t="array" ref="CF50">IFERROR(INDEX(LCIA_Data,MATCH($AO$15&amp;CF$27,LCIA_Rows_B&amp;LCIA_Rows_C,0),MATCH(CF$26,LCIA_Columns,0)),0)*$AT50*$AI50*$BN$23</f>
        <v>0</v>
      </c>
      <c r="CG50" s="1">
        <f t="array" ref="CG50">IFERROR(INDEX(LCIA_Data,MATCH($AO$15&amp;CG$27,LCIA_Rows_B&amp;LCIA_Rows_C,0),MATCH(CG$26,LCIA_Columns,0)),0)*$AT50*$AI50*$BN$23</f>
        <v>0</v>
      </c>
      <c r="CH50" s="1">
        <f t="array" ref="CH50">IFERROR(INDEX(LCIA_Data,MATCH($AO$15&amp;CH$27,LCIA_Rows_B&amp;LCIA_Rows_C,0),MATCH(CH$26,LCIA_Columns,0)),0)*$AT50*$AI50*$BN$23</f>
        <v>0</v>
      </c>
      <c r="CI50" s="1">
        <f t="array" ref="CI50">IFERROR(INDEX(LCIA_Data,MATCH($AO$15&amp;CI$27,LCIA_Rows_B&amp;LCIA_Rows_C,0),MATCH(CI$26,LCIA_Columns,0)),0)*$AT50*$AI50*$BN$23</f>
        <v>0</v>
      </c>
      <c r="CJ50" s="1">
        <f t="array" ref="CJ50">IFERROR(INDEX(LCIA_Data,MATCH($AO$15&amp;CJ$27,LCIA_Rows_B&amp;LCIA_Rows_C,0),MATCH(CJ$26,LCIA_Columns,0)),0)*$AT50*$AI50*$BN$23</f>
        <v>0</v>
      </c>
      <c r="CK50" s="1">
        <f t="array" ref="CK50">IFERROR(INDEX(LCIA_Data,MATCH($AO$15&amp;CK$27,LCIA_Rows_B&amp;LCIA_Rows_C,0),MATCH(CK$26,LCIA_Columns,0)),0)*$AT50*$AI50*$BN$23</f>
        <v>0</v>
      </c>
      <c r="CL50" s="1">
        <f t="array" ref="CL50">IFERROR(INDEX(LCIA_Data,MATCH($AO$15&amp;CL$27,LCIA_Rows_B&amp;LCIA_Rows_C,0),MATCH(CL$26,LCIA_Columns,0)),0)*$AT50*$AI50*$BN$23</f>
        <v>0</v>
      </c>
      <c r="CM50" s="1">
        <f t="array" ref="CM50">IFERROR(INDEX(LCIA_Data,MATCH($AO$15&amp;CM$27,LCIA_Rows_B&amp;LCIA_Rows_C,0),MATCH(CM$26,LCIA_Columns,0)),0)*$AT50*$AJ50*$BN$23</f>
        <v>0</v>
      </c>
      <c r="CN50" s="1">
        <f t="array" ref="CN50">IFERROR(INDEX(LCIA_Data,MATCH($AO$15&amp;CN$27,LCIA_Rows_B&amp;LCIA_Rows_C,0),MATCH(CN$26,LCIA_Columns,0)),0)*$AT50*$AJ50*$BN$23</f>
        <v>0</v>
      </c>
      <c r="CO50" s="1">
        <f t="array" ref="CO50">IFERROR(INDEX(LCIA_Data,MATCH($AO$15&amp;CO$27,LCIA_Rows_B&amp;LCIA_Rows_C,0),MATCH(CO$26,LCIA_Columns,0)),0)*$AT50*$AJ50*$BN$23</f>
        <v>0</v>
      </c>
      <c r="CP50" s="1">
        <f t="array" ref="CP50">IFERROR(INDEX(LCIA_Data,MATCH($AO$15&amp;CP$27,LCIA_Rows_B&amp;LCIA_Rows_C,0),MATCH(CP$26,LCIA_Columns,0)),0)*$AT50*$AJ50*$BN$23</f>
        <v>0</v>
      </c>
      <c r="CQ50" s="1">
        <f t="array" ref="CQ50">IFERROR(INDEX(LCIA_Data,MATCH($AO$15&amp;CQ$27,LCIA_Rows_B&amp;LCIA_Rows_C,0),MATCH(CQ$26,LCIA_Columns,0)),0)*$AT50*$AJ50*$BN$23</f>
        <v>0</v>
      </c>
      <c r="CR50" s="1">
        <f t="array" ref="CR50">IFERROR(INDEX(LCIA_Data,MATCH($AO$15&amp;CR$27,LCIA_Rows_B&amp;LCIA_Rows_C,0),MATCH(CR$26,LCIA_Columns,0)),0)*$AT50*$AJ50*$BN$23</f>
        <v>0</v>
      </c>
      <c r="CS50" s="1">
        <f t="array" ref="CS50">IFERROR(INDEX(LCIA_Data,MATCH($AO$15&amp;CS$27,LCIA_Rows_B&amp;LCIA_Rows_C,0),MATCH(CS$26,LCIA_Columns,0)),0)*$AT50*$AJ50*$BN$23</f>
        <v>0</v>
      </c>
      <c r="CT50" s="1">
        <f t="array" ref="CT50">IFERROR(INDEX(LCIA_Data,MATCH($AO$15&amp;CT$27,LCIA_Rows_B&amp;LCIA_Rows_C,0),MATCH(CT$26,LCIA_Columns,0)),0)*$AT50*$AJ50*$BN$23</f>
        <v>0</v>
      </c>
      <c r="CU50" s="1">
        <f t="array" ref="CU50">IFERROR(INDEX(LCIA_Data,MATCH($AO$15&amp;CU$27,LCIA_Rows_B&amp;LCIA_Rows_C,0),MATCH(CU$26,LCIA_Columns,0)),0)*$AT50*$AJ50*$BN$23</f>
        <v>0</v>
      </c>
      <c r="CV50" s="1">
        <f t="array" ref="CV50">IFERROR(INDEX(LCIA_Data,MATCH($AO$15&amp;CV$27,LCIA_Rows_B&amp;LCIA_Rows_C,0),MATCH(CV$26,LCIA_Columns,0)),0)*$AT50*$AJ50*$BN$23</f>
        <v>0</v>
      </c>
      <c r="CW50" s="1">
        <f t="array" ref="CW50">IFERROR(INDEX(LCIA_Data,MATCH($AO$15&amp;CW$27,LCIA_Rows_B&amp;LCIA_Rows_C,0),MATCH(CW$26,LCIA_Columns,0)),0)*$AT50*$AJ50*$BN$23</f>
        <v>0</v>
      </c>
      <c r="CX50" s="1">
        <f t="array" ref="CX50">IFERROR(INDEX(LCIA_Data,MATCH($AO$15&amp;CX$27,LCIA_Rows_B&amp;LCIA_Rows_C,0),MATCH(CX$26,LCIA_Columns,0)),0)*$AT50*$AJ50*$BN$23</f>
        <v>0</v>
      </c>
      <c r="CY50" s="1">
        <f t="array" ref="CY50">IFERROR(INDEX(LCIA_Data,MATCH($AO$15&amp;CY$27,LCIA_Rows_B&amp;LCIA_Rows_C,0),MATCH(CY$26,LCIA_Columns,0)),0)*$AT50*$AJ50*$BN$23</f>
        <v>0</v>
      </c>
      <c r="CZ50" s="1">
        <f t="array" ref="CZ50">IFERROR(INDEX(LCIA_Data,MATCH($AO$15&amp;CZ$27,LCIA_Rows_B&amp;LCIA_Rows_C,0),MATCH(CZ$26,LCIA_Columns,0)),0)*$AT50*$AJ50*$BN$23</f>
        <v>0</v>
      </c>
      <c r="DA50" s="1">
        <f t="array" ref="DA50">IFERROR(INDEX(LCIA_Data,MATCH($AO$15&amp;DA$27,LCIA_Rows_B&amp;LCIA_Rows_C,0),MATCH(DA$26,LCIA_Columns,0)),0)*$AT50*$AK50*$BN$23</f>
        <v>0</v>
      </c>
      <c r="DB50" s="1">
        <f t="array" ref="DB50">IFERROR(INDEX(LCIA_Data,MATCH($AO$15&amp;DB$27,LCIA_Rows_B&amp;LCIA_Rows_C,0),MATCH(DB$26,LCIA_Columns,0)),0)*$AT50*$AK50*$BN$23</f>
        <v>0</v>
      </c>
      <c r="DC50" s="1">
        <f t="array" ref="DC50">IFERROR(INDEX(LCIA_Data,MATCH($AO$15&amp;DC$27,LCIA_Rows_B&amp;LCIA_Rows_C,0),MATCH(DC$26,LCIA_Columns,0)),0)*$AT50*$AK50*$BN$23</f>
        <v>0</v>
      </c>
      <c r="DD50" s="1">
        <f t="array" ref="DD50">IFERROR(INDEX(LCIA_Data,MATCH($AO$15&amp;DD$27,LCIA_Rows_B&amp;LCIA_Rows_C,0),MATCH(DD$26,LCIA_Columns,0)),0)*$AT50*$AK50*$BN$23</f>
        <v>0</v>
      </c>
      <c r="DE50" s="1">
        <f t="array" ref="DE50">IFERROR(INDEX(LCIA_Data,MATCH($AO$15&amp;DE$27,LCIA_Rows_B&amp;LCIA_Rows_C,0),MATCH(DE$26,LCIA_Columns,0)),0)*$AT50*$AK50*$BN$23</f>
        <v>0</v>
      </c>
      <c r="DF50" s="1">
        <f t="array" ref="DF50">IFERROR(INDEX(LCIA_Data,MATCH($AO$15&amp;DF$27,LCIA_Rows_B&amp;LCIA_Rows_C,0),MATCH(DF$26,LCIA_Columns,0)),0)*$AT50*$AK50*$BN$23</f>
        <v>0</v>
      </c>
      <c r="DG50" s="1">
        <f t="array" ref="DG50">IFERROR(INDEX(LCIA_Data,MATCH($AO$15&amp;DG$27,LCIA_Rows_B&amp;LCIA_Rows_C,0),MATCH(DG$26,LCIA_Columns,0)),0)*$AT50*$AK50*$BN$23</f>
        <v>0</v>
      </c>
      <c r="DH50" s="1">
        <f t="array" ref="DH50">IFERROR(INDEX(LCIA_Data,MATCH($AO$15&amp;DH$27,LCIA_Rows_B&amp;LCIA_Rows_C,0),MATCH(DH$26,LCIA_Columns,0)),0)*$AT50*$AK50*$BN$23</f>
        <v>0</v>
      </c>
      <c r="DI50" s="1">
        <f t="array" ref="DI50">IFERROR(INDEX(LCIA_Data,MATCH($AO$15&amp;DI$27,LCIA_Rows_B&amp;LCIA_Rows_C,0),MATCH(DI$26,LCIA_Columns,0)),0)*$AT50*$AK50*$BN$23</f>
        <v>0</v>
      </c>
      <c r="DJ50" s="1">
        <f t="array" ref="DJ50">IFERROR(INDEX(LCIA_Data,MATCH($AO$15&amp;DJ$27,LCIA_Rows_B&amp;LCIA_Rows_C,0),MATCH(DJ$26,LCIA_Columns,0)),0)*$AT50*$AK50*$BN$23</f>
        <v>0</v>
      </c>
      <c r="DK50" s="1">
        <f t="array" ref="DK50">IFERROR(INDEX(LCIA_Data,MATCH($AO$15&amp;DK$27,LCIA_Rows_B&amp;LCIA_Rows_C,0),MATCH(DK$26,LCIA_Columns,0)),0)*$AT50*$AK50*$BN$23</f>
        <v>0</v>
      </c>
      <c r="DL50" s="1">
        <f t="array" ref="DL50">IFERROR(INDEX(LCIA_Data,MATCH($AO$15&amp;DL$27,LCIA_Rows_B&amp;LCIA_Rows_C,0),MATCH(DL$26,LCIA_Columns,0)),0)*$AT50*$AK50*$BN$23</f>
        <v>0</v>
      </c>
      <c r="DM50" s="1">
        <f t="array" ref="DM50">IFERROR(INDEX(LCIA_Data,MATCH($AO$15&amp;DM$27,LCIA_Rows_B&amp;LCIA_Rows_C,0),MATCH(DM$26,LCIA_Columns,0)),0)*$AT50*$AK50*$BN$23</f>
        <v>0</v>
      </c>
      <c r="DN50" s="1">
        <f t="array" ref="DN50">IFERROR(INDEX(LCIA_Data,MATCH($AO$15&amp;DN$27,LCIA_Rows_B&amp;LCIA_Rows_C,0),MATCH(DN$26,LCIA_Columns,0)),0)*$AT50*$AK50*$BN$23</f>
        <v>0</v>
      </c>
      <c r="DO50">
        <f t="shared" ref="DO50:DV64" si="41">BM50+CA50+CM50+DA50</f>
        <v>0</v>
      </c>
      <c r="DP50">
        <f t="shared" si="41"/>
        <v>0</v>
      </c>
      <c r="DQ50">
        <f t="shared" si="41"/>
        <v>0</v>
      </c>
      <c r="DR50">
        <f t="shared" si="41"/>
        <v>0</v>
      </c>
      <c r="DS50">
        <f t="shared" si="41"/>
        <v>0</v>
      </c>
      <c r="DT50">
        <f t="shared" si="41"/>
        <v>0</v>
      </c>
      <c r="DU50">
        <f t="shared" si="41"/>
        <v>0</v>
      </c>
      <c r="DV50">
        <f t="shared" si="41"/>
        <v>0</v>
      </c>
      <c r="DW50">
        <f t="shared" si="40"/>
        <v>0</v>
      </c>
      <c r="DX50">
        <f t="shared" si="40"/>
        <v>0</v>
      </c>
      <c r="DY50">
        <f t="shared" si="40"/>
        <v>0</v>
      </c>
      <c r="DZ50">
        <f t="shared" si="40"/>
        <v>0</v>
      </c>
      <c r="EA50">
        <f t="shared" si="40"/>
        <v>0</v>
      </c>
      <c r="EB50">
        <f t="shared" si="21"/>
        <v>0</v>
      </c>
      <c r="EC50"/>
      <c r="ED50"/>
      <c r="EE50"/>
      <c r="EF50"/>
      <c r="EG50"/>
    </row>
    <row r="51" spans="2:137" ht="15" customHeight="1" thickBot="1">
      <c r="B51" s="53">
        <f t="shared" si="29"/>
        <v>0</v>
      </c>
      <c r="C51" s="32">
        <f t="shared" si="22"/>
        <v>22</v>
      </c>
      <c r="D51" s="47" t="str">
        <f>'Plant Inputs'!$D51</f>
        <v>Steel Anchors</v>
      </c>
      <c r="E51" s="102"/>
      <c r="F51" s="231" t="str">
        <f t="shared" si="39"/>
        <v>short ton</v>
      </c>
      <c r="G51" s="228">
        <f t="shared" si="26"/>
        <v>0</v>
      </c>
      <c r="H51" s="227" t="str">
        <f t="shared" si="7"/>
        <v>short ton</v>
      </c>
      <c r="I51" s="397">
        <f t="shared" si="8"/>
        <v>0</v>
      </c>
      <c r="J51"/>
      <c r="K51"/>
      <c r="L51"/>
      <c r="M51"/>
      <c r="N51"/>
      <c r="O51"/>
      <c r="P51"/>
      <c r="Q51"/>
      <c r="R51"/>
      <c r="S51"/>
      <c r="T51"/>
      <c r="X51" s="67">
        <f t="shared" si="30"/>
        <v>0</v>
      </c>
      <c r="Y51" s="216">
        <f>IF(AND($X51=1,'Plant Inputs'!$Y51=1),1,0)</f>
        <v>0</v>
      </c>
      <c r="Z51" s="216"/>
      <c r="AA51" s="216">
        <f>IF($Y51=0,0,IF('Plant Inputs'!J51="",0,'Plant Inputs'!J51))</f>
        <v>0</v>
      </c>
      <c r="AB51" s="216">
        <f>IF($Y51=0,0,IF('Plant Inputs'!K51="",0,'Plant Inputs'!K51))</f>
        <v>0</v>
      </c>
      <c r="AC51" s="216">
        <f>IF($Y51=0,0,IF('Plant Inputs'!L51="",0,'Plant Inputs'!L51))</f>
        <v>0</v>
      </c>
      <c r="AD51" s="216">
        <f>IF($Y51=0,0,IF('Plant Inputs'!M51="",0,'Plant Inputs'!M51))</f>
        <v>0</v>
      </c>
      <c r="AE51" s="217" t="str">
        <f>'Plant Inputs'!$O51</f>
        <v>mile</v>
      </c>
      <c r="AF51" s="217">
        <f t="shared" si="9"/>
        <v>1.6093473468862911</v>
      </c>
      <c r="AG51" s="216" t="str">
        <f t="shared" si="23"/>
        <v>km/mile</v>
      </c>
      <c r="AH51" s="216">
        <f t="shared" si="31"/>
        <v>0</v>
      </c>
      <c r="AI51" s="216">
        <f t="shared" si="31"/>
        <v>0</v>
      </c>
      <c r="AJ51" s="216">
        <f t="shared" si="31"/>
        <v>0</v>
      </c>
      <c r="AK51" s="216">
        <f t="shared" si="31"/>
        <v>0</v>
      </c>
      <c r="AL51" s="216"/>
      <c r="AM51" s="1" t="str">
        <f t="shared" si="32"/>
        <v>Steel Anchors</v>
      </c>
      <c r="AN51" t="s">
        <v>127</v>
      </c>
      <c r="AO51">
        <f t="shared" si="33"/>
        <v>0</v>
      </c>
      <c r="AP51" s="1">
        <f t="shared" si="24"/>
        <v>0</v>
      </c>
      <c r="AQ51" s="1" t="str">
        <f t="shared" si="34"/>
        <v>short ton</v>
      </c>
      <c r="AR51" s="1">
        <f t="shared" si="14"/>
        <v>0.90718499588591606</v>
      </c>
      <c r="AS51" s="87" t="str">
        <f t="shared" si="35"/>
        <v>tonne/short ton</v>
      </c>
      <c r="AT51" s="87">
        <f t="shared" si="36"/>
        <v>0</v>
      </c>
      <c r="AU51" s="87">
        <f t="shared" si="37"/>
        <v>0</v>
      </c>
      <c r="AV51" s="87">
        <f t="shared" si="18"/>
        <v>0</v>
      </c>
      <c r="AW51" t="str">
        <f t="shared" si="38"/>
        <v>Steel Anchors</v>
      </c>
      <c r="AX51" s="148">
        <f t="array" ref="AX51">IFERROR(INDEX(LCIA_Data,MATCH($AO$15&amp;AX$27,LCIA_Rows_B&amp;LCIA_Rows_C,0),MATCH($D51,LCIA_Columns,0)),0)*$AU51</f>
        <v>0</v>
      </c>
      <c r="AY51" s="148">
        <f t="array" ref="AY51">IFERROR(INDEX(LCIA_Data,MATCH($AO$15&amp;AY$27,LCIA_Rows_B&amp;LCIA_Rows_C,0),MATCH($D51,LCIA_Columns,0)),0)*$AU51</f>
        <v>0</v>
      </c>
      <c r="AZ51" s="148">
        <f t="array" ref="AZ51">IFERROR(INDEX(LCIA_Data,MATCH($AO$15&amp;AZ$27,LCIA_Rows_B&amp;LCIA_Rows_C,0),MATCH($D51,LCIA_Columns,0)),0)*$AU51</f>
        <v>0</v>
      </c>
      <c r="BA51" s="148">
        <f t="array" ref="BA51">IFERROR(INDEX(LCIA_Data,MATCH($AO$15&amp;BA$27,LCIA_Rows_B&amp;LCIA_Rows_C,0),MATCH($D51,LCIA_Columns,0)),0)*$AU51</f>
        <v>0</v>
      </c>
      <c r="BB51" s="148">
        <f t="array" ref="BB51">IFERROR(INDEX(LCIA_Data,MATCH($AO$15&amp;BB$27,LCIA_Rows_B&amp;LCIA_Rows_C,0),MATCH($D51,LCIA_Columns,0)),0)*$AU51</f>
        <v>0</v>
      </c>
      <c r="BC51" s="148">
        <f t="array" ref="BC51">IFERROR(INDEX(LCIA_Data,MATCH($AO$15&amp;BC$27,LCIA_Rows_B&amp;LCIA_Rows_C,0),MATCH($D51,LCIA_Columns,0)),0)*$AU51</f>
        <v>0</v>
      </c>
      <c r="BD51" s="148">
        <f t="array" ref="BD51">IFERROR(INDEX(LCIA_Data,MATCH($AO$15&amp;BD$27,LCIA_Rows_B&amp;LCIA_Rows_C,0),MATCH($D51,LCIA_Columns,0)),0)*$AU51</f>
        <v>0</v>
      </c>
      <c r="BE51" s="148">
        <f t="array" ref="BE51">IFERROR(INDEX(LCIA_Data,MATCH($AO$15&amp;BE$27,LCIA_Rows_B&amp;LCIA_Rows_C,0),MATCH($D51,LCIA_Columns,0)),0)*$AU51</f>
        <v>0</v>
      </c>
      <c r="BF51" s="148">
        <f t="array" ref="BF51">IFERROR(INDEX(LCIA_Data,MATCH($AO$15&amp;BF$27,LCIA_Rows_B&amp;LCIA_Rows_C,0),MATCH($D51,LCIA_Columns,0)),0)*$AU51</f>
        <v>0</v>
      </c>
      <c r="BG51" s="148">
        <f t="array" ref="BG51">IFERROR(INDEX(LCIA_Data,MATCH($AO$15&amp;BG$27,LCIA_Rows_B&amp;LCIA_Rows_C,0),MATCH($D51,LCIA_Columns,0)),0)*$AU51</f>
        <v>0</v>
      </c>
      <c r="BH51" s="148">
        <f t="array" ref="BH51">IFERROR(INDEX(LCIA_Data,MATCH($AO$15&amp;BH$27,LCIA_Rows_B&amp;LCIA_Rows_C,0),MATCH($D51,LCIA_Columns,0)),0)*$AU51</f>
        <v>0</v>
      </c>
      <c r="BI51" s="148">
        <f t="array" ref="BI51">IFERROR(INDEX(LCIA_Data,MATCH($AO$15&amp;BI$27,LCIA_Rows_B&amp;LCIA_Rows_C,0),MATCH($D51,LCIA_Columns,0)),0)*$AU51</f>
        <v>0</v>
      </c>
      <c r="BJ51" s="148">
        <f t="array" ref="BJ51">IFERROR(INDEX(LCIA_Data,MATCH($AO$15&amp;BJ$27,LCIA_Rows_B&amp;LCIA_Rows_C,0),MATCH($D51,LCIA_Columns,0)),0)*$AU51</f>
        <v>0</v>
      </c>
      <c r="BK51" s="148">
        <f t="array" ref="BK51">IFERROR(INDEX(LCIA_Data,MATCH($AO$15&amp;BK$27,LCIA_Rows_B&amp;LCIA_Rows_C,0),MATCH($D51,LCIA_Columns,0)),0)*$AU51</f>
        <v>0</v>
      </c>
      <c r="BM51" s="1">
        <f t="array" ref="BM51">IFERROR(INDEX(LCIA_Data,MATCH($AO$15&amp;BM$27,LCIA_Rows_B&amp;LCIA_Rows_C,0),MATCH(BM$26,LCIA_Columns,0)),0)*$AT51*$AH51*$BN$23</f>
        <v>0</v>
      </c>
      <c r="BN51" s="1">
        <f t="array" ref="BN51">IFERROR(INDEX(LCIA_Data,MATCH($AO$15&amp;BN$27,LCIA_Rows_B&amp;LCIA_Rows_C,0),MATCH(BN$26,LCIA_Columns,0)),0)*$AT51*$AH51*$BN$23</f>
        <v>0</v>
      </c>
      <c r="BO51" s="1">
        <f t="array" ref="BO51">IFERROR(INDEX(LCIA_Data,MATCH($AO$15&amp;BO$27,LCIA_Rows_B&amp;LCIA_Rows_C,0),MATCH(BO$26,LCIA_Columns,0)),0)*$AT51*$AH51*$BN$23</f>
        <v>0</v>
      </c>
      <c r="BP51" s="1">
        <f t="array" ref="BP51">IFERROR(INDEX(LCIA_Data,MATCH($AO$15&amp;BP$27,LCIA_Rows_B&amp;LCIA_Rows_C,0),MATCH(BP$26,LCIA_Columns,0)),0)*$AT51*$AH51*$BN$23</f>
        <v>0</v>
      </c>
      <c r="BQ51" s="1">
        <f t="array" ref="BQ51">IFERROR(INDEX(LCIA_Data,MATCH($AO$15&amp;BQ$27,LCIA_Rows_B&amp;LCIA_Rows_C,0),MATCH(BQ$26,LCIA_Columns,0)),0)*$AT51*$AH51*$BN$23</f>
        <v>0</v>
      </c>
      <c r="BR51" s="1">
        <f t="array" ref="BR51">IFERROR(INDEX(LCIA_Data,MATCH($AO$15&amp;BR$27,LCIA_Rows_B&amp;LCIA_Rows_C,0),MATCH(BR$26,LCIA_Columns,0)),0)*$AT51*$AH51*$BN$23</f>
        <v>0</v>
      </c>
      <c r="BS51" s="1">
        <f t="array" ref="BS51">IFERROR(INDEX(LCIA_Data,MATCH($AO$15&amp;BS$27,LCIA_Rows_B&amp;LCIA_Rows_C,0),MATCH(BS$26,LCIA_Columns,0)),0)*$AT51*$AH51*$BN$23</f>
        <v>0</v>
      </c>
      <c r="BT51" s="1">
        <f t="array" ref="BT51">IFERROR(INDEX(LCIA_Data,MATCH($AO$15&amp;BT$27,LCIA_Rows_B&amp;LCIA_Rows_C,0),MATCH(BT$26,LCIA_Columns,0)),0)*$AT51*$AH51*$BN$23</f>
        <v>0</v>
      </c>
      <c r="BU51" s="1">
        <f t="array" ref="BU51">IFERROR(INDEX(LCIA_Data,MATCH($AO$15&amp;BU$27,LCIA_Rows_B&amp;LCIA_Rows_C,0),MATCH(BU$26,LCIA_Columns,0)),0)*$AT51*$AH51*$BN$23</f>
        <v>0</v>
      </c>
      <c r="BV51" s="1">
        <f t="array" ref="BV51">IFERROR(INDEX(LCIA_Data,MATCH($AO$15&amp;BV$27,LCIA_Rows_B&amp;LCIA_Rows_C,0),MATCH(BV$26,LCIA_Columns,0)),0)*$AT51*$AH51*$BN$23</f>
        <v>0</v>
      </c>
      <c r="BW51" s="1">
        <f t="array" ref="BW51">IFERROR(INDEX(LCIA_Data,MATCH($AO$15&amp;BW$27,LCIA_Rows_B&amp;LCIA_Rows_C,0),MATCH(BW$26,LCIA_Columns,0)),0)*$AT51*$AH51*$BN$23</f>
        <v>0</v>
      </c>
      <c r="BX51" s="1">
        <f t="array" ref="BX51">IFERROR(INDEX(LCIA_Data,MATCH($AO$15&amp;BX$27,LCIA_Rows_B&amp;LCIA_Rows_C,0),MATCH(BX$26,LCIA_Columns,0)),0)*$AT51*$AH51*$BN$23</f>
        <v>0</v>
      </c>
      <c r="BY51" s="1">
        <f t="array" ref="BY51">IFERROR(INDEX(LCIA_Data,MATCH($AO$15&amp;BY$27,LCIA_Rows_B&amp;LCIA_Rows_C,0),MATCH(BY$26,LCIA_Columns,0)),0)*$AT51*$AH51*$BN$23</f>
        <v>0</v>
      </c>
      <c r="BZ51" s="1">
        <f t="array" ref="BZ51">IFERROR(INDEX(LCIA_Data,MATCH($AO$15&amp;BZ$27,LCIA_Rows_B&amp;LCIA_Rows_C,0),MATCH(BZ$26,LCIA_Columns,0)),0)*$AT51*$AH51*$BN$23</f>
        <v>0</v>
      </c>
      <c r="CA51" s="1">
        <f t="array" ref="CA51">IFERROR(INDEX(LCIA_Data,MATCH($AO$15&amp;CA$27,LCIA_Rows_B&amp;LCIA_Rows_C,0),MATCH(CA$26,LCIA_Columns,0)),0)*$AT51*$AI51*$BN$23</f>
        <v>0</v>
      </c>
      <c r="CB51" s="1">
        <f t="array" ref="CB51">IFERROR(INDEX(LCIA_Data,MATCH($AO$15&amp;CB$27,LCIA_Rows_B&amp;LCIA_Rows_C,0),MATCH(CB$26,LCIA_Columns,0)),0)*$AT51*$AI51*$BN$23</f>
        <v>0</v>
      </c>
      <c r="CC51" s="1">
        <f t="array" ref="CC51">IFERROR(INDEX(LCIA_Data,MATCH($AO$15&amp;CC$27,LCIA_Rows_B&amp;LCIA_Rows_C,0),MATCH(CC$26,LCIA_Columns,0)),0)*$AT51*$AI51*$BN$23</f>
        <v>0</v>
      </c>
      <c r="CD51" s="1">
        <f t="array" ref="CD51">IFERROR(INDEX(LCIA_Data,MATCH($AO$15&amp;CD$27,LCIA_Rows_B&amp;LCIA_Rows_C,0),MATCH(CD$26,LCIA_Columns,0)),0)*$AT51*$AI51*$BN$23</f>
        <v>0</v>
      </c>
      <c r="CE51" s="1">
        <f t="array" ref="CE51">IFERROR(INDEX(LCIA_Data,MATCH($AO$15&amp;CE$27,LCIA_Rows_B&amp;LCIA_Rows_C,0),MATCH(CE$26,LCIA_Columns,0)),0)*$AT51*$AI51*$BN$23</f>
        <v>0</v>
      </c>
      <c r="CF51" s="1">
        <f t="array" ref="CF51">IFERROR(INDEX(LCIA_Data,MATCH($AO$15&amp;CF$27,LCIA_Rows_B&amp;LCIA_Rows_C,0),MATCH(CF$26,LCIA_Columns,0)),0)*$AT51*$AI51*$BN$23</f>
        <v>0</v>
      </c>
      <c r="CG51" s="1">
        <f t="array" ref="CG51">IFERROR(INDEX(LCIA_Data,MATCH($AO$15&amp;CG$27,LCIA_Rows_B&amp;LCIA_Rows_C,0),MATCH(CG$26,LCIA_Columns,0)),0)*$AT51*$AI51*$BN$23</f>
        <v>0</v>
      </c>
      <c r="CH51" s="1">
        <f t="array" ref="CH51">IFERROR(INDEX(LCIA_Data,MATCH($AO$15&amp;CH$27,LCIA_Rows_B&amp;LCIA_Rows_C,0),MATCH(CH$26,LCIA_Columns,0)),0)*$AT51*$AI51*$BN$23</f>
        <v>0</v>
      </c>
      <c r="CI51" s="1">
        <f t="array" ref="CI51">IFERROR(INDEX(LCIA_Data,MATCH($AO$15&amp;CI$27,LCIA_Rows_B&amp;LCIA_Rows_C,0),MATCH(CI$26,LCIA_Columns,0)),0)*$AT51*$AI51*$BN$23</f>
        <v>0</v>
      </c>
      <c r="CJ51" s="1">
        <f t="array" ref="CJ51">IFERROR(INDEX(LCIA_Data,MATCH($AO$15&amp;CJ$27,LCIA_Rows_B&amp;LCIA_Rows_C,0),MATCH(CJ$26,LCIA_Columns,0)),0)*$AT51*$AI51*$BN$23</f>
        <v>0</v>
      </c>
      <c r="CK51" s="1">
        <f t="array" ref="CK51">IFERROR(INDEX(LCIA_Data,MATCH($AO$15&amp;CK$27,LCIA_Rows_B&amp;LCIA_Rows_C,0),MATCH(CK$26,LCIA_Columns,0)),0)*$AT51*$AI51*$BN$23</f>
        <v>0</v>
      </c>
      <c r="CL51" s="1">
        <f t="array" ref="CL51">IFERROR(INDEX(LCIA_Data,MATCH($AO$15&amp;CL$27,LCIA_Rows_B&amp;LCIA_Rows_C,0),MATCH(CL$26,LCIA_Columns,0)),0)*$AT51*$AI51*$BN$23</f>
        <v>0</v>
      </c>
      <c r="CM51" s="1">
        <f t="array" ref="CM51">IFERROR(INDEX(LCIA_Data,MATCH($AO$15&amp;CM$27,LCIA_Rows_B&amp;LCIA_Rows_C,0),MATCH(CM$26,LCIA_Columns,0)),0)*$AT51*$AJ51*$BN$23</f>
        <v>0</v>
      </c>
      <c r="CN51" s="1">
        <f t="array" ref="CN51">IFERROR(INDEX(LCIA_Data,MATCH($AO$15&amp;CN$27,LCIA_Rows_B&amp;LCIA_Rows_C,0),MATCH(CN$26,LCIA_Columns,0)),0)*$AT51*$AJ51*$BN$23</f>
        <v>0</v>
      </c>
      <c r="CO51" s="1">
        <f t="array" ref="CO51">IFERROR(INDEX(LCIA_Data,MATCH($AO$15&amp;CO$27,LCIA_Rows_B&amp;LCIA_Rows_C,0),MATCH(CO$26,LCIA_Columns,0)),0)*$AT51*$AJ51*$BN$23</f>
        <v>0</v>
      </c>
      <c r="CP51" s="1">
        <f t="array" ref="CP51">IFERROR(INDEX(LCIA_Data,MATCH($AO$15&amp;CP$27,LCIA_Rows_B&amp;LCIA_Rows_C,0),MATCH(CP$26,LCIA_Columns,0)),0)*$AT51*$AJ51*$BN$23</f>
        <v>0</v>
      </c>
      <c r="CQ51" s="1">
        <f t="array" ref="CQ51">IFERROR(INDEX(LCIA_Data,MATCH($AO$15&amp;CQ$27,LCIA_Rows_B&amp;LCIA_Rows_C,0),MATCH(CQ$26,LCIA_Columns,0)),0)*$AT51*$AJ51*$BN$23</f>
        <v>0</v>
      </c>
      <c r="CR51" s="1">
        <f t="array" ref="CR51">IFERROR(INDEX(LCIA_Data,MATCH($AO$15&amp;CR$27,LCIA_Rows_B&amp;LCIA_Rows_C,0),MATCH(CR$26,LCIA_Columns,0)),0)*$AT51*$AJ51*$BN$23</f>
        <v>0</v>
      </c>
      <c r="CS51" s="1">
        <f t="array" ref="CS51">IFERROR(INDEX(LCIA_Data,MATCH($AO$15&amp;CS$27,LCIA_Rows_B&amp;LCIA_Rows_C,0),MATCH(CS$26,LCIA_Columns,0)),0)*$AT51*$AJ51*$BN$23</f>
        <v>0</v>
      </c>
      <c r="CT51" s="1">
        <f t="array" ref="CT51">IFERROR(INDEX(LCIA_Data,MATCH($AO$15&amp;CT$27,LCIA_Rows_B&amp;LCIA_Rows_C,0),MATCH(CT$26,LCIA_Columns,0)),0)*$AT51*$AJ51*$BN$23</f>
        <v>0</v>
      </c>
      <c r="CU51" s="1">
        <f t="array" ref="CU51">IFERROR(INDEX(LCIA_Data,MATCH($AO$15&amp;CU$27,LCIA_Rows_B&amp;LCIA_Rows_C,0),MATCH(CU$26,LCIA_Columns,0)),0)*$AT51*$AJ51*$BN$23</f>
        <v>0</v>
      </c>
      <c r="CV51" s="1">
        <f t="array" ref="CV51">IFERROR(INDEX(LCIA_Data,MATCH($AO$15&amp;CV$27,LCIA_Rows_B&amp;LCIA_Rows_C,0),MATCH(CV$26,LCIA_Columns,0)),0)*$AT51*$AJ51*$BN$23</f>
        <v>0</v>
      </c>
      <c r="CW51" s="1">
        <f t="array" ref="CW51">IFERROR(INDEX(LCIA_Data,MATCH($AO$15&amp;CW$27,LCIA_Rows_B&amp;LCIA_Rows_C,0),MATCH(CW$26,LCIA_Columns,0)),0)*$AT51*$AJ51*$BN$23</f>
        <v>0</v>
      </c>
      <c r="CX51" s="1">
        <f t="array" ref="CX51">IFERROR(INDEX(LCIA_Data,MATCH($AO$15&amp;CX$27,LCIA_Rows_B&amp;LCIA_Rows_C,0),MATCH(CX$26,LCIA_Columns,0)),0)*$AT51*$AJ51*$BN$23</f>
        <v>0</v>
      </c>
      <c r="CY51" s="1">
        <f t="array" ref="CY51">IFERROR(INDEX(LCIA_Data,MATCH($AO$15&amp;CY$27,LCIA_Rows_B&amp;LCIA_Rows_C,0),MATCH(CY$26,LCIA_Columns,0)),0)*$AT51*$AJ51*$BN$23</f>
        <v>0</v>
      </c>
      <c r="CZ51" s="1">
        <f t="array" ref="CZ51">IFERROR(INDEX(LCIA_Data,MATCH($AO$15&amp;CZ$27,LCIA_Rows_B&amp;LCIA_Rows_C,0),MATCH(CZ$26,LCIA_Columns,0)),0)*$AT51*$AJ51*$BN$23</f>
        <v>0</v>
      </c>
      <c r="DA51" s="1">
        <f t="array" ref="DA51">IFERROR(INDEX(LCIA_Data,MATCH($AO$15&amp;DA$27,LCIA_Rows_B&amp;LCIA_Rows_C,0),MATCH(DA$26,LCIA_Columns,0)),0)*$AT51*$AK51*$BN$23</f>
        <v>0</v>
      </c>
      <c r="DB51" s="1">
        <f t="array" ref="DB51">IFERROR(INDEX(LCIA_Data,MATCH($AO$15&amp;DB$27,LCIA_Rows_B&amp;LCIA_Rows_C,0),MATCH(DB$26,LCIA_Columns,0)),0)*$AT51*$AK51*$BN$23</f>
        <v>0</v>
      </c>
      <c r="DC51" s="1">
        <f t="array" ref="DC51">IFERROR(INDEX(LCIA_Data,MATCH($AO$15&amp;DC$27,LCIA_Rows_B&amp;LCIA_Rows_C,0),MATCH(DC$26,LCIA_Columns,0)),0)*$AT51*$AK51*$BN$23</f>
        <v>0</v>
      </c>
      <c r="DD51" s="1">
        <f t="array" ref="DD51">IFERROR(INDEX(LCIA_Data,MATCH($AO$15&amp;DD$27,LCIA_Rows_B&amp;LCIA_Rows_C,0),MATCH(DD$26,LCIA_Columns,0)),0)*$AT51*$AK51*$BN$23</f>
        <v>0</v>
      </c>
      <c r="DE51" s="1">
        <f t="array" ref="DE51">IFERROR(INDEX(LCIA_Data,MATCH($AO$15&amp;DE$27,LCIA_Rows_B&amp;LCIA_Rows_C,0),MATCH(DE$26,LCIA_Columns,0)),0)*$AT51*$AK51*$BN$23</f>
        <v>0</v>
      </c>
      <c r="DF51" s="1">
        <f t="array" ref="DF51">IFERROR(INDEX(LCIA_Data,MATCH($AO$15&amp;DF$27,LCIA_Rows_B&amp;LCIA_Rows_C,0),MATCH(DF$26,LCIA_Columns,0)),0)*$AT51*$AK51*$BN$23</f>
        <v>0</v>
      </c>
      <c r="DG51" s="1">
        <f t="array" ref="DG51">IFERROR(INDEX(LCIA_Data,MATCH($AO$15&amp;DG$27,LCIA_Rows_B&amp;LCIA_Rows_C,0),MATCH(DG$26,LCIA_Columns,0)),0)*$AT51*$AK51*$BN$23</f>
        <v>0</v>
      </c>
      <c r="DH51" s="1">
        <f t="array" ref="DH51">IFERROR(INDEX(LCIA_Data,MATCH($AO$15&amp;DH$27,LCIA_Rows_B&amp;LCIA_Rows_C,0),MATCH(DH$26,LCIA_Columns,0)),0)*$AT51*$AK51*$BN$23</f>
        <v>0</v>
      </c>
      <c r="DI51" s="1">
        <f t="array" ref="DI51">IFERROR(INDEX(LCIA_Data,MATCH($AO$15&amp;DI$27,LCIA_Rows_B&amp;LCIA_Rows_C,0),MATCH(DI$26,LCIA_Columns,0)),0)*$AT51*$AK51*$BN$23</f>
        <v>0</v>
      </c>
      <c r="DJ51" s="1">
        <f t="array" ref="DJ51">IFERROR(INDEX(LCIA_Data,MATCH($AO$15&amp;DJ$27,LCIA_Rows_B&amp;LCIA_Rows_C,0),MATCH(DJ$26,LCIA_Columns,0)),0)*$AT51*$AK51*$BN$23</f>
        <v>0</v>
      </c>
      <c r="DK51" s="1">
        <f t="array" ref="DK51">IFERROR(INDEX(LCIA_Data,MATCH($AO$15&amp;DK$27,LCIA_Rows_B&amp;LCIA_Rows_C,0),MATCH(DK$26,LCIA_Columns,0)),0)*$AT51*$AK51*$BN$23</f>
        <v>0</v>
      </c>
      <c r="DL51" s="1">
        <f t="array" ref="DL51">IFERROR(INDEX(LCIA_Data,MATCH($AO$15&amp;DL$27,LCIA_Rows_B&amp;LCIA_Rows_C,0),MATCH(DL$26,LCIA_Columns,0)),0)*$AT51*$AK51*$BN$23</f>
        <v>0</v>
      </c>
      <c r="DM51" s="1">
        <f t="array" ref="DM51">IFERROR(INDEX(LCIA_Data,MATCH($AO$15&amp;DM$27,LCIA_Rows_B&amp;LCIA_Rows_C,0),MATCH(DM$26,LCIA_Columns,0)),0)*$AT51*$AK51*$BN$23</f>
        <v>0</v>
      </c>
      <c r="DN51" s="1">
        <f t="array" ref="DN51">IFERROR(INDEX(LCIA_Data,MATCH($AO$15&amp;DN$27,LCIA_Rows_B&amp;LCIA_Rows_C,0),MATCH(DN$26,LCIA_Columns,0)),0)*$AT51*$AK51*$BN$23</f>
        <v>0</v>
      </c>
      <c r="DO51">
        <f t="shared" si="41"/>
        <v>0</v>
      </c>
      <c r="DP51">
        <f t="shared" si="41"/>
        <v>0</v>
      </c>
      <c r="DQ51">
        <f t="shared" si="41"/>
        <v>0</v>
      </c>
      <c r="DR51">
        <f t="shared" si="41"/>
        <v>0</v>
      </c>
      <c r="DS51">
        <f t="shared" si="41"/>
        <v>0</v>
      </c>
      <c r="DT51">
        <f t="shared" si="41"/>
        <v>0</v>
      </c>
      <c r="DU51">
        <f t="shared" si="41"/>
        <v>0</v>
      </c>
      <c r="DV51">
        <f t="shared" si="41"/>
        <v>0</v>
      </c>
      <c r="DW51">
        <f t="shared" si="40"/>
        <v>0</v>
      </c>
      <c r="DX51">
        <f t="shared" si="40"/>
        <v>0</v>
      </c>
      <c r="DY51">
        <f t="shared" si="40"/>
        <v>0</v>
      </c>
      <c r="DZ51">
        <f t="shared" si="40"/>
        <v>0</v>
      </c>
      <c r="EA51">
        <f t="shared" si="40"/>
        <v>0</v>
      </c>
      <c r="EB51">
        <f t="shared" si="21"/>
        <v>0</v>
      </c>
      <c r="EC51"/>
      <c r="ED51"/>
      <c r="EE51"/>
      <c r="EF51"/>
      <c r="EG51"/>
    </row>
    <row r="52" spans="2:137" ht="15" customHeight="1">
      <c r="B52" s="53">
        <f t="shared" si="29"/>
        <v>0</v>
      </c>
      <c r="C52" s="221">
        <f t="shared" si="22"/>
        <v>23</v>
      </c>
      <c r="D52" s="222" t="str">
        <f>'Plant Inputs'!$D52</f>
        <v>Steel Stressing Strand</v>
      </c>
      <c r="E52" s="154"/>
      <c r="F52" s="223" t="str">
        <f t="shared" si="39"/>
        <v>short ton</v>
      </c>
      <c r="G52" s="224">
        <f t="shared" si="26"/>
        <v>0</v>
      </c>
      <c r="H52" s="225" t="str">
        <f t="shared" si="7"/>
        <v>short ton</v>
      </c>
      <c r="I52" s="156">
        <f t="shared" si="8"/>
        <v>0</v>
      </c>
      <c r="J52"/>
      <c r="K52"/>
      <c r="L52"/>
      <c r="M52"/>
      <c r="N52"/>
      <c r="O52"/>
      <c r="P52"/>
      <c r="Q52"/>
      <c r="R52"/>
      <c r="S52"/>
      <c r="T52"/>
      <c r="X52" s="67">
        <f t="shared" si="30"/>
        <v>0</v>
      </c>
      <c r="Y52" s="216">
        <f>IF(AND($X52=1,'Plant Inputs'!$Y52=1),1,0)</f>
        <v>0</v>
      </c>
      <c r="Z52" s="216"/>
      <c r="AA52" s="216">
        <f>IF($Y52=0,0,IF('Plant Inputs'!J52="",0,'Plant Inputs'!J52))</f>
        <v>0</v>
      </c>
      <c r="AB52" s="216">
        <f>IF($Y52=0,0,IF('Plant Inputs'!K52="",0,'Plant Inputs'!K52))</f>
        <v>0</v>
      </c>
      <c r="AC52" s="216">
        <f>IF($Y52=0,0,IF('Plant Inputs'!L52="",0,'Plant Inputs'!L52))</f>
        <v>0</v>
      </c>
      <c r="AD52" s="216">
        <f>IF($Y52=0,0,IF('Plant Inputs'!M52="",0,'Plant Inputs'!M52))</f>
        <v>0</v>
      </c>
      <c r="AE52" s="217" t="str">
        <f>'Plant Inputs'!$O52</f>
        <v>mile</v>
      </c>
      <c r="AF52" s="217">
        <f t="shared" si="9"/>
        <v>1.6093473468862911</v>
      </c>
      <c r="AG52" s="216" t="str">
        <f t="shared" si="23"/>
        <v>km/mile</v>
      </c>
      <c r="AH52" s="216">
        <f t="shared" si="31"/>
        <v>0</v>
      </c>
      <c r="AI52" s="216">
        <f t="shared" si="31"/>
        <v>0</v>
      </c>
      <c r="AJ52" s="216">
        <f t="shared" si="31"/>
        <v>0</v>
      </c>
      <c r="AK52" s="216">
        <f t="shared" si="31"/>
        <v>0</v>
      </c>
      <c r="AL52" s="216"/>
      <c r="AM52" s="1" t="str">
        <f t="shared" si="32"/>
        <v>Steel Stressing Strand</v>
      </c>
      <c r="AN52" t="s">
        <v>127</v>
      </c>
      <c r="AO52">
        <f t="shared" si="33"/>
        <v>0</v>
      </c>
      <c r="AP52" s="1">
        <f t="shared" si="24"/>
        <v>0</v>
      </c>
      <c r="AQ52" s="1" t="str">
        <f t="shared" si="34"/>
        <v>short ton</v>
      </c>
      <c r="AR52" s="1">
        <f t="shared" si="14"/>
        <v>0.90718499588591606</v>
      </c>
      <c r="AS52" s="87" t="str">
        <f t="shared" si="35"/>
        <v>tonne/short ton</v>
      </c>
      <c r="AT52" s="87">
        <f t="shared" si="36"/>
        <v>0</v>
      </c>
      <c r="AU52" s="87">
        <f t="shared" si="37"/>
        <v>0</v>
      </c>
      <c r="AV52" s="87">
        <f t="shared" si="18"/>
        <v>0</v>
      </c>
      <c r="AW52" t="str">
        <f t="shared" si="38"/>
        <v>Steel Stressing Strand</v>
      </c>
      <c r="AX52" s="148">
        <f t="array" ref="AX52">IFERROR(INDEX(LCIA_Data,MATCH($AO$15&amp;AX$27,LCIA_Rows_B&amp;LCIA_Rows_C,0),MATCH($D52,LCIA_Columns,0)),0)*$AU52</f>
        <v>0</v>
      </c>
      <c r="AY52" s="148">
        <f t="array" ref="AY52">IFERROR(INDEX(LCIA_Data,MATCH($AO$15&amp;AY$27,LCIA_Rows_B&amp;LCIA_Rows_C,0),MATCH($D52,LCIA_Columns,0)),0)*$AU52</f>
        <v>0</v>
      </c>
      <c r="AZ52" s="148">
        <f t="array" ref="AZ52">IFERROR(INDEX(LCIA_Data,MATCH($AO$15&amp;AZ$27,LCIA_Rows_B&amp;LCIA_Rows_C,0),MATCH($D52,LCIA_Columns,0)),0)*$AU52</f>
        <v>0</v>
      </c>
      <c r="BA52" s="148">
        <f t="array" ref="BA52">IFERROR(INDEX(LCIA_Data,MATCH($AO$15&amp;BA$27,LCIA_Rows_B&amp;LCIA_Rows_C,0),MATCH($D52,LCIA_Columns,0)),0)*$AU52</f>
        <v>0</v>
      </c>
      <c r="BB52" s="148">
        <f t="array" ref="BB52">IFERROR(INDEX(LCIA_Data,MATCH($AO$15&amp;BB$27,LCIA_Rows_B&amp;LCIA_Rows_C,0),MATCH($D52,LCIA_Columns,0)),0)*$AU52</f>
        <v>0</v>
      </c>
      <c r="BC52" s="148">
        <f t="array" ref="BC52">IFERROR(INDEX(LCIA_Data,MATCH($AO$15&amp;BC$27,LCIA_Rows_B&amp;LCIA_Rows_C,0),MATCH($D52,LCIA_Columns,0)),0)*$AU52</f>
        <v>0</v>
      </c>
      <c r="BD52" s="148">
        <f t="array" ref="BD52">IFERROR(INDEX(LCIA_Data,MATCH($AO$15&amp;BD$27,LCIA_Rows_B&amp;LCIA_Rows_C,0),MATCH($D52,LCIA_Columns,0)),0)*$AU52</f>
        <v>0</v>
      </c>
      <c r="BE52" s="148">
        <f t="array" ref="BE52">IFERROR(INDEX(LCIA_Data,MATCH($AO$15&amp;BE$27,LCIA_Rows_B&amp;LCIA_Rows_C,0),MATCH($D52,LCIA_Columns,0)),0)*$AU52</f>
        <v>0</v>
      </c>
      <c r="BF52" s="148">
        <f t="array" ref="BF52">IFERROR(INDEX(LCIA_Data,MATCH($AO$15&amp;BF$27,LCIA_Rows_B&amp;LCIA_Rows_C,0),MATCH($D52,LCIA_Columns,0)),0)*$AU52</f>
        <v>0</v>
      </c>
      <c r="BG52" s="148">
        <f t="array" ref="BG52">IFERROR(INDEX(LCIA_Data,MATCH($AO$15&amp;BG$27,LCIA_Rows_B&amp;LCIA_Rows_C,0),MATCH($D52,LCIA_Columns,0)),0)*$AU52</f>
        <v>0</v>
      </c>
      <c r="BH52" s="148">
        <f t="array" ref="BH52">IFERROR(INDEX(LCIA_Data,MATCH($AO$15&amp;BH$27,LCIA_Rows_B&amp;LCIA_Rows_C,0),MATCH($D52,LCIA_Columns,0)),0)*$AU52</f>
        <v>0</v>
      </c>
      <c r="BI52" s="148">
        <f t="array" ref="BI52">IFERROR(INDEX(LCIA_Data,MATCH($AO$15&amp;BI$27,LCIA_Rows_B&amp;LCIA_Rows_C,0),MATCH($D52,LCIA_Columns,0)),0)*$AU52</f>
        <v>0</v>
      </c>
      <c r="BJ52" s="148">
        <f t="array" ref="BJ52">IFERROR(INDEX(LCIA_Data,MATCH($AO$15&amp;BJ$27,LCIA_Rows_B&amp;LCIA_Rows_C,0),MATCH($D52,LCIA_Columns,0)),0)*$AU52</f>
        <v>0</v>
      </c>
      <c r="BK52" s="148">
        <f t="array" ref="BK52">IFERROR(INDEX(LCIA_Data,MATCH($AO$15&amp;BK$27,LCIA_Rows_B&amp;LCIA_Rows_C,0),MATCH($D52,LCIA_Columns,0)),0)*$AU52</f>
        <v>0</v>
      </c>
      <c r="BM52" s="1">
        <f t="array" ref="BM52">IFERROR(INDEX(LCIA_Data,MATCH($AO$15&amp;BM$27,LCIA_Rows_B&amp;LCIA_Rows_C,0),MATCH(BM$26,LCIA_Columns,0)),0)*$AT52*$AH52*$BN$23</f>
        <v>0</v>
      </c>
      <c r="BN52" s="1">
        <f t="array" ref="BN52">IFERROR(INDEX(LCIA_Data,MATCH($AO$15&amp;BN$27,LCIA_Rows_B&amp;LCIA_Rows_C,0),MATCH(BN$26,LCIA_Columns,0)),0)*$AT52*$AH52*$BN$23</f>
        <v>0</v>
      </c>
      <c r="BO52" s="1">
        <f t="array" ref="BO52">IFERROR(INDEX(LCIA_Data,MATCH($AO$15&amp;BO$27,LCIA_Rows_B&amp;LCIA_Rows_C,0),MATCH(BO$26,LCIA_Columns,0)),0)*$AT52*$AH52*$BN$23</f>
        <v>0</v>
      </c>
      <c r="BP52" s="1">
        <f t="array" ref="BP52">IFERROR(INDEX(LCIA_Data,MATCH($AO$15&amp;BP$27,LCIA_Rows_B&amp;LCIA_Rows_C,0),MATCH(BP$26,LCIA_Columns,0)),0)*$AT52*$AH52*$BN$23</f>
        <v>0</v>
      </c>
      <c r="BQ52" s="1">
        <f t="array" ref="BQ52">IFERROR(INDEX(LCIA_Data,MATCH($AO$15&amp;BQ$27,LCIA_Rows_B&amp;LCIA_Rows_C,0),MATCH(BQ$26,LCIA_Columns,0)),0)*$AT52*$AH52*$BN$23</f>
        <v>0</v>
      </c>
      <c r="BR52" s="1">
        <f t="array" ref="BR52">IFERROR(INDEX(LCIA_Data,MATCH($AO$15&amp;BR$27,LCIA_Rows_B&amp;LCIA_Rows_C,0),MATCH(BR$26,LCIA_Columns,0)),0)*$AT52*$AH52*$BN$23</f>
        <v>0</v>
      </c>
      <c r="BS52" s="1">
        <f t="array" ref="BS52">IFERROR(INDEX(LCIA_Data,MATCH($AO$15&amp;BS$27,LCIA_Rows_B&amp;LCIA_Rows_C,0),MATCH(BS$26,LCIA_Columns,0)),0)*$AT52*$AH52*$BN$23</f>
        <v>0</v>
      </c>
      <c r="BT52" s="1">
        <f t="array" ref="BT52">IFERROR(INDEX(LCIA_Data,MATCH($AO$15&amp;BT$27,LCIA_Rows_B&amp;LCIA_Rows_C,0),MATCH(BT$26,LCIA_Columns,0)),0)*$AT52*$AH52*$BN$23</f>
        <v>0</v>
      </c>
      <c r="BU52" s="1">
        <f t="array" ref="BU52">IFERROR(INDEX(LCIA_Data,MATCH($AO$15&amp;BU$27,LCIA_Rows_B&amp;LCIA_Rows_C,0),MATCH(BU$26,LCIA_Columns,0)),0)*$AT52*$AH52*$BN$23</f>
        <v>0</v>
      </c>
      <c r="BV52" s="1">
        <f t="array" ref="BV52">IFERROR(INDEX(LCIA_Data,MATCH($AO$15&amp;BV$27,LCIA_Rows_B&amp;LCIA_Rows_C,0),MATCH(BV$26,LCIA_Columns,0)),0)*$AT52*$AH52*$BN$23</f>
        <v>0</v>
      </c>
      <c r="BW52" s="1">
        <f t="array" ref="BW52">IFERROR(INDEX(LCIA_Data,MATCH($AO$15&amp;BW$27,LCIA_Rows_B&amp;LCIA_Rows_C,0),MATCH(BW$26,LCIA_Columns,0)),0)*$AT52*$AH52*$BN$23</f>
        <v>0</v>
      </c>
      <c r="BX52" s="1">
        <f t="array" ref="BX52">IFERROR(INDEX(LCIA_Data,MATCH($AO$15&amp;BX$27,LCIA_Rows_B&amp;LCIA_Rows_C,0),MATCH(BX$26,LCIA_Columns,0)),0)*$AT52*$AH52*$BN$23</f>
        <v>0</v>
      </c>
      <c r="BY52" s="1">
        <f t="array" ref="BY52">IFERROR(INDEX(LCIA_Data,MATCH($AO$15&amp;BY$27,LCIA_Rows_B&amp;LCIA_Rows_C,0),MATCH(BY$26,LCIA_Columns,0)),0)*$AT52*$AH52*$BN$23</f>
        <v>0</v>
      </c>
      <c r="BZ52" s="1">
        <f t="array" ref="BZ52">IFERROR(INDEX(LCIA_Data,MATCH($AO$15&amp;BZ$27,LCIA_Rows_B&amp;LCIA_Rows_C,0),MATCH(BZ$26,LCIA_Columns,0)),0)*$AT52*$AH52*$BN$23</f>
        <v>0</v>
      </c>
      <c r="CA52" s="1">
        <f t="array" ref="CA52">IFERROR(INDEX(LCIA_Data,MATCH($AO$15&amp;CA$27,LCIA_Rows_B&amp;LCIA_Rows_C,0),MATCH(CA$26,LCIA_Columns,0)),0)*$AT52*$AI52*$BN$23</f>
        <v>0</v>
      </c>
      <c r="CB52" s="1">
        <f t="array" ref="CB52">IFERROR(INDEX(LCIA_Data,MATCH($AO$15&amp;CB$27,LCIA_Rows_B&amp;LCIA_Rows_C,0),MATCH(CB$26,LCIA_Columns,0)),0)*$AT52*$AI52*$BN$23</f>
        <v>0</v>
      </c>
      <c r="CC52" s="1">
        <f t="array" ref="CC52">IFERROR(INDEX(LCIA_Data,MATCH($AO$15&amp;CC$27,LCIA_Rows_B&amp;LCIA_Rows_C,0),MATCH(CC$26,LCIA_Columns,0)),0)*$AT52*$AI52*$BN$23</f>
        <v>0</v>
      </c>
      <c r="CD52" s="1">
        <f t="array" ref="CD52">IFERROR(INDEX(LCIA_Data,MATCH($AO$15&amp;CD$27,LCIA_Rows_B&amp;LCIA_Rows_C,0),MATCH(CD$26,LCIA_Columns,0)),0)*$AT52*$AI52*$BN$23</f>
        <v>0</v>
      </c>
      <c r="CE52" s="1">
        <f t="array" ref="CE52">IFERROR(INDEX(LCIA_Data,MATCH($AO$15&amp;CE$27,LCIA_Rows_B&amp;LCIA_Rows_C,0),MATCH(CE$26,LCIA_Columns,0)),0)*$AT52*$AI52*$BN$23</f>
        <v>0</v>
      </c>
      <c r="CF52" s="1">
        <f t="array" ref="CF52">IFERROR(INDEX(LCIA_Data,MATCH($AO$15&amp;CF$27,LCIA_Rows_B&amp;LCIA_Rows_C,0),MATCH(CF$26,LCIA_Columns,0)),0)*$AT52*$AI52*$BN$23</f>
        <v>0</v>
      </c>
      <c r="CG52" s="1">
        <f t="array" ref="CG52">IFERROR(INDEX(LCIA_Data,MATCH($AO$15&amp;CG$27,LCIA_Rows_B&amp;LCIA_Rows_C,0),MATCH(CG$26,LCIA_Columns,0)),0)*$AT52*$AI52*$BN$23</f>
        <v>0</v>
      </c>
      <c r="CH52" s="1">
        <f t="array" ref="CH52">IFERROR(INDEX(LCIA_Data,MATCH($AO$15&amp;CH$27,LCIA_Rows_B&amp;LCIA_Rows_C,0),MATCH(CH$26,LCIA_Columns,0)),0)*$AT52*$AI52*$BN$23</f>
        <v>0</v>
      </c>
      <c r="CI52" s="1">
        <f t="array" ref="CI52">IFERROR(INDEX(LCIA_Data,MATCH($AO$15&amp;CI$27,LCIA_Rows_B&amp;LCIA_Rows_C,0),MATCH(CI$26,LCIA_Columns,0)),0)*$AT52*$AI52*$BN$23</f>
        <v>0</v>
      </c>
      <c r="CJ52" s="1">
        <f t="array" ref="CJ52">IFERROR(INDEX(LCIA_Data,MATCH($AO$15&amp;CJ$27,LCIA_Rows_B&amp;LCIA_Rows_C,0),MATCH(CJ$26,LCIA_Columns,0)),0)*$AT52*$AI52*$BN$23</f>
        <v>0</v>
      </c>
      <c r="CK52" s="1">
        <f t="array" ref="CK52">IFERROR(INDEX(LCIA_Data,MATCH($AO$15&amp;CK$27,LCIA_Rows_B&amp;LCIA_Rows_C,0),MATCH(CK$26,LCIA_Columns,0)),0)*$AT52*$AI52*$BN$23</f>
        <v>0</v>
      </c>
      <c r="CL52" s="1">
        <f t="array" ref="CL52">IFERROR(INDEX(LCIA_Data,MATCH($AO$15&amp;CL$27,LCIA_Rows_B&amp;LCIA_Rows_C,0),MATCH(CL$26,LCIA_Columns,0)),0)*$AT52*$AI52*$BN$23</f>
        <v>0</v>
      </c>
      <c r="CM52" s="1">
        <f t="array" ref="CM52">IFERROR(INDEX(LCIA_Data,MATCH($AO$15&amp;CM$27,LCIA_Rows_B&amp;LCIA_Rows_C,0),MATCH(CM$26,LCIA_Columns,0)),0)*$AT52*$AJ52*$BN$23</f>
        <v>0</v>
      </c>
      <c r="CN52" s="1">
        <f t="array" ref="CN52">IFERROR(INDEX(LCIA_Data,MATCH($AO$15&amp;CN$27,LCIA_Rows_B&amp;LCIA_Rows_C,0),MATCH(CN$26,LCIA_Columns,0)),0)*$AT52*$AJ52*$BN$23</f>
        <v>0</v>
      </c>
      <c r="CO52" s="1">
        <f t="array" ref="CO52">IFERROR(INDEX(LCIA_Data,MATCH($AO$15&amp;CO$27,LCIA_Rows_B&amp;LCIA_Rows_C,0),MATCH(CO$26,LCIA_Columns,0)),0)*$AT52*$AJ52*$BN$23</f>
        <v>0</v>
      </c>
      <c r="CP52" s="1">
        <f t="array" ref="CP52">IFERROR(INDEX(LCIA_Data,MATCH($AO$15&amp;CP$27,LCIA_Rows_B&amp;LCIA_Rows_C,0),MATCH(CP$26,LCIA_Columns,0)),0)*$AT52*$AJ52*$BN$23</f>
        <v>0</v>
      </c>
      <c r="CQ52" s="1">
        <f t="array" ref="CQ52">IFERROR(INDEX(LCIA_Data,MATCH($AO$15&amp;CQ$27,LCIA_Rows_B&amp;LCIA_Rows_C,0),MATCH(CQ$26,LCIA_Columns,0)),0)*$AT52*$AJ52*$BN$23</f>
        <v>0</v>
      </c>
      <c r="CR52" s="1">
        <f t="array" ref="CR52">IFERROR(INDEX(LCIA_Data,MATCH($AO$15&amp;CR$27,LCIA_Rows_B&amp;LCIA_Rows_C,0),MATCH(CR$26,LCIA_Columns,0)),0)*$AT52*$AJ52*$BN$23</f>
        <v>0</v>
      </c>
      <c r="CS52" s="1">
        <f t="array" ref="CS52">IFERROR(INDEX(LCIA_Data,MATCH($AO$15&amp;CS$27,LCIA_Rows_B&amp;LCIA_Rows_C,0),MATCH(CS$26,LCIA_Columns,0)),0)*$AT52*$AJ52*$BN$23</f>
        <v>0</v>
      </c>
      <c r="CT52" s="1">
        <f t="array" ref="CT52">IFERROR(INDEX(LCIA_Data,MATCH($AO$15&amp;CT$27,LCIA_Rows_B&amp;LCIA_Rows_C,0),MATCH(CT$26,LCIA_Columns,0)),0)*$AT52*$AJ52*$BN$23</f>
        <v>0</v>
      </c>
      <c r="CU52" s="1">
        <f t="array" ref="CU52">IFERROR(INDEX(LCIA_Data,MATCH($AO$15&amp;CU$27,LCIA_Rows_B&amp;LCIA_Rows_C,0),MATCH(CU$26,LCIA_Columns,0)),0)*$AT52*$AJ52*$BN$23</f>
        <v>0</v>
      </c>
      <c r="CV52" s="1">
        <f t="array" ref="CV52">IFERROR(INDEX(LCIA_Data,MATCH($AO$15&amp;CV$27,LCIA_Rows_B&amp;LCIA_Rows_C,0),MATCH(CV$26,LCIA_Columns,0)),0)*$AT52*$AJ52*$BN$23</f>
        <v>0</v>
      </c>
      <c r="CW52" s="1">
        <f t="array" ref="CW52">IFERROR(INDEX(LCIA_Data,MATCH($AO$15&amp;CW$27,LCIA_Rows_B&amp;LCIA_Rows_C,0),MATCH(CW$26,LCIA_Columns,0)),0)*$AT52*$AJ52*$BN$23</f>
        <v>0</v>
      </c>
      <c r="CX52" s="1">
        <f t="array" ref="CX52">IFERROR(INDEX(LCIA_Data,MATCH($AO$15&amp;CX$27,LCIA_Rows_B&amp;LCIA_Rows_C,0),MATCH(CX$26,LCIA_Columns,0)),0)*$AT52*$AJ52*$BN$23</f>
        <v>0</v>
      </c>
      <c r="CY52" s="1">
        <f t="array" ref="CY52">IFERROR(INDEX(LCIA_Data,MATCH($AO$15&amp;CY$27,LCIA_Rows_B&amp;LCIA_Rows_C,0),MATCH(CY$26,LCIA_Columns,0)),0)*$AT52*$AJ52*$BN$23</f>
        <v>0</v>
      </c>
      <c r="CZ52" s="1">
        <f t="array" ref="CZ52">IFERROR(INDEX(LCIA_Data,MATCH($AO$15&amp;CZ$27,LCIA_Rows_B&amp;LCIA_Rows_C,0),MATCH(CZ$26,LCIA_Columns,0)),0)*$AT52*$AJ52*$BN$23</f>
        <v>0</v>
      </c>
      <c r="DA52" s="1">
        <f t="array" ref="DA52">IFERROR(INDEX(LCIA_Data,MATCH($AO$15&amp;DA$27,LCIA_Rows_B&amp;LCIA_Rows_C,0),MATCH(DA$26,LCIA_Columns,0)),0)*$AT52*$AK52*$BN$23</f>
        <v>0</v>
      </c>
      <c r="DB52" s="1">
        <f t="array" ref="DB52">IFERROR(INDEX(LCIA_Data,MATCH($AO$15&amp;DB$27,LCIA_Rows_B&amp;LCIA_Rows_C,0),MATCH(DB$26,LCIA_Columns,0)),0)*$AT52*$AK52*$BN$23</f>
        <v>0</v>
      </c>
      <c r="DC52" s="1">
        <f t="array" ref="DC52">IFERROR(INDEX(LCIA_Data,MATCH($AO$15&amp;DC$27,LCIA_Rows_B&amp;LCIA_Rows_C,0),MATCH(DC$26,LCIA_Columns,0)),0)*$AT52*$AK52*$BN$23</f>
        <v>0</v>
      </c>
      <c r="DD52" s="1">
        <f t="array" ref="DD52">IFERROR(INDEX(LCIA_Data,MATCH($AO$15&amp;DD$27,LCIA_Rows_B&amp;LCIA_Rows_C,0),MATCH(DD$26,LCIA_Columns,0)),0)*$AT52*$AK52*$BN$23</f>
        <v>0</v>
      </c>
      <c r="DE52" s="1">
        <f t="array" ref="DE52">IFERROR(INDEX(LCIA_Data,MATCH($AO$15&amp;DE$27,LCIA_Rows_B&amp;LCIA_Rows_C,0),MATCH(DE$26,LCIA_Columns,0)),0)*$AT52*$AK52*$BN$23</f>
        <v>0</v>
      </c>
      <c r="DF52" s="1">
        <f t="array" ref="DF52">IFERROR(INDEX(LCIA_Data,MATCH($AO$15&amp;DF$27,LCIA_Rows_B&amp;LCIA_Rows_C,0),MATCH(DF$26,LCIA_Columns,0)),0)*$AT52*$AK52*$BN$23</f>
        <v>0</v>
      </c>
      <c r="DG52" s="1">
        <f t="array" ref="DG52">IFERROR(INDEX(LCIA_Data,MATCH($AO$15&amp;DG$27,LCIA_Rows_B&amp;LCIA_Rows_C,0),MATCH(DG$26,LCIA_Columns,0)),0)*$AT52*$AK52*$BN$23</f>
        <v>0</v>
      </c>
      <c r="DH52" s="1">
        <f t="array" ref="DH52">IFERROR(INDEX(LCIA_Data,MATCH($AO$15&amp;DH$27,LCIA_Rows_B&amp;LCIA_Rows_C,0),MATCH(DH$26,LCIA_Columns,0)),0)*$AT52*$AK52*$BN$23</f>
        <v>0</v>
      </c>
      <c r="DI52" s="1">
        <f t="array" ref="DI52">IFERROR(INDEX(LCIA_Data,MATCH($AO$15&amp;DI$27,LCIA_Rows_B&amp;LCIA_Rows_C,0),MATCH(DI$26,LCIA_Columns,0)),0)*$AT52*$AK52*$BN$23</f>
        <v>0</v>
      </c>
      <c r="DJ52" s="1">
        <f t="array" ref="DJ52">IFERROR(INDEX(LCIA_Data,MATCH($AO$15&amp;DJ$27,LCIA_Rows_B&amp;LCIA_Rows_C,0),MATCH(DJ$26,LCIA_Columns,0)),0)*$AT52*$AK52*$BN$23</f>
        <v>0</v>
      </c>
      <c r="DK52" s="1">
        <f t="array" ref="DK52">IFERROR(INDEX(LCIA_Data,MATCH($AO$15&amp;DK$27,LCIA_Rows_B&amp;LCIA_Rows_C,0),MATCH(DK$26,LCIA_Columns,0)),0)*$AT52*$AK52*$BN$23</f>
        <v>0</v>
      </c>
      <c r="DL52" s="1">
        <f t="array" ref="DL52">IFERROR(INDEX(LCIA_Data,MATCH($AO$15&amp;DL$27,LCIA_Rows_B&amp;LCIA_Rows_C,0),MATCH(DL$26,LCIA_Columns,0)),0)*$AT52*$AK52*$BN$23</f>
        <v>0</v>
      </c>
      <c r="DM52" s="1">
        <f t="array" ref="DM52">IFERROR(INDEX(LCIA_Data,MATCH($AO$15&amp;DM$27,LCIA_Rows_B&amp;LCIA_Rows_C,0),MATCH(DM$26,LCIA_Columns,0)),0)*$AT52*$AK52*$BN$23</f>
        <v>0</v>
      </c>
      <c r="DN52" s="1">
        <f t="array" ref="DN52">IFERROR(INDEX(LCIA_Data,MATCH($AO$15&amp;DN$27,LCIA_Rows_B&amp;LCIA_Rows_C,0),MATCH(DN$26,LCIA_Columns,0)),0)*$AT52*$AK52*$BN$23</f>
        <v>0</v>
      </c>
      <c r="DO52">
        <f t="shared" si="41"/>
        <v>0</v>
      </c>
      <c r="DP52">
        <f t="shared" si="41"/>
        <v>0</v>
      </c>
      <c r="DQ52">
        <f t="shared" si="41"/>
        <v>0</v>
      </c>
      <c r="DR52">
        <f t="shared" si="41"/>
        <v>0</v>
      </c>
      <c r="DS52">
        <f t="shared" si="41"/>
        <v>0</v>
      </c>
      <c r="DT52">
        <f t="shared" si="41"/>
        <v>0</v>
      </c>
      <c r="DU52">
        <f t="shared" si="41"/>
        <v>0</v>
      </c>
      <c r="DV52">
        <f t="shared" si="41"/>
        <v>0</v>
      </c>
      <c r="DW52">
        <f t="shared" si="40"/>
        <v>0</v>
      </c>
      <c r="DX52">
        <f t="shared" si="40"/>
        <v>0</v>
      </c>
      <c r="DY52">
        <f t="shared" si="40"/>
        <v>0</v>
      </c>
      <c r="DZ52">
        <f t="shared" si="40"/>
        <v>0</v>
      </c>
      <c r="EA52">
        <f t="shared" si="40"/>
        <v>0</v>
      </c>
      <c r="EB52">
        <f t="shared" si="21"/>
        <v>0</v>
      </c>
      <c r="EC52"/>
      <c r="ED52"/>
      <c r="EE52"/>
      <c r="EF52"/>
      <c r="EG52"/>
    </row>
    <row r="53" spans="2:137" ht="15" customHeight="1">
      <c r="B53" s="53">
        <f t="shared" si="29"/>
        <v>0</v>
      </c>
      <c r="C53" s="233">
        <f t="shared" si="22"/>
        <v>24</v>
      </c>
      <c r="D53" s="244" t="str">
        <f>'Plant Inputs'!$D53</f>
        <v>Carbon Fibre Reinforced Polymer (CFRP) strand</v>
      </c>
      <c r="E53" s="101"/>
      <c r="F53" s="235" t="str">
        <f t="shared" si="39"/>
        <v>short ton</v>
      </c>
      <c r="G53" s="236">
        <f t="shared" si="26"/>
        <v>0</v>
      </c>
      <c r="H53" s="237" t="str">
        <f t="shared" si="7"/>
        <v>short ton</v>
      </c>
      <c r="I53" s="398">
        <f t="shared" si="8"/>
        <v>0</v>
      </c>
      <c r="J53"/>
      <c r="K53"/>
      <c r="L53"/>
      <c r="M53"/>
      <c r="N53"/>
      <c r="O53"/>
      <c r="P53"/>
      <c r="Q53"/>
      <c r="R53"/>
      <c r="S53"/>
      <c r="T53"/>
      <c r="X53" s="67">
        <f t="shared" si="30"/>
        <v>0</v>
      </c>
      <c r="Y53" s="216">
        <f>IF(AND($X53=1,'Plant Inputs'!$Y53=1),1,0)</f>
        <v>0</v>
      </c>
      <c r="Z53" s="216"/>
      <c r="AA53" s="216">
        <f>IF($Y53=0,0,IF('Plant Inputs'!J53="",0,'Plant Inputs'!J53))</f>
        <v>0</v>
      </c>
      <c r="AB53" s="216">
        <f>IF($Y53=0,0,IF('Plant Inputs'!K53="",0,'Plant Inputs'!K53))</f>
        <v>0</v>
      </c>
      <c r="AC53" s="216">
        <f>IF($Y53=0,0,IF('Plant Inputs'!L53="",0,'Plant Inputs'!L53))</f>
        <v>0</v>
      </c>
      <c r="AD53" s="216">
        <f>IF($Y53=0,0,IF('Plant Inputs'!M53="",0,'Plant Inputs'!M53))</f>
        <v>0</v>
      </c>
      <c r="AE53" s="217" t="str">
        <f>'Plant Inputs'!$O53</f>
        <v>mile</v>
      </c>
      <c r="AF53" s="217">
        <f t="shared" si="9"/>
        <v>1.6093473468862911</v>
      </c>
      <c r="AG53" s="216" t="str">
        <f t="shared" si="23"/>
        <v>km/mile</v>
      </c>
      <c r="AH53" s="216">
        <f>AA53*$AF53</f>
        <v>0</v>
      </c>
      <c r="AI53" s="216">
        <f>AB53*$AF53</f>
        <v>0</v>
      </c>
      <c r="AJ53" s="216">
        <f>AC53*$AF53</f>
        <v>0</v>
      </c>
      <c r="AK53" s="216">
        <f>AD53*$AF53</f>
        <v>0</v>
      </c>
      <c r="AL53" s="216"/>
      <c r="AM53" s="1" t="str">
        <f t="shared" si="32"/>
        <v>Carbon Fibre Reinforced Polymer (CFRP) strand</v>
      </c>
      <c r="AN53" s="12" t="s">
        <v>127</v>
      </c>
      <c r="AO53">
        <f t="shared" si="33"/>
        <v>0</v>
      </c>
      <c r="AP53" s="1">
        <f t="shared" si="24"/>
        <v>0</v>
      </c>
      <c r="AQ53" s="1" t="str">
        <f t="shared" si="34"/>
        <v>short ton</v>
      </c>
      <c r="AR53" s="1">
        <f t="shared" si="14"/>
        <v>0.90718499588591606</v>
      </c>
      <c r="AS53" s="87" t="str">
        <f t="shared" si="35"/>
        <v>tonne/short ton</v>
      </c>
      <c r="AT53" s="87">
        <f t="shared" si="36"/>
        <v>0</v>
      </c>
      <c r="AU53" s="87">
        <f t="shared" si="37"/>
        <v>0</v>
      </c>
      <c r="AV53" s="87">
        <f t="shared" si="18"/>
        <v>0</v>
      </c>
      <c r="AW53" t="str">
        <f t="shared" si="38"/>
        <v>Carbon Fibre Reinforced Polymer (CFRP) strand</v>
      </c>
      <c r="AX53" s="148">
        <f t="array" ref="AX53">IFERROR(INDEX(LCIA_Data,MATCH($AO$15&amp;AX$27,LCIA_Rows_B&amp;LCIA_Rows_C,0),MATCH($D53,LCIA_Columns,0)),0)*$AU53</f>
        <v>0</v>
      </c>
      <c r="AY53" s="148">
        <f t="array" ref="AY53">IFERROR(INDEX(LCIA_Data,MATCH($AO$15&amp;AY$27,LCIA_Rows_B&amp;LCIA_Rows_C,0),MATCH($D53,LCIA_Columns,0)),0)*$AU53</f>
        <v>0</v>
      </c>
      <c r="AZ53" s="148">
        <f t="array" ref="AZ53">IFERROR(INDEX(LCIA_Data,MATCH($AO$15&amp;AZ$27,LCIA_Rows_B&amp;LCIA_Rows_C,0),MATCH($D53,LCIA_Columns,0)),0)*$AU53</f>
        <v>0</v>
      </c>
      <c r="BA53" s="148">
        <f t="array" ref="BA53">IFERROR(INDEX(LCIA_Data,MATCH($AO$15&amp;BA$27,LCIA_Rows_B&amp;LCIA_Rows_C,0),MATCH($D53,LCIA_Columns,0)),0)*$AU53</f>
        <v>0</v>
      </c>
      <c r="BB53" s="148">
        <f t="array" ref="BB53">IFERROR(INDEX(LCIA_Data,MATCH($AO$15&amp;BB$27,LCIA_Rows_B&amp;LCIA_Rows_C,0),MATCH($D53,LCIA_Columns,0)),0)*$AU53</f>
        <v>0</v>
      </c>
      <c r="BC53" s="148">
        <f t="array" ref="BC53">IFERROR(INDEX(LCIA_Data,MATCH($AO$15&amp;BC$27,LCIA_Rows_B&amp;LCIA_Rows_C,0),MATCH($D53,LCIA_Columns,0)),0)*$AU53</f>
        <v>0</v>
      </c>
      <c r="BD53" s="148">
        <f t="array" ref="BD53">IFERROR(INDEX(LCIA_Data,MATCH($AO$15&amp;BD$27,LCIA_Rows_B&amp;LCIA_Rows_C,0),MATCH($D53,LCIA_Columns,0)),0)*$AU53</f>
        <v>0</v>
      </c>
      <c r="BE53" s="148">
        <f t="array" ref="BE53">IFERROR(INDEX(LCIA_Data,MATCH($AO$15&amp;BE$27,LCIA_Rows_B&amp;LCIA_Rows_C,0),MATCH($D53,LCIA_Columns,0)),0)*$AU53</f>
        <v>0</v>
      </c>
      <c r="BF53" s="148">
        <f t="array" ref="BF53">IFERROR(INDEX(LCIA_Data,MATCH($AO$15&amp;BF$27,LCIA_Rows_B&amp;LCIA_Rows_C,0),MATCH($D53,LCIA_Columns,0)),0)*$AU53</f>
        <v>0</v>
      </c>
      <c r="BG53" s="148">
        <f t="array" ref="BG53">IFERROR(INDEX(LCIA_Data,MATCH($AO$15&amp;BG$27,LCIA_Rows_B&amp;LCIA_Rows_C,0),MATCH($D53,LCIA_Columns,0)),0)*$AU53</f>
        <v>0</v>
      </c>
      <c r="BH53" s="148">
        <f t="array" ref="BH53">IFERROR(INDEX(LCIA_Data,MATCH($AO$15&amp;BH$27,LCIA_Rows_B&amp;LCIA_Rows_C,0),MATCH($D53,LCIA_Columns,0)),0)*$AU53</f>
        <v>0</v>
      </c>
      <c r="BI53" s="148">
        <f t="array" ref="BI53">IFERROR(INDEX(LCIA_Data,MATCH($AO$15&amp;BI$27,LCIA_Rows_B&amp;LCIA_Rows_C,0),MATCH($D53,LCIA_Columns,0)),0)*$AU53</f>
        <v>0</v>
      </c>
      <c r="BJ53" s="148">
        <f t="array" ref="BJ53">IFERROR(INDEX(LCIA_Data,MATCH($AO$15&amp;BJ$27,LCIA_Rows_B&amp;LCIA_Rows_C,0),MATCH($D53,LCIA_Columns,0)),0)*$AU53</f>
        <v>0</v>
      </c>
      <c r="BK53" s="148">
        <f t="array" ref="BK53">IFERROR(INDEX(LCIA_Data,MATCH($AO$15&amp;BK$27,LCIA_Rows_B&amp;LCIA_Rows_C,0),MATCH($D53,LCIA_Columns,0)),0)*$AU53</f>
        <v>0</v>
      </c>
      <c r="BM53" s="1">
        <f t="array" ref="BM53">IFERROR(INDEX(LCIA_Data,MATCH($AO$15&amp;BM$27,LCIA_Rows_B&amp;LCIA_Rows_C,0),MATCH(BM$26,LCIA_Columns,0)),0)*$AT53*$AH53*$BN$23</f>
        <v>0</v>
      </c>
      <c r="BN53" s="1">
        <f t="array" ref="BN53">IFERROR(INDEX(LCIA_Data,MATCH($AO$15&amp;BN$27,LCIA_Rows_B&amp;LCIA_Rows_C,0),MATCH(BN$26,LCIA_Columns,0)),0)*$AT53*$AH53*$BN$23</f>
        <v>0</v>
      </c>
      <c r="BO53" s="1">
        <f t="array" ref="BO53">IFERROR(INDEX(LCIA_Data,MATCH($AO$15&amp;BO$27,LCIA_Rows_B&amp;LCIA_Rows_C,0),MATCH(BO$26,LCIA_Columns,0)),0)*$AT53*$AH53*$BN$23</f>
        <v>0</v>
      </c>
      <c r="BP53" s="1">
        <f t="array" ref="BP53">IFERROR(INDEX(LCIA_Data,MATCH($AO$15&amp;BP$27,LCIA_Rows_B&amp;LCIA_Rows_C,0),MATCH(BP$26,LCIA_Columns,0)),0)*$AT53*$AH53*$BN$23</f>
        <v>0</v>
      </c>
      <c r="BQ53" s="1">
        <f t="array" ref="BQ53">IFERROR(INDEX(LCIA_Data,MATCH($AO$15&amp;BQ$27,LCIA_Rows_B&amp;LCIA_Rows_C,0),MATCH(BQ$26,LCIA_Columns,0)),0)*$AT53*$AH53*$BN$23</f>
        <v>0</v>
      </c>
      <c r="BR53" s="1">
        <f t="array" ref="BR53">IFERROR(INDEX(LCIA_Data,MATCH($AO$15&amp;BR$27,LCIA_Rows_B&amp;LCIA_Rows_C,0),MATCH(BR$26,LCIA_Columns,0)),0)*$AT53*$AH53*$BN$23</f>
        <v>0</v>
      </c>
      <c r="BS53" s="1">
        <f t="array" ref="BS53">IFERROR(INDEX(LCIA_Data,MATCH($AO$15&amp;BS$27,LCIA_Rows_B&amp;LCIA_Rows_C,0),MATCH(BS$26,LCIA_Columns,0)),0)*$AT53*$AH53*$BN$23</f>
        <v>0</v>
      </c>
      <c r="BT53" s="1">
        <f t="array" ref="BT53">IFERROR(INDEX(LCIA_Data,MATCH($AO$15&amp;BT$27,LCIA_Rows_B&amp;LCIA_Rows_C,0),MATCH(BT$26,LCIA_Columns,0)),0)*$AT53*$AH53*$BN$23</f>
        <v>0</v>
      </c>
      <c r="BU53" s="1">
        <f t="array" ref="BU53">IFERROR(INDEX(LCIA_Data,MATCH($AO$15&amp;BU$27,LCIA_Rows_B&amp;LCIA_Rows_C,0),MATCH(BU$26,LCIA_Columns,0)),0)*$AT53*$AH53*$BN$23</f>
        <v>0</v>
      </c>
      <c r="BV53" s="1">
        <f t="array" ref="BV53">IFERROR(INDEX(LCIA_Data,MATCH($AO$15&amp;BV$27,LCIA_Rows_B&amp;LCIA_Rows_C,0),MATCH(BV$26,LCIA_Columns,0)),0)*$AT53*$AH53*$BN$23</f>
        <v>0</v>
      </c>
      <c r="BW53" s="1">
        <f t="array" ref="BW53">IFERROR(INDEX(LCIA_Data,MATCH($AO$15&amp;BW$27,LCIA_Rows_B&amp;LCIA_Rows_C,0),MATCH(BW$26,LCIA_Columns,0)),0)*$AT53*$AH53*$BN$23</f>
        <v>0</v>
      </c>
      <c r="BX53" s="1">
        <f t="array" ref="BX53">IFERROR(INDEX(LCIA_Data,MATCH($AO$15&amp;BX$27,LCIA_Rows_B&amp;LCIA_Rows_C,0),MATCH(BX$26,LCIA_Columns,0)),0)*$AT53*$AH53*$BN$23</f>
        <v>0</v>
      </c>
      <c r="BY53" s="1">
        <f t="array" ref="BY53">IFERROR(INDEX(LCIA_Data,MATCH($AO$15&amp;BY$27,LCIA_Rows_B&amp;LCIA_Rows_C,0),MATCH(BY$26,LCIA_Columns,0)),0)*$AT53*$AH53*$BN$23</f>
        <v>0</v>
      </c>
      <c r="BZ53" s="1">
        <f t="array" ref="BZ53">IFERROR(INDEX(LCIA_Data,MATCH($AO$15&amp;BZ$27,LCIA_Rows_B&amp;LCIA_Rows_C,0),MATCH(BZ$26,LCIA_Columns,0)),0)*$AT53*$AH53*$BN$23</f>
        <v>0</v>
      </c>
      <c r="CA53" s="1">
        <f t="array" ref="CA53">IFERROR(INDEX(LCIA_Data,MATCH($AO$15&amp;CA$27,LCIA_Rows_B&amp;LCIA_Rows_C,0),MATCH(CA$26,LCIA_Columns,0)),0)*$AT53*$AI53*$BN$23</f>
        <v>0</v>
      </c>
      <c r="CB53" s="1">
        <f t="array" ref="CB53">IFERROR(INDEX(LCIA_Data,MATCH($AO$15&amp;CB$27,LCIA_Rows_B&amp;LCIA_Rows_C,0),MATCH(CB$26,LCIA_Columns,0)),0)*$AT53*$AI53*$BN$23</f>
        <v>0</v>
      </c>
      <c r="CC53" s="1">
        <f t="array" ref="CC53">IFERROR(INDEX(LCIA_Data,MATCH($AO$15&amp;CC$27,LCIA_Rows_B&amp;LCIA_Rows_C,0),MATCH(CC$26,LCIA_Columns,0)),0)*$AT53*$AI53*$BN$23</f>
        <v>0</v>
      </c>
      <c r="CD53" s="1">
        <f t="array" ref="CD53">IFERROR(INDEX(LCIA_Data,MATCH($AO$15&amp;CD$27,LCIA_Rows_B&amp;LCIA_Rows_C,0),MATCH(CD$26,LCIA_Columns,0)),0)*$AT53*$AI53*$BN$23</f>
        <v>0</v>
      </c>
      <c r="CE53" s="1">
        <f t="array" ref="CE53">IFERROR(INDEX(LCIA_Data,MATCH($AO$15&amp;CE$27,LCIA_Rows_B&amp;LCIA_Rows_C,0),MATCH(CE$26,LCIA_Columns,0)),0)*$AT53*$AI53*$BN$23</f>
        <v>0</v>
      </c>
      <c r="CF53" s="1">
        <f t="array" ref="CF53">IFERROR(INDEX(LCIA_Data,MATCH($AO$15&amp;CF$27,LCIA_Rows_B&amp;LCIA_Rows_C,0),MATCH(CF$26,LCIA_Columns,0)),0)*$AT53*$AI53*$BN$23</f>
        <v>0</v>
      </c>
      <c r="CG53" s="1">
        <f t="array" ref="CG53">IFERROR(INDEX(LCIA_Data,MATCH($AO$15&amp;CG$27,LCIA_Rows_B&amp;LCIA_Rows_C,0),MATCH(CG$26,LCIA_Columns,0)),0)*$AT53*$AI53*$BN$23</f>
        <v>0</v>
      </c>
      <c r="CH53" s="1">
        <f t="array" ref="CH53">IFERROR(INDEX(LCIA_Data,MATCH($AO$15&amp;CH$27,LCIA_Rows_B&amp;LCIA_Rows_C,0),MATCH(CH$26,LCIA_Columns,0)),0)*$AT53*$AI53*$BN$23</f>
        <v>0</v>
      </c>
      <c r="CI53" s="1">
        <f t="array" ref="CI53">IFERROR(INDEX(LCIA_Data,MATCH($AO$15&amp;CI$27,LCIA_Rows_B&amp;LCIA_Rows_C,0),MATCH(CI$26,LCIA_Columns,0)),0)*$AT53*$AI53*$BN$23</f>
        <v>0</v>
      </c>
      <c r="CJ53" s="1">
        <f t="array" ref="CJ53">IFERROR(INDEX(LCIA_Data,MATCH($AO$15&amp;CJ$27,LCIA_Rows_B&amp;LCIA_Rows_C,0),MATCH(CJ$26,LCIA_Columns,0)),0)*$AT53*$AI53*$BN$23</f>
        <v>0</v>
      </c>
      <c r="CK53" s="1">
        <f t="array" ref="CK53">IFERROR(INDEX(LCIA_Data,MATCH($AO$15&amp;CK$27,LCIA_Rows_B&amp;LCIA_Rows_C,0),MATCH(CK$26,LCIA_Columns,0)),0)*$AT53*$AI53*$BN$23</f>
        <v>0</v>
      </c>
      <c r="CL53" s="1">
        <f t="array" ref="CL53">IFERROR(INDEX(LCIA_Data,MATCH($AO$15&amp;CL$27,LCIA_Rows_B&amp;LCIA_Rows_C,0),MATCH(CL$26,LCIA_Columns,0)),0)*$AT53*$AI53*$BN$23</f>
        <v>0</v>
      </c>
      <c r="CM53" s="1">
        <f t="array" ref="CM53">IFERROR(INDEX(LCIA_Data,MATCH($AO$15&amp;CM$27,LCIA_Rows_B&amp;LCIA_Rows_C,0),MATCH(CM$26,LCIA_Columns,0)),0)*$AT53*$AJ53*$BN$23</f>
        <v>0</v>
      </c>
      <c r="CN53" s="1">
        <f t="array" ref="CN53">IFERROR(INDEX(LCIA_Data,MATCH($AO$15&amp;CN$27,LCIA_Rows_B&amp;LCIA_Rows_C,0),MATCH(CN$26,LCIA_Columns,0)),0)*$AT53*$AJ53*$BN$23</f>
        <v>0</v>
      </c>
      <c r="CO53" s="1">
        <f t="array" ref="CO53">IFERROR(INDEX(LCIA_Data,MATCH($AO$15&amp;CO$27,LCIA_Rows_B&amp;LCIA_Rows_C,0),MATCH(CO$26,LCIA_Columns,0)),0)*$AT53*$AJ53*$BN$23</f>
        <v>0</v>
      </c>
      <c r="CP53" s="1">
        <f t="array" ref="CP53">IFERROR(INDEX(LCIA_Data,MATCH($AO$15&amp;CP$27,LCIA_Rows_B&amp;LCIA_Rows_C,0),MATCH(CP$26,LCIA_Columns,0)),0)*$AT53*$AJ53*$BN$23</f>
        <v>0</v>
      </c>
      <c r="CQ53" s="1">
        <f t="array" ref="CQ53">IFERROR(INDEX(LCIA_Data,MATCH($AO$15&amp;CQ$27,LCIA_Rows_B&amp;LCIA_Rows_C,0),MATCH(CQ$26,LCIA_Columns,0)),0)*$AT53*$AJ53*$BN$23</f>
        <v>0</v>
      </c>
      <c r="CR53" s="1">
        <f t="array" ref="CR53">IFERROR(INDEX(LCIA_Data,MATCH($AO$15&amp;CR$27,LCIA_Rows_B&amp;LCIA_Rows_C,0),MATCH(CR$26,LCIA_Columns,0)),0)*$AT53*$AJ53*$BN$23</f>
        <v>0</v>
      </c>
      <c r="CS53" s="1">
        <f t="array" ref="CS53">IFERROR(INDEX(LCIA_Data,MATCH($AO$15&amp;CS$27,LCIA_Rows_B&amp;LCIA_Rows_C,0),MATCH(CS$26,LCIA_Columns,0)),0)*$AT53*$AJ53*$BN$23</f>
        <v>0</v>
      </c>
      <c r="CT53" s="1">
        <f t="array" ref="CT53">IFERROR(INDEX(LCIA_Data,MATCH($AO$15&amp;CT$27,LCIA_Rows_B&amp;LCIA_Rows_C,0),MATCH(CT$26,LCIA_Columns,0)),0)*$AT53*$AJ53*$BN$23</f>
        <v>0</v>
      </c>
      <c r="CU53" s="1">
        <f t="array" ref="CU53">IFERROR(INDEX(LCIA_Data,MATCH($AO$15&amp;CU$27,LCIA_Rows_B&amp;LCIA_Rows_C,0),MATCH(CU$26,LCIA_Columns,0)),0)*$AT53*$AJ53*$BN$23</f>
        <v>0</v>
      </c>
      <c r="CV53" s="1">
        <f t="array" ref="CV53">IFERROR(INDEX(LCIA_Data,MATCH($AO$15&amp;CV$27,LCIA_Rows_B&amp;LCIA_Rows_C,0),MATCH(CV$26,LCIA_Columns,0)),0)*$AT53*$AJ53*$BN$23</f>
        <v>0</v>
      </c>
      <c r="CW53" s="1">
        <f t="array" ref="CW53">IFERROR(INDEX(LCIA_Data,MATCH($AO$15&amp;CW$27,LCIA_Rows_B&amp;LCIA_Rows_C,0),MATCH(CW$26,LCIA_Columns,0)),0)*$AT53*$AJ53*$BN$23</f>
        <v>0</v>
      </c>
      <c r="CX53" s="1">
        <f t="array" ref="CX53">IFERROR(INDEX(LCIA_Data,MATCH($AO$15&amp;CX$27,LCIA_Rows_B&amp;LCIA_Rows_C,0),MATCH(CX$26,LCIA_Columns,0)),0)*$AT53*$AJ53*$BN$23</f>
        <v>0</v>
      </c>
      <c r="CY53" s="1">
        <f t="array" ref="CY53">IFERROR(INDEX(LCIA_Data,MATCH($AO$15&amp;CY$27,LCIA_Rows_B&amp;LCIA_Rows_C,0),MATCH(CY$26,LCIA_Columns,0)),0)*$AT53*$AJ53*$BN$23</f>
        <v>0</v>
      </c>
      <c r="CZ53" s="1">
        <f t="array" ref="CZ53">IFERROR(INDEX(LCIA_Data,MATCH($AO$15&amp;CZ$27,LCIA_Rows_B&amp;LCIA_Rows_C,0),MATCH(CZ$26,LCIA_Columns,0)),0)*$AT53*$AJ53*$BN$23</f>
        <v>0</v>
      </c>
      <c r="DA53" s="1">
        <f t="array" ref="DA53">IFERROR(INDEX(LCIA_Data,MATCH($AO$15&amp;DA$27,LCIA_Rows_B&amp;LCIA_Rows_C,0),MATCH(DA$26,LCIA_Columns,0)),0)*$AT53*$AK53*$BN$23</f>
        <v>0</v>
      </c>
      <c r="DB53" s="1">
        <f t="array" ref="DB53">IFERROR(INDEX(LCIA_Data,MATCH($AO$15&amp;DB$27,LCIA_Rows_B&amp;LCIA_Rows_C,0),MATCH(DB$26,LCIA_Columns,0)),0)*$AT53*$AK53*$BN$23</f>
        <v>0</v>
      </c>
      <c r="DC53" s="1">
        <f t="array" ref="DC53">IFERROR(INDEX(LCIA_Data,MATCH($AO$15&amp;DC$27,LCIA_Rows_B&amp;LCIA_Rows_C,0),MATCH(DC$26,LCIA_Columns,0)),0)*$AT53*$AK53*$BN$23</f>
        <v>0</v>
      </c>
      <c r="DD53" s="1">
        <f t="array" ref="DD53">IFERROR(INDEX(LCIA_Data,MATCH($AO$15&amp;DD$27,LCIA_Rows_B&amp;LCIA_Rows_C,0),MATCH(DD$26,LCIA_Columns,0)),0)*$AT53*$AK53*$BN$23</f>
        <v>0</v>
      </c>
      <c r="DE53" s="1">
        <f t="array" ref="DE53">IFERROR(INDEX(LCIA_Data,MATCH($AO$15&amp;DE$27,LCIA_Rows_B&amp;LCIA_Rows_C,0),MATCH(DE$26,LCIA_Columns,0)),0)*$AT53*$AK53*$BN$23</f>
        <v>0</v>
      </c>
      <c r="DF53" s="1">
        <f t="array" ref="DF53">IFERROR(INDEX(LCIA_Data,MATCH($AO$15&amp;DF$27,LCIA_Rows_B&amp;LCIA_Rows_C,0),MATCH(DF$26,LCIA_Columns,0)),0)*$AT53*$AK53*$BN$23</f>
        <v>0</v>
      </c>
      <c r="DG53" s="1">
        <f t="array" ref="DG53">IFERROR(INDEX(LCIA_Data,MATCH($AO$15&amp;DG$27,LCIA_Rows_B&amp;LCIA_Rows_C,0),MATCH(DG$26,LCIA_Columns,0)),0)*$AT53*$AK53*$BN$23</f>
        <v>0</v>
      </c>
      <c r="DH53" s="1">
        <f t="array" ref="DH53">IFERROR(INDEX(LCIA_Data,MATCH($AO$15&amp;DH$27,LCIA_Rows_B&amp;LCIA_Rows_C,0),MATCH(DH$26,LCIA_Columns,0)),0)*$AT53*$AK53*$BN$23</f>
        <v>0</v>
      </c>
      <c r="DI53" s="1">
        <f t="array" ref="DI53">IFERROR(INDEX(LCIA_Data,MATCH($AO$15&amp;DI$27,LCIA_Rows_B&amp;LCIA_Rows_C,0),MATCH(DI$26,LCIA_Columns,0)),0)*$AT53*$AK53*$BN$23</f>
        <v>0</v>
      </c>
      <c r="DJ53" s="1">
        <f t="array" ref="DJ53">IFERROR(INDEX(LCIA_Data,MATCH($AO$15&amp;DJ$27,LCIA_Rows_B&amp;LCIA_Rows_C,0),MATCH(DJ$26,LCIA_Columns,0)),0)*$AT53*$AK53*$BN$23</f>
        <v>0</v>
      </c>
      <c r="DK53" s="1">
        <f t="array" ref="DK53">IFERROR(INDEX(LCIA_Data,MATCH($AO$15&amp;DK$27,LCIA_Rows_B&amp;LCIA_Rows_C,0),MATCH(DK$26,LCIA_Columns,0)),0)*$AT53*$AK53*$BN$23</f>
        <v>0</v>
      </c>
      <c r="DL53" s="1">
        <f t="array" ref="DL53">IFERROR(INDEX(LCIA_Data,MATCH($AO$15&amp;DL$27,LCIA_Rows_B&amp;LCIA_Rows_C,0),MATCH(DL$26,LCIA_Columns,0)),0)*$AT53*$AK53*$BN$23</f>
        <v>0</v>
      </c>
      <c r="DM53" s="1">
        <f t="array" ref="DM53">IFERROR(INDEX(LCIA_Data,MATCH($AO$15&amp;DM$27,LCIA_Rows_B&amp;LCIA_Rows_C,0),MATCH(DM$26,LCIA_Columns,0)),0)*$AT53*$AK53*$BN$23</f>
        <v>0</v>
      </c>
      <c r="DN53" s="1">
        <f t="array" ref="DN53">IFERROR(INDEX(LCIA_Data,MATCH($AO$15&amp;DN$27,LCIA_Rows_B&amp;LCIA_Rows_C,0),MATCH(DN$26,LCIA_Columns,0)),0)*$AT53*$AK53*$BN$23</f>
        <v>0</v>
      </c>
      <c r="DO53">
        <f t="shared" si="41"/>
        <v>0</v>
      </c>
      <c r="DP53">
        <f t="shared" si="41"/>
        <v>0</v>
      </c>
      <c r="DQ53">
        <f t="shared" si="41"/>
        <v>0</v>
      </c>
      <c r="DR53">
        <f t="shared" si="41"/>
        <v>0</v>
      </c>
      <c r="DS53">
        <f t="shared" si="41"/>
        <v>0</v>
      </c>
      <c r="DT53">
        <f t="shared" si="41"/>
        <v>0</v>
      </c>
      <c r="DU53">
        <f t="shared" si="41"/>
        <v>0</v>
      </c>
      <c r="DV53">
        <f t="shared" si="41"/>
        <v>0</v>
      </c>
      <c r="DW53">
        <f t="shared" si="40"/>
        <v>0</v>
      </c>
      <c r="DX53">
        <f t="shared" si="40"/>
        <v>0</v>
      </c>
      <c r="DY53">
        <f t="shared" si="40"/>
        <v>0</v>
      </c>
      <c r="DZ53">
        <f t="shared" si="40"/>
        <v>0</v>
      </c>
      <c r="EA53">
        <f t="shared" si="40"/>
        <v>0</v>
      </c>
      <c r="EB53">
        <f t="shared" si="21"/>
        <v>0</v>
      </c>
      <c r="EC53"/>
      <c r="ED53"/>
      <c r="EE53"/>
      <c r="EF53"/>
      <c r="EG53"/>
    </row>
    <row r="54" spans="2:137" ht="15" customHeight="1">
      <c r="B54" s="53">
        <f t="shared" si="29"/>
        <v>0</v>
      </c>
      <c r="C54" s="26">
        <f t="shared" si="22"/>
        <v>25</v>
      </c>
      <c r="D54" s="46" t="str">
        <f>'Plant Inputs'!$D54</f>
        <v>Polypropylene Fibers</v>
      </c>
      <c r="E54" s="99"/>
      <c r="F54" s="119" t="str">
        <f t="shared" si="39"/>
        <v>short ton</v>
      </c>
      <c r="G54" s="158">
        <f t="shared" si="26"/>
        <v>0</v>
      </c>
      <c r="H54" s="204" t="str">
        <f t="shared" si="7"/>
        <v>short ton</v>
      </c>
      <c r="I54" s="399">
        <f t="shared" si="8"/>
        <v>0</v>
      </c>
      <c r="J54"/>
      <c r="K54"/>
      <c r="L54"/>
      <c r="M54"/>
      <c r="N54"/>
      <c r="O54"/>
      <c r="P54"/>
      <c r="Q54"/>
      <c r="R54"/>
      <c r="S54"/>
      <c r="T54"/>
      <c r="X54" s="67">
        <f t="shared" si="30"/>
        <v>0</v>
      </c>
      <c r="Y54" s="216">
        <f>IF(AND($X54=1,'Plant Inputs'!$Y54=1),1,0)</f>
        <v>0</v>
      </c>
      <c r="Z54" s="216"/>
      <c r="AA54" s="216">
        <f>IF($Y54=0,0,IF('Plant Inputs'!J54="",0,'Plant Inputs'!J54))</f>
        <v>0</v>
      </c>
      <c r="AB54" s="216">
        <f>IF($Y54=0,0,IF('Plant Inputs'!K54="",0,'Plant Inputs'!K54))</f>
        <v>0</v>
      </c>
      <c r="AC54" s="216">
        <f>IF($Y54=0,0,IF('Plant Inputs'!L54="",0,'Plant Inputs'!L54))</f>
        <v>0</v>
      </c>
      <c r="AD54" s="216">
        <f>IF($Y54=0,0,IF('Plant Inputs'!M54="",0,'Plant Inputs'!M54))</f>
        <v>0</v>
      </c>
      <c r="AE54" s="217" t="str">
        <f>'Plant Inputs'!$O54</f>
        <v>mile</v>
      </c>
      <c r="AF54" s="217">
        <f t="shared" si="9"/>
        <v>1.6093473468862911</v>
      </c>
      <c r="AG54" s="216" t="str">
        <f t="shared" si="23"/>
        <v>km/mile</v>
      </c>
      <c r="AH54" s="216">
        <f t="shared" ref="AH54:AK64" si="42">AA54*$AF54</f>
        <v>0</v>
      </c>
      <c r="AI54" s="216">
        <f t="shared" si="42"/>
        <v>0</v>
      </c>
      <c r="AJ54" s="216">
        <f t="shared" si="42"/>
        <v>0</v>
      </c>
      <c r="AK54" s="216">
        <f t="shared" si="42"/>
        <v>0</v>
      </c>
      <c r="AL54" s="216"/>
      <c r="AM54" s="1" t="str">
        <f t="shared" si="32"/>
        <v>Polypropylene Fibers</v>
      </c>
      <c r="AN54" s="12" t="s">
        <v>127</v>
      </c>
      <c r="AO54">
        <f t="shared" si="33"/>
        <v>0</v>
      </c>
      <c r="AP54" s="1">
        <f t="shared" si="24"/>
        <v>0</v>
      </c>
      <c r="AQ54" s="1" t="str">
        <f t="shared" si="34"/>
        <v>short ton</v>
      </c>
      <c r="AR54" s="1">
        <f t="shared" si="14"/>
        <v>0.90718499588591606</v>
      </c>
      <c r="AS54" s="87" t="str">
        <f t="shared" si="35"/>
        <v>tonne/short ton</v>
      </c>
      <c r="AT54" s="87">
        <f t="shared" si="36"/>
        <v>0</v>
      </c>
      <c r="AU54" s="87">
        <f t="shared" si="37"/>
        <v>0</v>
      </c>
      <c r="AV54" s="87">
        <f t="shared" si="18"/>
        <v>0</v>
      </c>
      <c r="AW54" t="str">
        <f t="shared" si="38"/>
        <v>Polypropylene Fibers</v>
      </c>
      <c r="AX54" s="148">
        <f t="array" ref="AX54">IFERROR(INDEX(LCIA_Data,MATCH($AO$15&amp;AX$27,LCIA_Rows_B&amp;LCIA_Rows_C,0),MATCH($D54,LCIA_Columns,0)),0)*$AU54</f>
        <v>0</v>
      </c>
      <c r="AY54" s="148">
        <f t="array" ref="AY54">IFERROR(INDEX(LCIA_Data,MATCH($AO$15&amp;AY$27,LCIA_Rows_B&amp;LCIA_Rows_C,0),MATCH($D54,LCIA_Columns,0)),0)*$AU54</f>
        <v>0</v>
      </c>
      <c r="AZ54" s="148">
        <f t="array" ref="AZ54">IFERROR(INDEX(LCIA_Data,MATCH($AO$15&amp;AZ$27,LCIA_Rows_B&amp;LCIA_Rows_C,0),MATCH($D54,LCIA_Columns,0)),0)*$AU54</f>
        <v>0</v>
      </c>
      <c r="BA54" s="148">
        <f t="array" ref="BA54">IFERROR(INDEX(LCIA_Data,MATCH($AO$15&amp;BA$27,LCIA_Rows_B&amp;LCIA_Rows_C,0),MATCH($D54,LCIA_Columns,0)),0)*$AU54</f>
        <v>0</v>
      </c>
      <c r="BB54" s="148">
        <f t="array" ref="BB54">IFERROR(INDEX(LCIA_Data,MATCH($AO$15&amp;BB$27,LCIA_Rows_B&amp;LCIA_Rows_C,0),MATCH($D54,LCIA_Columns,0)),0)*$AU54</f>
        <v>0</v>
      </c>
      <c r="BC54" s="148">
        <f t="array" ref="BC54">IFERROR(INDEX(LCIA_Data,MATCH($AO$15&amp;BC$27,LCIA_Rows_B&amp;LCIA_Rows_C,0),MATCH($D54,LCIA_Columns,0)),0)*$AU54</f>
        <v>0</v>
      </c>
      <c r="BD54" s="148">
        <f t="array" ref="BD54">IFERROR(INDEX(LCIA_Data,MATCH($AO$15&amp;BD$27,LCIA_Rows_B&amp;LCIA_Rows_C,0),MATCH($D54,LCIA_Columns,0)),0)*$AU54</f>
        <v>0</v>
      </c>
      <c r="BE54" s="148">
        <f t="array" ref="BE54">IFERROR(INDEX(LCIA_Data,MATCH($AO$15&amp;BE$27,LCIA_Rows_B&amp;LCIA_Rows_C,0),MATCH($D54,LCIA_Columns,0)),0)*$AU54</f>
        <v>0</v>
      </c>
      <c r="BF54" s="148">
        <f t="array" ref="BF54">IFERROR(INDEX(LCIA_Data,MATCH($AO$15&amp;BF$27,LCIA_Rows_B&amp;LCIA_Rows_C,0),MATCH($D54,LCIA_Columns,0)),0)*$AU54</f>
        <v>0</v>
      </c>
      <c r="BG54" s="148">
        <f t="array" ref="BG54">IFERROR(INDEX(LCIA_Data,MATCH($AO$15&amp;BG$27,LCIA_Rows_B&amp;LCIA_Rows_C,0),MATCH($D54,LCIA_Columns,0)),0)*$AU54</f>
        <v>0</v>
      </c>
      <c r="BH54" s="148">
        <f t="array" ref="BH54">IFERROR(INDEX(LCIA_Data,MATCH($AO$15&amp;BH$27,LCIA_Rows_B&amp;LCIA_Rows_C,0),MATCH($D54,LCIA_Columns,0)),0)*$AU54</f>
        <v>0</v>
      </c>
      <c r="BI54" s="148">
        <f t="array" ref="BI54">IFERROR(INDEX(LCIA_Data,MATCH($AO$15&amp;BI$27,LCIA_Rows_B&amp;LCIA_Rows_C,0),MATCH($D54,LCIA_Columns,0)),0)*$AU54</f>
        <v>0</v>
      </c>
      <c r="BJ54" s="148">
        <f t="array" ref="BJ54">IFERROR(INDEX(LCIA_Data,MATCH($AO$15&amp;BJ$27,LCIA_Rows_B&amp;LCIA_Rows_C,0),MATCH($D54,LCIA_Columns,0)),0)*$AU54</f>
        <v>0</v>
      </c>
      <c r="BK54" s="148">
        <f t="array" ref="BK54">IFERROR(INDEX(LCIA_Data,MATCH($AO$15&amp;BK$27,LCIA_Rows_B&amp;LCIA_Rows_C,0),MATCH($D54,LCIA_Columns,0)),0)*$AU54</f>
        <v>0</v>
      </c>
      <c r="BM54" s="1">
        <f t="array" ref="BM54">IFERROR(INDEX(LCIA_Data,MATCH($AO$15&amp;BM$27,LCIA_Rows_B&amp;LCIA_Rows_C,0),MATCH(BM$26,LCIA_Columns,0)),0)*$AT54*$AH54*$BN$23</f>
        <v>0</v>
      </c>
      <c r="BN54" s="1">
        <f t="array" ref="BN54">IFERROR(INDEX(LCIA_Data,MATCH($AO$15&amp;BN$27,LCIA_Rows_B&amp;LCIA_Rows_C,0),MATCH(BN$26,LCIA_Columns,0)),0)*$AT54*$AH54*$BN$23</f>
        <v>0</v>
      </c>
      <c r="BO54" s="1">
        <f t="array" ref="BO54">IFERROR(INDEX(LCIA_Data,MATCH($AO$15&amp;BO$27,LCIA_Rows_B&amp;LCIA_Rows_C,0),MATCH(BO$26,LCIA_Columns,0)),0)*$AT54*$AH54*$BN$23</f>
        <v>0</v>
      </c>
      <c r="BP54" s="1">
        <f t="array" ref="BP54">IFERROR(INDEX(LCIA_Data,MATCH($AO$15&amp;BP$27,LCIA_Rows_B&amp;LCIA_Rows_C,0),MATCH(BP$26,LCIA_Columns,0)),0)*$AT54*$AH54*$BN$23</f>
        <v>0</v>
      </c>
      <c r="BQ54" s="1">
        <f t="array" ref="BQ54">IFERROR(INDEX(LCIA_Data,MATCH($AO$15&amp;BQ$27,LCIA_Rows_B&amp;LCIA_Rows_C,0),MATCH(BQ$26,LCIA_Columns,0)),0)*$AT54*$AH54*$BN$23</f>
        <v>0</v>
      </c>
      <c r="BR54" s="1">
        <f t="array" ref="BR54">IFERROR(INDEX(LCIA_Data,MATCH($AO$15&amp;BR$27,LCIA_Rows_B&amp;LCIA_Rows_C,0),MATCH(BR$26,LCIA_Columns,0)),0)*$AT54*$AH54*$BN$23</f>
        <v>0</v>
      </c>
      <c r="BS54" s="1">
        <f t="array" ref="BS54">IFERROR(INDEX(LCIA_Data,MATCH($AO$15&amp;BS$27,LCIA_Rows_B&amp;LCIA_Rows_C,0),MATCH(BS$26,LCIA_Columns,0)),0)*$AT54*$AH54*$BN$23</f>
        <v>0</v>
      </c>
      <c r="BT54" s="1">
        <f t="array" ref="BT54">IFERROR(INDEX(LCIA_Data,MATCH($AO$15&amp;BT$27,LCIA_Rows_B&amp;LCIA_Rows_C,0),MATCH(BT$26,LCIA_Columns,0)),0)*$AT54*$AH54*$BN$23</f>
        <v>0</v>
      </c>
      <c r="BU54" s="1">
        <f t="array" ref="BU54">IFERROR(INDEX(LCIA_Data,MATCH($AO$15&amp;BU$27,LCIA_Rows_B&amp;LCIA_Rows_C,0),MATCH(BU$26,LCIA_Columns,0)),0)*$AT54*$AH54*$BN$23</f>
        <v>0</v>
      </c>
      <c r="BV54" s="1">
        <f t="array" ref="BV54">IFERROR(INDEX(LCIA_Data,MATCH($AO$15&amp;BV$27,LCIA_Rows_B&amp;LCIA_Rows_C,0),MATCH(BV$26,LCIA_Columns,0)),0)*$AT54*$AH54*$BN$23</f>
        <v>0</v>
      </c>
      <c r="BW54" s="1">
        <f t="array" ref="BW54">IFERROR(INDEX(LCIA_Data,MATCH($AO$15&amp;BW$27,LCIA_Rows_B&amp;LCIA_Rows_C,0),MATCH(BW$26,LCIA_Columns,0)),0)*$AT54*$AH54*$BN$23</f>
        <v>0</v>
      </c>
      <c r="BX54" s="1">
        <f t="array" ref="BX54">IFERROR(INDEX(LCIA_Data,MATCH($AO$15&amp;BX$27,LCIA_Rows_B&amp;LCIA_Rows_C,0),MATCH(BX$26,LCIA_Columns,0)),0)*$AT54*$AH54*$BN$23</f>
        <v>0</v>
      </c>
      <c r="BY54" s="1">
        <f t="array" ref="BY54">IFERROR(INDEX(LCIA_Data,MATCH($AO$15&amp;BY$27,LCIA_Rows_B&amp;LCIA_Rows_C,0),MATCH(BY$26,LCIA_Columns,0)),0)*$AT54*$AH54*$BN$23</f>
        <v>0</v>
      </c>
      <c r="BZ54" s="1">
        <f t="array" ref="BZ54">IFERROR(INDEX(LCIA_Data,MATCH($AO$15&amp;BZ$27,LCIA_Rows_B&amp;LCIA_Rows_C,0),MATCH(BZ$26,LCIA_Columns,0)),0)*$AT54*$AH54*$BN$23</f>
        <v>0</v>
      </c>
      <c r="CA54" s="1">
        <f t="array" ref="CA54">IFERROR(INDEX(LCIA_Data,MATCH($AO$15&amp;CA$27,LCIA_Rows_B&amp;LCIA_Rows_C,0),MATCH(CA$26,LCIA_Columns,0)),0)*$AT54*$AI54*$BN$23</f>
        <v>0</v>
      </c>
      <c r="CB54" s="1">
        <f t="array" ref="CB54">IFERROR(INDEX(LCIA_Data,MATCH($AO$15&amp;CB$27,LCIA_Rows_B&amp;LCIA_Rows_C,0),MATCH(CB$26,LCIA_Columns,0)),0)*$AT54*$AI54*$BN$23</f>
        <v>0</v>
      </c>
      <c r="CC54" s="1">
        <f t="array" ref="CC54">IFERROR(INDEX(LCIA_Data,MATCH($AO$15&amp;CC$27,LCIA_Rows_B&amp;LCIA_Rows_C,0),MATCH(CC$26,LCIA_Columns,0)),0)*$AT54*$AI54*$BN$23</f>
        <v>0</v>
      </c>
      <c r="CD54" s="1">
        <f t="array" ref="CD54">IFERROR(INDEX(LCIA_Data,MATCH($AO$15&amp;CD$27,LCIA_Rows_B&amp;LCIA_Rows_C,0),MATCH(CD$26,LCIA_Columns,0)),0)*$AT54*$AI54*$BN$23</f>
        <v>0</v>
      </c>
      <c r="CE54" s="1">
        <f t="array" ref="CE54">IFERROR(INDEX(LCIA_Data,MATCH($AO$15&amp;CE$27,LCIA_Rows_B&amp;LCIA_Rows_C,0),MATCH(CE$26,LCIA_Columns,0)),0)*$AT54*$AI54*$BN$23</f>
        <v>0</v>
      </c>
      <c r="CF54" s="1">
        <f t="array" ref="CF54">IFERROR(INDEX(LCIA_Data,MATCH($AO$15&amp;CF$27,LCIA_Rows_B&amp;LCIA_Rows_C,0),MATCH(CF$26,LCIA_Columns,0)),0)*$AT54*$AI54*$BN$23</f>
        <v>0</v>
      </c>
      <c r="CG54" s="1">
        <f t="array" ref="CG54">IFERROR(INDEX(LCIA_Data,MATCH($AO$15&amp;CG$27,LCIA_Rows_B&amp;LCIA_Rows_C,0),MATCH(CG$26,LCIA_Columns,0)),0)*$AT54*$AI54*$BN$23</f>
        <v>0</v>
      </c>
      <c r="CH54" s="1">
        <f t="array" ref="CH54">IFERROR(INDEX(LCIA_Data,MATCH($AO$15&amp;CH$27,LCIA_Rows_B&amp;LCIA_Rows_C,0),MATCH(CH$26,LCIA_Columns,0)),0)*$AT54*$AI54*$BN$23</f>
        <v>0</v>
      </c>
      <c r="CI54" s="1">
        <f t="array" ref="CI54">IFERROR(INDEX(LCIA_Data,MATCH($AO$15&amp;CI$27,LCIA_Rows_B&amp;LCIA_Rows_C,0),MATCH(CI$26,LCIA_Columns,0)),0)*$AT54*$AI54*$BN$23</f>
        <v>0</v>
      </c>
      <c r="CJ54" s="1">
        <f t="array" ref="CJ54">IFERROR(INDEX(LCIA_Data,MATCH($AO$15&amp;CJ$27,LCIA_Rows_B&amp;LCIA_Rows_C,0),MATCH(CJ$26,LCIA_Columns,0)),0)*$AT54*$AI54*$BN$23</f>
        <v>0</v>
      </c>
      <c r="CK54" s="1">
        <f t="array" ref="CK54">IFERROR(INDEX(LCIA_Data,MATCH($AO$15&amp;CK$27,LCIA_Rows_B&amp;LCIA_Rows_C,0),MATCH(CK$26,LCIA_Columns,0)),0)*$AT54*$AI54*$BN$23</f>
        <v>0</v>
      </c>
      <c r="CL54" s="1">
        <f t="array" ref="CL54">IFERROR(INDEX(LCIA_Data,MATCH($AO$15&amp;CL$27,LCIA_Rows_B&amp;LCIA_Rows_C,0),MATCH(CL$26,LCIA_Columns,0)),0)*$AT54*$AI54*$BN$23</f>
        <v>0</v>
      </c>
      <c r="CM54" s="1">
        <f t="array" ref="CM54">IFERROR(INDEX(LCIA_Data,MATCH($AO$15&amp;CM$27,LCIA_Rows_B&amp;LCIA_Rows_C,0),MATCH(CM$26,LCIA_Columns,0)),0)*$AT54*$AJ54*$BN$23</f>
        <v>0</v>
      </c>
      <c r="CN54" s="1">
        <f t="array" ref="CN54">IFERROR(INDEX(LCIA_Data,MATCH($AO$15&amp;CN$27,LCIA_Rows_B&amp;LCIA_Rows_C,0),MATCH(CN$26,LCIA_Columns,0)),0)*$AT54*$AJ54*$BN$23</f>
        <v>0</v>
      </c>
      <c r="CO54" s="1">
        <f t="array" ref="CO54">IFERROR(INDEX(LCIA_Data,MATCH($AO$15&amp;CO$27,LCIA_Rows_B&amp;LCIA_Rows_C,0),MATCH(CO$26,LCIA_Columns,0)),0)*$AT54*$AJ54*$BN$23</f>
        <v>0</v>
      </c>
      <c r="CP54" s="1">
        <f t="array" ref="CP54">IFERROR(INDEX(LCIA_Data,MATCH($AO$15&amp;CP$27,LCIA_Rows_B&amp;LCIA_Rows_C,0),MATCH(CP$26,LCIA_Columns,0)),0)*$AT54*$AJ54*$BN$23</f>
        <v>0</v>
      </c>
      <c r="CQ54" s="1">
        <f t="array" ref="CQ54">IFERROR(INDEX(LCIA_Data,MATCH($AO$15&amp;CQ$27,LCIA_Rows_B&amp;LCIA_Rows_C,0),MATCH(CQ$26,LCIA_Columns,0)),0)*$AT54*$AJ54*$BN$23</f>
        <v>0</v>
      </c>
      <c r="CR54" s="1">
        <f t="array" ref="CR54">IFERROR(INDEX(LCIA_Data,MATCH($AO$15&amp;CR$27,LCIA_Rows_B&amp;LCIA_Rows_C,0),MATCH(CR$26,LCIA_Columns,0)),0)*$AT54*$AJ54*$BN$23</f>
        <v>0</v>
      </c>
      <c r="CS54" s="1">
        <f t="array" ref="CS54">IFERROR(INDEX(LCIA_Data,MATCH($AO$15&amp;CS$27,LCIA_Rows_B&amp;LCIA_Rows_C,0),MATCH(CS$26,LCIA_Columns,0)),0)*$AT54*$AJ54*$BN$23</f>
        <v>0</v>
      </c>
      <c r="CT54" s="1">
        <f t="array" ref="CT54">IFERROR(INDEX(LCIA_Data,MATCH($AO$15&amp;CT$27,LCIA_Rows_B&amp;LCIA_Rows_C,0),MATCH(CT$26,LCIA_Columns,0)),0)*$AT54*$AJ54*$BN$23</f>
        <v>0</v>
      </c>
      <c r="CU54" s="1">
        <f t="array" ref="CU54">IFERROR(INDEX(LCIA_Data,MATCH($AO$15&amp;CU$27,LCIA_Rows_B&amp;LCIA_Rows_C,0),MATCH(CU$26,LCIA_Columns,0)),0)*$AT54*$AJ54*$BN$23</f>
        <v>0</v>
      </c>
      <c r="CV54" s="1">
        <f t="array" ref="CV54">IFERROR(INDEX(LCIA_Data,MATCH($AO$15&amp;CV$27,LCIA_Rows_B&amp;LCIA_Rows_C,0),MATCH(CV$26,LCIA_Columns,0)),0)*$AT54*$AJ54*$BN$23</f>
        <v>0</v>
      </c>
      <c r="CW54" s="1">
        <f t="array" ref="CW54">IFERROR(INDEX(LCIA_Data,MATCH($AO$15&amp;CW$27,LCIA_Rows_B&amp;LCIA_Rows_C,0),MATCH(CW$26,LCIA_Columns,0)),0)*$AT54*$AJ54*$BN$23</f>
        <v>0</v>
      </c>
      <c r="CX54" s="1">
        <f t="array" ref="CX54">IFERROR(INDEX(LCIA_Data,MATCH($AO$15&amp;CX$27,LCIA_Rows_B&amp;LCIA_Rows_C,0),MATCH(CX$26,LCIA_Columns,0)),0)*$AT54*$AJ54*$BN$23</f>
        <v>0</v>
      </c>
      <c r="CY54" s="1">
        <f t="array" ref="CY54">IFERROR(INDEX(LCIA_Data,MATCH($AO$15&amp;CY$27,LCIA_Rows_B&amp;LCIA_Rows_C,0),MATCH(CY$26,LCIA_Columns,0)),0)*$AT54*$AJ54*$BN$23</f>
        <v>0</v>
      </c>
      <c r="CZ54" s="1">
        <f t="array" ref="CZ54">IFERROR(INDEX(LCIA_Data,MATCH($AO$15&amp;CZ$27,LCIA_Rows_B&amp;LCIA_Rows_C,0),MATCH(CZ$26,LCIA_Columns,0)),0)*$AT54*$AJ54*$BN$23</f>
        <v>0</v>
      </c>
      <c r="DA54" s="1">
        <f t="array" ref="DA54">IFERROR(INDEX(LCIA_Data,MATCH($AO$15&amp;DA$27,LCIA_Rows_B&amp;LCIA_Rows_C,0),MATCH(DA$26,LCIA_Columns,0)),0)*$AT54*$AK54*$BN$23</f>
        <v>0</v>
      </c>
      <c r="DB54" s="1">
        <f t="array" ref="DB54">IFERROR(INDEX(LCIA_Data,MATCH($AO$15&amp;DB$27,LCIA_Rows_B&amp;LCIA_Rows_C,0),MATCH(DB$26,LCIA_Columns,0)),0)*$AT54*$AK54*$BN$23</f>
        <v>0</v>
      </c>
      <c r="DC54" s="1">
        <f t="array" ref="DC54">IFERROR(INDEX(LCIA_Data,MATCH($AO$15&amp;DC$27,LCIA_Rows_B&amp;LCIA_Rows_C,0),MATCH(DC$26,LCIA_Columns,0)),0)*$AT54*$AK54*$BN$23</f>
        <v>0</v>
      </c>
      <c r="DD54" s="1">
        <f t="array" ref="DD54">IFERROR(INDEX(LCIA_Data,MATCH($AO$15&amp;DD$27,LCIA_Rows_B&amp;LCIA_Rows_C,0),MATCH(DD$26,LCIA_Columns,0)),0)*$AT54*$AK54*$BN$23</f>
        <v>0</v>
      </c>
      <c r="DE54" s="1">
        <f t="array" ref="DE54">IFERROR(INDEX(LCIA_Data,MATCH($AO$15&amp;DE$27,LCIA_Rows_B&amp;LCIA_Rows_C,0),MATCH(DE$26,LCIA_Columns,0)),0)*$AT54*$AK54*$BN$23</f>
        <v>0</v>
      </c>
      <c r="DF54" s="1">
        <f t="array" ref="DF54">IFERROR(INDEX(LCIA_Data,MATCH($AO$15&amp;DF$27,LCIA_Rows_B&amp;LCIA_Rows_C,0),MATCH(DF$26,LCIA_Columns,0)),0)*$AT54*$AK54*$BN$23</f>
        <v>0</v>
      </c>
      <c r="DG54" s="1">
        <f t="array" ref="DG54">IFERROR(INDEX(LCIA_Data,MATCH($AO$15&amp;DG$27,LCIA_Rows_B&amp;LCIA_Rows_C,0),MATCH(DG$26,LCIA_Columns,0)),0)*$AT54*$AK54*$BN$23</f>
        <v>0</v>
      </c>
      <c r="DH54" s="1">
        <f t="array" ref="DH54">IFERROR(INDEX(LCIA_Data,MATCH($AO$15&amp;DH$27,LCIA_Rows_B&amp;LCIA_Rows_C,0),MATCH(DH$26,LCIA_Columns,0)),0)*$AT54*$AK54*$BN$23</f>
        <v>0</v>
      </c>
      <c r="DI54" s="1">
        <f t="array" ref="DI54">IFERROR(INDEX(LCIA_Data,MATCH($AO$15&amp;DI$27,LCIA_Rows_B&amp;LCIA_Rows_C,0),MATCH(DI$26,LCIA_Columns,0)),0)*$AT54*$AK54*$BN$23</f>
        <v>0</v>
      </c>
      <c r="DJ54" s="1">
        <f t="array" ref="DJ54">IFERROR(INDEX(LCIA_Data,MATCH($AO$15&amp;DJ$27,LCIA_Rows_B&amp;LCIA_Rows_C,0),MATCH(DJ$26,LCIA_Columns,0)),0)*$AT54*$AK54*$BN$23</f>
        <v>0</v>
      </c>
      <c r="DK54" s="1">
        <f t="array" ref="DK54">IFERROR(INDEX(LCIA_Data,MATCH($AO$15&amp;DK$27,LCIA_Rows_B&amp;LCIA_Rows_C,0),MATCH(DK$26,LCIA_Columns,0)),0)*$AT54*$AK54*$BN$23</f>
        <v>0</v>
      </c>
      <c r="DL54" s="1">
        <f t="array" ref="DL54">IFERROR(INDEX(LCIA_Data,MATCH($AO$15&amp;DL$27,LCIA_Rows_B&amp;LCIA_Rows_C,0),MATCH(DL$26,LCIA_Columns,0)),0)*$AT54*$AK54*$BN$23</f>
        <v>0</v>
      </c>
      <c r="DM54" s="1">
        <f t="array" ref="DM54">IFERROR(INDEX(LCIA_Data,MATCH($AO$15&amp;DM$27,LCIA_Rows_B&amp;LCIA_Rows_C,0),MATCH(DM$26,LCIA_Columns,0)),0)*$AT54*$AK54*$BN$23</f>
        <v>0</v>
      </c>
      <c r="DN54" s="1">
        <f t="array" ref="DN54">IFERROR(INDEX(LCIA_Data,MATCH($AO$15&amp;DN$27,LCIA_Rows_B&amp;LCIA_Rows_C,0),MATCH(DN$26,LCIA_Columns,0)),0)*$AT54*$AK54*$BN$23</f>
        <v>0</v>
      </c>
      <c r="DO54">
        <f t="shared" si="41"/>
        <v>0</v>
      </c>
      <c r="DP54">
        <f t="shared" si="41"/>
        <v>0</v>
      </c>
      <c r="DQ54">
        <f t="shared" si="41"/>
        <v>0</v>
      </c>
      <c r="DR54">
        <f t="shared" si="41"/>
        <v>0</v>
      </c>
      <c r="DS54">
        <f t="shared" si="41"/>
        <v>0</v>
      </c>
      <c r="DT54">
        <f t="shared" si="41"/>
        <v>0</v>
      </c>
      <c r="DU54">
        <f t="shared" si="41"/>
        <v>0</v>
      </c>
      <c r="DV54">
        <f t="shared" si="41"/>
        <v>0</v>
      </c>
      <c r="DW54">
        <f t="shared" si="40"/>
        <v>0</v>
      </c>
      <c r="DX54">
        <f t="shared" si="40"/>
        <v>0</v>
      </c>
      <c r="DY54">
        <f t="shared" si="40"/>
        <v>0</v>
      </c>
      <c r="DZ54">
        <f t="shared" si="40"/>
        <v>0</v>
      </c>
      <c r="EA54">
        <f t="shared" si="40"/>
        <v>0</v>
      </c>
      <c r="EB54">
        <f t="shared" si="21"/>
        <v>0</v>
      </c>
      <c r="EC54"/>
      <c r="ED54"/>
      <c r="EE54"/>
      <c r="EF54"/>
      <c r="EG54"/>
    </row>
    <row r="55" spans="2:137" ht="15" customHeight="1">
      <c r="B55" s="53">
        <f t="shared" si="29"/>
        <v>0</v>
      </c>
      <c r="C55" s="26">
        <f t="shared" si="22"/>
        <v>26</v>
      </c>
      <c r="D55" s="46" t="str">
        <f>'Plant Inputs'!$D55</f>
        <v>Steel Fibers</v>
      </c>
      <c r="E55" s="99"/>
      <c r="F55" s="119" t="str">
        <f t="shared" si="39"/>
        <v>short ton</v>
      </c>
      <c r="G55" s="158">
        <f t="shared" si="26"/>
        <v>0</v>
      </c>
      <c r="H55" s="204" t="str">
        <f t="shared" si="7"/>
        <v>short ton</v>
      </c>
      <c r="I55" s="156">
        <f t="shared" si="8"/>
        <v>0</v>
      </c>
      <c r="J55"/>
      <c r="K55"/>
      <c r="L55"/>
      <c r="M55"/>
      <c r="N55"/>
      <c r="O55"/>
      <c r="P55"/>
      <c r="Q55"/>
      <c r="R55"/>
      <c r="S55"/>
      <c r="T55"/>
      <c r="X55" s="67">
        <f t="shared" si="30"/>
        <v>0</v>
      </c>
      <c r="Y55" s="216">
        <f>IF(AND($X55=1,'Plant Inputs'!$Y55=1),1,0)</f>
        <v>0</v>
      </c>
      <c r="Z55" s="216"/>
      <c r="AA55" s="216">
        <f>IF($Y55=0,0,IF('Plant Inputs'!J55="",0,'Plant Inputs'!J55))</f>
        <v>0</v>
      </c>
      <c r="AB55" s="216">
        <f>IF($Y55=0,0,IF('Plant Inputs'!K55="",0,'Plant Inputs'!K55))</f>
        <v>0</v>
      </c>
      <c r="AC55" s="216">
        <f>IF($Y55=0,0,IF('Plant Inputs'!L55="",0,'Plant Inputs'!L55))</f>
        <v>0</v>
      </c>
      <c r="AD55" s="216">
        <f>IF($Y55=0,0,IF('Plant Inputs'!M55="",0,'Plant Inputs'!M55))</f>
        <v>0</v>
      </c>
      <c r="AE55" s="217" t="str">
        <f>'Plant Inputs'!$O55</f>
        <v>mile</v>
      </c>
      <c r="AF55" s="217">
        <f t="shared" si="9"/>
        <v>1.6093473468862911</v>
      </c>
      <c r="AG55" s="216" t="str">
        <f t="shared" si="23"/>
        <v>km/mile</v>
      </c>
      <c r="AH55" s="216">
        <f t="shared" si="42"/>
        <v>0</v>
      </c>
      <c r="AI55" s="216">
        <f t="shared" si="42"/>
        <v>0</v>
      </c>
      <c r="AJ55" s="216">
        <f t="shared" si="42"/>
        <v>0</v>
      </c>
      <c r="AK55" s="216">
        <f t="shared" si="42"/>
        <v>0</v>
      </c>
      <c r="AL55" s="216"/>
      <c r="AM55" s="1" t="str">
        <f t="shared" si="32"/>
        <v>Steel Fibers</v>
      </c>
      <c r="AN55" s="12" t="s">
        <v>127</v>
      </c>
      <c r="AO55">
        <f t="shared" si="33"/>
        <v>0</v>
      </c>
      <c r="AP55" s="1">
        <f t="shared" si="24"/>
        <v>0</v>
      </c>
      <c r="AQ55" s="1" t="str">
        <f t="shared" si="34"/>
        <v>short ton</v>
      </c>
      <c r="AR55" s="1">
        <f t="shared" si="14"/>
        <v>0.90718499588591606</v>
      </c>
      <c r="AS55" s="87" t="str">
        <f t="shared" si="35"/>
        <v>tonne/short ton</v>
      </c>
      <c r="AT55" s="87">
        <f t="shared" si="36"/>
        <v>0</v>
      </c>
      <c r="AU55" s="87">
        <f t="shared" si="37"/>
        <v>0</v>
      </c>
      <c r="AV55" s="87">
        <f t="shared" si="18"/>
        <v>0</v>
      </c>
      <c r="AW55" t="str">
        <f t="shared" si="38"/>
        <v>Steel Fibers</v>
      </c>
      <c r="AX55" s="148">
        <f t="array" ref="AX55">IFERROR(INDEX(LCIA_Data,MATCH($AO$15&amp;AX$27,LCIA_Rows_B&amp;LCIA_Rows_C,0),MATCH($D55,LCIA_Columns,0)),0)*$AU55</f>
        <v>0</v>
      </c>
      <c r="AY55" s="148">
        <f t="array" ref="AY55">IFERROR(INDEX(LCIA_Data,MATCH($AO$15&amp;AY$27,LCIA_Rows_B&amp;LCIA_Rows_C,0),MATCH($D55,LCIA_Columns,0)),0)*$AU55</f>
        <v>0</v>
      </c>
      <c r="AZ55" s="148">
        <f t="array" ref="AZ55">IFERROR(INDEX(LCIA_Data,MATCH($AO$15&amp;AZ$27,LCIA_Rows_B&amp;LCIA_Rows_C,0),MATCH($D55,LCIA_Columns,0)),0)*$AU55</f>
        <v>0</v>
      </c>
      <c r="BA55" s="148">
        <f t="array" ref="BA55">IFERROR(INDEX(LCIA_Data,MATCH($AO$15&amp;BA$27,LCIA_Rows_B&amp;LCIA_Rows_C,0),MATCH($D55,LCIA_Columns,0)),0)*$AU55</f>
        <v>0</v>
      </c>
      <c r="BB55" s="148">
        <f t="array" ref="BB55">IFERROR(INDEX(LCIA_Data,MATCH($AO$15&amp;BB$27,LCIA_Rows_B&amp;LCIA_Rows_C,0),MATCH($D55,LCIA_Columns,0)),0)*$AU55</f>
        <v>0</v>
      </c>
      <c r="BC55" s="148">
        <f t="array" ref="BC55">IFERROR(INDEX(LCIA_Data,MATCH($AO$15&amp;BC$27,LCIA_Rows_B&amp;LCIA_Rows_C,0),MATCH($D55,LCIA_Columns,0)),0)*$AU55</f>
        <v>0</v>
      </c>
      <c r="BD55" s="148">
        <f t="array" ref="BD55">IFERROR(INDEX(LCIA_Data,MATCH($AO$15&amp;BD$27,LCIA_Rows_B&amp;LCIA_Rows_C,0),MATCH($D55,LCIA_Columns,0)),0)*$AU55</f>
        <v>0</v>
      </c>
      <c r="BE55" s="148">
        <f t="array" ref="BE55">IFERROR(INDEX(LCIA_Data,MATCH($AO$15&amp;BE$27,LCIA_Rows_B&amp;LCIA_Rows_C,0),MATCH($D55,LCIA_Columns,0)),0)*$AU55</f>
        <v>0</v>
      </c>
      <c r="BF55" s="148">
        <f t="array" ref="BF55">IFERROR(INDEX(LCIA_Data,MATCH($AO$15&amp;BF$27,LCIA_Rows_B&amp;LCIA_Rows_C,0),MATCH($D55,LCIA_Columns,0)),0)*$AU55</f>
        <v>0</v>
      </c>
      <c r="BG55" s="148">
        <f t="array" ref="BG55">IFERROR(INDEX(LCIA_Data,MATCH($AO$15&amp;BG$27,LCIA_Rows_B&amp;LCIA_Rows_C,0),MATCH($D55,LCIA_Columns,0)),0)*$AU55</f>
        <v>0</v>
      </c>
      <c r="BH55" s="148">
        <f t="array" ref="BH55">IFERROR(INDEX(LCIA_Data,MATCH($AO$15&amp;BH$27,LCIA_Rows_B&amp;LCIA_Rows_C,0),MATCH($D55,LCIA_Columns,0)),0)*$AU55</f>
        <v>0</v>
      </c>
      <c r="BI55" s="148">
        <f t="array" ref="BI55">IFERROR(INDEX(LCIA_Data,MATCH($AO$15&amp;BI$27,LCIA_Rows_B&amp;LCIA_Rows_C,0),MATCH($D55,LCIA_Columns,0)),0)*$AU55</f>
        <v>0</v>
      </c>
      <c r="BJ55" s="148">
        <f t="array" ref="BJ55">IFERROR(INDEX(LCIA_Data,MATCH($AO$15&amp;BJ$27,LCIA_Rows_B&amp;LCIA_Rows_C,0),MATCH($D55,LCIA_Columns,0)),0)*$AU55</f>
        <v>0</v>
      </c>
      <c r="BK55" s="148">
        <f t="array" ref="BK55">IFERROR(INDEX(LCIA_Data,MATCH($AO$15&amp;BK$27,LCIA_Rows_B&amp;LCIA_Rows_C,0),MATCH($D55,LCIA_Columns,0)),0)*$AU55</f>
        <v>0</v>
      </c>
      <c r="BM55" s="1">
        <f t="array" ref="BM55">IFERROR(INDEX(LCIA_Data,MATCH($AO$15&amp;BM$27,LCIA_Rows_B&amp;LCIA_Rows_C,0),MATCH(BM$26,LCIA_Columns,0)),0)*$AT55*$AH55*$BN$23</f>
        <v>0</v>
      </c>
      <c r="BN55" s="1">
        <f t="array" ref="BN55">IFERROR(INDEX(LCIA_Data,MATCH($AO$15&amp;BN$27,LCIA_Rows_B&amp;LCIA_Rows_C,0),MATCH(BN$26,LCIA_Columns,0)),0)*$AT55*$AH55*$BN$23</f>
        <v>0</v>
      </c>
      <c r="BO55" s="1">
        <f t="array" ref="BO55">IFERROR(INDEX(LCIA_Data,MATCH($AO$15&amp;BO$27,LCIA_Rows_B&amp;LCIA_Rows_C,0),MATCH(BO$26,LCIA_Columns,0)),0)*$AT55*$AH55*$BN$23</f>
        <v>0</v>
      </c>
      <c r="BP55" s="1">
        <f t="array" ref="BP55">IFERROR(INDEX(LCIA_Data,MATCH($AO$15&amp;BP$27,LCIA_Rows_B&amp;LCIA_Rows_C,0),MATCH(BP$26,LCIA_Columns,0)),0)*$AT55*$AH55*$BN$23</f>
        <v>0</v>
      </c>
      <c r="BQ55" s="1">
        <f t="array" ref="BQ55">IFERROR(INDEX(LCIA_Data,MATCH($AO$15&amp;BQ$27,LCIA_Rows_B&amp;LCIA_Rows_C,0),MATCH(BQ$26,LCIA_Columns,0)),0)*$AT55*$AH55*$BN$23</f>
        <v>0</v>
      </c>
      <c r="BR55" s="1">
        <f t="array" ref="BR55">IFERROR(INDEX(LCIA_Data,MATCH($AO$15&amp;BR$27,LCIA_Rows_B&amp;LCIA_Rows_C,0),MATCH(BR$26,LCIA_Columns,0)),0)*$AT55*$AH55*$BN$23</f>
        <v>0</v>
      </c>
      <c r="BS55" s="1">
        <f t="array" ref="BS55">IFERROR(INDEX(LCIA_Data,MATCH($AO$15&amp;BS$27,LCIA_Rows_B&amp;LCIA_Rows_C,0),MATCH(BS$26,LCIA_Columns,0)),0)*$AT55*$AH55*$BN$23</f>
        <v>0</v>
      </c>
      <c r="BT55" s="1">
        <f t="array" ref="BT55">IFERROR(INDEX(LCIA_Data,MATCH($AO$15&amp;BT$27,LCIA_Rows_B&amp;LCIA_Rows_C,0),MATCH(BT$26,LCIA_Columns,0)),0)*$AT55*$AH55*$BN$23</f>
        <v>0</v>
      </c>
      <c r="BU55" s="1">
        <f t="array" ref="BU55">IFERROR(INDEX(LCIA_Data,MATCH($AO$15&amp;BU$27,LCIA_Rows_B&amp;LCIA_Rows_C,0),MATCH(BU$26,LCIA_Columns,0)),0)*$AT55*$AH55*$BN$23</f>
        <v>0</v>
      </c>
      <c r="BV55" s="1">
        <f t="array" ref="BV55">IFERROR(INDEX(LCIA_Data,MATCH($AO$15&amp;BV$27,LCIA_Rows_B&amp;LCIA_Rows_C,0),MATCH(BV$26,LCIA_Columns,0)),0)*$AT55*$AH55*$BN$23</f>
        <v>0</v>
      </c>
      <c r="BW55" s="1">
        <f t="array" ref="BW55">IFERROR(INDEX(LCIA_Data,MATCH($AO$15&amp;BW$27,LCIA_Rows_B&amp;LCIA_Rows_C,0),MATCH(BW$26,LCIA_Columns,0)),0)*$AT55*$AH55*$BN$23</f>
        <v>0</v>
      </c>
      <c r="BX55" s="1">
        <f t="array" ref="BX55">IFERROR(INDEX(LCIA_Data,MATCH($AO$15&amp;BX$27,LCIA_Rows_B&amp;LCIA_Rows_C,0),MATCH(BX$26,LCIA_Columns,0)),0)*$AT55*$AH55*$BN$23</f>
        <v>0</v>
      </c>
      <c r="BY55" s="1">
        <f t="array" ref="BY55">IFERROR(INDEX(LCIA_Data,MATCH($AO$15&amp;BY$27,LCIA_Rows_B&amp;LCIA_Rows_C,0),MATCH(BY$26,LCIA_Columns,0)),0)*$AT55*$AH55*$BN$23</f>
        <v>0</v>
      </c>
      <c r="BZ55" s="1">
        <f t="array" ref="BZ55">IFERROR(INDEX(LCIA_Data,MATCH($AO$15&amp;BZ$27,LCIA_Rows_B&amp;LCIA_Rows_C,0),MATCH(BZ$26,LCIA_Columns,0)),0)*$AT55*$AH55*$BN$23</f>
        <v>0</v>
      </c>
      <c r="CA55" s="1">
        <f t="array" ref="CA55">IFERROR(INDEX(LCIA_Data,MATCH($AO$15&amp;CA$27,LCIA_Rows_B&amp;LCIA_Rows_C,0),MATCH(CA$26,LCIA_Columns,0)),0)*$AT55*$AI55*$BN$23</f>
        <v>0</v>
      </c>
      <c r="CB55" s="1">
        <f t="array" ref="CB55">IFERROR(INDEX(LCIA_Data,MATCH($AO$15&amp;CB$27,LCIA_Rows_B&amp;LCIA_Rows_C,0),MATCH(CB$26,LCIA_Columns,0)),0)*$AT55*$AI55*$BN$23</f>
        <v>0</v>
      </c>
      <c r="CC55" s="1">
        <f t="array" ref="CC55">IFERROR(INDEX(LCIA_Data,MATCH($AO$15&amp;CC$27,LCIA_Rows_B&amp;LCIA_Rows_C,0),MATCH(CC$26,LCIA_Columns,0)),0)*$AT55*$AI55*$BN$23</f>
        <v>0</v>
      </c>
      <c r="CD55" s="1">
        <f t="array" ref="CD55">IFERROR(INDEX(LCIA_Data,MATCH($AO$15&amp;CD$27,LCIA_Rows_B&amp;LCIA_Rows_C,0),MATCH(CD$26,LCIA_Columns,0)),0)*$AT55*$AI55*$BN$23</f>
        <v>0</v>
      </c>
      <c r="CE55" s="1">
        <f t="array" ref="CE55">IFERROR(INDEX(LCIA_Data,MATCH($AO$15&amp;CE$27,LCIA_Rows_B&amp;LCIA_Rows_C,0),MATCH(CE$26,LCIA_Columns,0)),0)*$AT55*$AI55*$BN$23</f>
        <v>0</v>
      </c>
      <c r="CF55" s="1">
        <f t="array" ref="CF55">IFERROR(INDEX(LCIA_Data,MATCH($AO$15&amp;CF$27,LCIA_Rows_B&amp;LCIA_Rows_C,0),MATCH(CF$26,LCIA_Columns,0)),0)*$AT55*$AI55*$BN$23</f>
        <v>0</v>
      </c>
      <c r="CG55" s="1">
        <f t="array" ref="CG55">IFERROR(INDEX(LCIA_Data,MATCH($AO$15&amp;CG$27,LCIA_Rows_B&amp;LCIA_Rows_C,0),MATCH(CG$26,LCIA_Columns,0)),0)*$AT55*$AI55*$BN$23</f>
        <v>0</v>
      </c>
      <c r="CH55" s="1">
        <f t="array" ref="CH55">IFERROR(INDEX(LCIA_Data,MATCH($AO$15&amp;CH$27,LCIA_Rows_B&amp;LCIA_Rows_C,0),MATCH(CH$26,LCIA_Columns,0)),0)*$AT55*$AI55*$BN$23</f>
        <v>0</v>
      </c>
      <c r="CI55" s="1">
        <f t="array" ref="CI55">IFERROR(INDEX(LCIA_Data,MATCH($AO$15&amp;CI$27,LCIA_Rows_B&amp;LCIA_Rows_C,0),MATCH(CI$26,LCIA_Columns,0)),0)*$AT55*$AI55*$BN$23</f>
        <v>0</v>
      </c>
      <c r="CJ55" s="1">
        <f t="array" ref="CJ55">IFERROR(INDEX(LCIA_Data,MATCH($AO$15&amp;CJ$27,LCIA_Rows_B&amp;LCIA_Rows_C,0),MATCH(CJ$26,LCIA_Columns,0)),0)*$AT55*$AI55*$BN$23</f>
        <v>0</v>
      </c>
      <c r="CK55" s="1">
        <f t="array" ref="CK55">IFERROR(INDEX(LCIA_Data,MATCH($AO$15&amp;CK$27,LCIA_Rows_B&amp;LCIA_Rows_C,0),MATCH(CK$26,LCIA_Columns,0)),0)*$AT55*$AI55*$BN$23</f>
        <v>0</v>
      </c>
      <c r="CL55" s="1">
        <f t="array" ref="CL55">IFERROR(INDEX(LCIA_Data,MATCH($AO$15&amp;CL$27,LCIA_Rows_B&amp;LCIA_Rows_C,0),MATCH(CL$26,LCIA_Columns,0)),0)*$AT55*$AI55*$BN$23</f>
        <v>0</v>
      </c>
      <c r="CM55" s="1">
        <f t="array" ref="CM55">IFERROR(INDEX(LCIA_Data,MATCH($AO$15&amp;CM$27,LCIA_Rows_B&amp;LCIA_Rows_C,0),MATCH(CM$26,LCIA_Columns,0)),0)*$AT55*$AJ55*$BN$23</f>
        <v>0</v>
      </c>
      <c r="CN55" s="1">
        <f t="array" ref="CN55">IFERROR(INDEX(LCIA_Data,MATCH($AO$15&amp;CN$27,LCIA_Rows_B&amp;LCIA_Rows_C,0),MATCH(CN$26,LCIA_Columns,0)),0)*$AT55*$AJ55*$BN$23</f>
        <v>0</v>
      </c>
      <c r="CO55" s="1">
        <f t="array" ref="CO55">IFERROR(INDEX(LCIA_Data,MATCH($AO$15&amp;CO$27,LCIA_Rows_B&amp;LCIA_Rows_C,0),MATCH(CO$26,LCIA_Columns,0)),0)*$AT55*$AJ55*$BN$23</f>
        <v>0</v>
      </c>
      <c r="CP55" s="1">
        <f t="array" ref="CP55">IFERROR(INDEX(LCIA_Data,MATCH($AO$15&amp;CP$27,LCIA_Rows_B&amp;LCIA_Rows_C,0),MATCH(CP$26,LCIA_Columns,0)),0)*$AT55*$AJ55*$BN$23</f>
        <v>0</v>
      </c>
      <c r="CQ55" s="1">
        <f t="array" ref="CQ55">IFERROR(INDEX(LCIA_Data,MATCH($AO$15&amp;CQ$27,LCIA_Rows_B&amp;LCIA_Rows_C,0),MATCH(CQ$26,LCIA_Columns,0)),0)*$AT55*$AJ55*$BN$23</f>
        <v>0</v>
      </c>
      <c r="CR55" s="1">
        <f t="array" ref="CR55">IFERROR(INDEX(LCIA_Data,MATCH($AO$15&amp;CR$27,LCIA_Rows_B&amp;LCIA_Rows_C,0),MATCH(CR$26,LCIA_Columns,0)),0)*$AT55*$AJ55*$BN$23</f>
        <v>0</v>
      </c>
      <c r="CS55" s="1">
        <f t="array" ref="CS55">IFERROR(INDEX(LCIA_Data,MATCH($AO$15&amp;CS$27,LCIA_Rows_B&amp;LCIA_Rows_C,0),MATCH(CS$26,LCIA_Columns,0)),0)*$AT55*$AJ55*$BN$23</f>
        <v>0</v>
      </c>
      <c r="CT55" s="1">
        <f t="array" ref="CT55">IFERROR(INDEX(LCIA_Data,MATCH($AO$15&amp;CT$27,LCIA_Rows_B&amp;LCIA_Rows_C,0),MATCH(CT$26,LCIA_Columns,0)),0)*$AT55*$AJ55*$BN$23</f>
        <v>0</v>
      </c>
      <c r="CU55" s="1">
        <f t="array" ref="CU55">IFERROR(INDEX(LCIA_Data,MATCH($AO$15&amp;CU$27,LCIA_Rows_B&amp;LCIA_Rows_C,0),MATCH(CU$26,LCIA_Columns,0)),0)*$AT55*$AJ55*$BN$23</f>
        <v>0</v>
      </c>
      <c r="CV55" s="1">
        <f t="array" ref="CV55">IFERROR(INDEX(LCIA_Data,MATCH($AO$15&amp;CV$27,LCIA_Rows_B&amp;LCIA_Rows_C,0),MATCH(CV$26,LCIA_Columns,0)),0)*$AT55*$AJ55*$BN$23</f>
        <v>0</v>
      </c>
      <c r="CW55" s="1">
        <f t="array" ref="CW55">IFERROR(INDEX(LCIA_Data,MATCH($AO$15&amp;CW$27,LCIA_Rows_B&amp;LCIA_Rows_C,0),MATCH(CW$26,LCIA_Columns,0)),0)*$AT55*$AJ55*$BN$23</f>
        <v>0</v>
      </c>
      <c r="CX55" s="1">
        <f t="array" ref="CX55">IFERROR(INDEX(LCIA_Data,MATCH($AO$15&amp;CX$27,LCIA_Rows_B&amp;LCIA_Rows_C,0),MATCH(CX$26,LCIA_Columns,0)),0)*$AT55*$AJ55*$BN$23</f>
        <v>0</v>
      </c>
      <c r="CY55" s="1">
        <f t="array" ref="CY55">IFERROR(INDEX(LCIA_Data,MATCH($AO$15&amp;CY$27,LCIA_Rows_B&amp;LCIA_Rows_C,0),MATCH(CY$26,LCIA_Columns,0)),0)*$AT55*$AJ55*$BN$23</f>
        <v>0</v>
      </c>
      <c r="CZ55" s="1">
        <f t="array" ref="CZ55">IFERROR(INDEX(LCIA_Data,MATCH($AO$15&amp;CZ$27,LCIA_Rows_B&amp;LCIA_Rows_C,0),MATCH(CZ$26,LCIA_Columns,0)),0)*$AT55*$AJ55*$BN$23</f>
        <v>0</v>
      </c>
      <c r="DA55" s="1">
        <f t="array" ref="DA55">IFERROR(INDEX(LCIA_Data,MATCH($AO$15&amp;DA$27,LCIA_Rows_B&amp;LCIA_Rows_C,0),MATCH(DA$26,LCIA_Columns,0)),0)*$AT55*$AK55*$BN$23</f>
        <v>0</v>
      </c>
      <c r="DB55" s="1">
        <f t="array" ref="DB55">IFERROR(INDEX(LCIA_Data,MATCH($AO$15&amp;DB$27,LCIA_Rows_B&amp;LCIA_Rows_C,0),MATCH(DB$26,LCIA_Columns,0)),0)*$AT55*$AK55*$BN$23</f>
        <v>0</v>
      </c>
      <c r="DC55" s="1">
        <f t="array" ref="DC55">IFERROR(INDEX(LCIA_Data,MATCH($AO$15&amp;DC$27,LCIA_Rows_B&amp;LCIA_Rows_C,0),MATCH(DC$26,LCIA_Columns,0)),0)*$AT55*$AK55*$BN$23</f>
        <v>0</v>
      </c>
      <c r="DD55" s="1">
        <f t="array" ref="DD55">IFERROR(INDEX(LCIA_Data,MATCH($AO$15&amp;DD$27,LCIA_Rows_B&amp;LCIA_Rows_C,0),MATCH(DD$26,LCIA_Columns,0)),0)*$AT55*$AK55*$BN$23</f>
        <v>0</v>
      </c>
      <c r="DE55" s="1">
        <f t="array" ref="DE55">IFERROR(INDEX(LCIA_Data,MATCH($AO$15&amp;DE$27,LCIA_Rows_B&amp;LCIA_Rows_C,0),MATCH(DE$26,LCIA_Columns,0)),0)*$AT55*$AK55*$BN$23</f>
        <v>0</v>
      </c>
      <c r="DF55" s="1">
        <f t="array" ref="DF55">IFERROR(INDEX(LCIA_Data,MATCH($AO$15&amp;DF$27,LCIA_Rows_B&amp;LCIA_Rows_C,0),MATCH(DF$26,LCIA_Columns,0)),0)*$AT55*$AK55*$BN$23</f>
        <v>0</v>
      </c>
      <c r="DG55" s="1">
        <f t="array" ref="DG55">IFERROR(INDEX(LCIA_Data,MATCH($AO$15&amp;DG$27,LCIA_Rows_B&amp;LCIA_Rows_C,0),MATCH(DG$26,LCIA_Columns,0)),0)*$AT55*$AK55*$BN$23</f>
        <v>0</v>
      </c>
      <c r="DH55" s="1">
        <f t="array" ref="DH55">IFERROR(INDEX(LCIA_Data,MATCH($AO$15&amp;DH$27,LCIA_Rows_B&amp;LCIA_Rows_C,0),MATCH(DH$26,LCIA_Columns,0)),0)*$AT55*$AK55*$BN$23</f>
        <v>0</v>
      </c>
      <c r="DI55" s="1">
        <f t="array" ref="DI55">IFERROR(INDEX(LCIA_Data,MATCH($AO$15&amp;DI$27,LCIA_Rows_B&amp;LCIA_Rows_C,0),MATCH(DI$26,LCIA_Columns,0)),0)*$AT55*$AK55*$BN$23</f>
        <v>0</v>
      </c>
      <c r="DJ55" s="1">
        <f t="array" ref="DJ55">IFERROR(INDEX(LCIA_Data,MATCH($AO$15&amp;DJ$27,LCIA_Rows_B&amp;LCIA_Rows_C,0),MATCH(DJ$26,LCIA_Columns,0)),0)*$AT55*$AK55*$BN$23</f>
        <v>0</v>
      </c>
      <c r="DK55" s="1">
        <f t="array" ref="DK55">IFERROR(INDEX(LCIA_Data,MATCH($AO$15&amp;DK$27,LCIA_Rows_B&amp;LCIA_Rows_C,0),MATCH(DK$26,LCIA_Columns,0)),0)*$AT55*$AK55*$BN$23</f>
        <v>0</v>
      </c>
      <c r="DL55" s="1">
        <f t="array" ref="DL55">IFERROR(INDEX(LCIA_Data,MATCH($AO$15&amp;DL$27,LCIA_Rows_B&amp;LCIA_Rows_C,0),MATCH(DL$26,LCIA_Columns,0)),0)*$AT55*$AK55*$BN$23</f>
        <v>0</v>
      </c>
      <c r="DM55" s="1">
        <f t="array" ref="DM55">IFERROR(INDEX(LCIA_Data,MATCH($AO$15&amp;DM$27,LCIA_Rows_B&amp;LCIA_Rows_C,0),MATCH(DM$26,LCIA_Columns,0)),0)*$AT55*$AK55*$BN$23</f>
        <v>0</v>
      </c>
      <c r="DN55" s="1">
        <f t="array" ref="DN55">IFERROR(INDEX(LCIA_Data,MATCH($AO$15&amp;DN$27,LCIA_Rows_B&amp;LCIA_Rows_C,0),MATCH(DN$26,LCIA_Columns,0)),0)*$AT55*$AK55*$BN$23</f>
        <v>0</v>
      </c>
      <c r="DO55">
        <f t="shared" si="41"/>
        <v>0</v>
      </c>
      <c r="DP55">
        <f t="shared" si="41"/>
        <v>0</v>
      </c>
      <c r="DQ55">
        <f t="shared" si="41"/>
        <v>0</v>
      </c>
      <c r="DR55">
        <f t="shared" si="41"/>
        <v>0</v>
      </c>
      <c r="DS55">
        <f t="shared" si="41"/>
        <v>0</v>
      </c>
      <c r="DT55">
        <f t="shared" si="41"/>
        <v>0</v>
      </c>
      <c r="DU55">
        <f t="shared" si="41"/>
        <v>0</v>
      </c>
      <c r="DV55">
        <f t="shared" si="41"/>
        <v>0</v>
      </c>
      <c r="DW55">
        <f t="shared" si="40"/>
        <v>0</v>
      </c>
      <c r="DX55">
        <f t="shared" si="40"/>
        <v>0</v>
      </c>
      <c r="DY55">
        <f t="shared" si="40"/>
        <v>0</v>
      </c>
      <c r="DZ55">
        <f t="shared" si="40"/>
        <v>0</v>
      </c>
      <c r="EA55">
        <f t="shared" si="40"/>
        <v>0</v>
      </c>
      <c r="EB55">
        <f t="shared" si="21"/>
        <v>0</v>
      </c>
      <c r="EC55"/>
      <c r="ED55"/>
      <c r="EE55"/>
      <c r="EF55"/>
      <c r="EG55"/>
    </row>
    <row r="56" spans="2:137" ht="15" customHeight="1">
      <c r="B56" s="53">
        <f t="shared" si="29"/>
        <v>0</v>
      </c>
      <c r="C56" s="26">
        <f t="shared" si="22"/>
        <v>27</v>
      </c>
      <c r="D56" s="46" t="str">
        <f>'Plant Inputs'!$D56</f>
        <v>Glass Fibre Reinforced Polymer (GFRP) reinforcing bars</v>
      </c>
      <c r="E56" s="99"/>
      <c r="F56" s="119" t="str">
        <f t="shared" si="39"/>
        <v>short ton</v>
      </c>
      <c r="G56" s="158">
        <f t="shared" si="26"/>
        <v>0</v>
      </c>
      <c r="H56" s="204" t="str">
        <f t="shared" si="7"/>
        <v>short ton</v>
      </c>
      <c r="I56" s="156">
        <f t="shared" si="8"/>
        <v>0</v>
      </c>
      <c r="J56"/>
      <c r="K56"/>
      <c r="L56"/>
      <c r="M56"/>
      <c r="N56"/>
      <c r="O56"/>
      <c r="P56"/>
      <c r="Q56"/>
      <c r="R56"/>
      <c r="S56"/>
      <c r="T56"/>
      <c r="X56" s="67">
        <f t="shared" si="30"/>
        <v>0</v>
      </c>
      <c r="Y56" s="216">
        <f>IF(AND($X56=1,'Plant Inputs'!$Y56=1),1,0)</f>
        <v>0</v>
      </c>
      <c r="Z56" s="216"/>
      <c r="AA56" s="216">
        <f>IF($Y56=0,0,IF('Plant Inputs'!J56="",0,'Plant Inputs'!J56))</f>
        <v>0</v>
      </c>
      <c r="AB56" s="216">
        <f>IF($Y56=0,0,IF('Plant Inputs'!K56="",0,'Plant Inputs'!K56))</f>
        <v>0</v>
      </c>
      <c r="AC56" s="216">
        <f>IF($Y56=0,0,IF('Plant Inputs'!L56="",0,'Plant Inputs'!L56))</f>
        <v>0</v>
      </c>
      <c r="AD56" s="216">
        <f>IF($Y56=0,0,IF('Plant Inputs'!M56="",0,'Plant Inputs'!M56))</f>
        <v>0</v>
      </c>
      <c r="AE56" s="217" t="str">
        <f>'Plant Inputs'!$O56</f>
        <v>mile</v>
      </c>
      <c r="AF56" s="217">
        <f t="shared" si="9"/>
        <v>1.6093473468862911</v>
      </c>
      <c r="AG56" s="216" t="str">
        <f t="shared" si="23"/>
        <v>km/mile</v>
      </c>
      <c r="AH56" s="216">
        <f t="shared" si="42"/>
        <v>0</v>
      </c>
      <c r="AI56" s="216">
        <f t="shared" si="42"/>
        <v>0</v>
      </c>
      <c r="AJ56" s="216">
        <f t="shared" si="42"/>
        <v>0</v>
      </c>
      <c r="AK56" s="216">
        <f t="shared" si="42"/>
        <v>0</v>
      </c>
      <c r="AL56" s="216"/>
      <c r="AM56" s="1" t="str">
        <f t="shared" si="32"/>
        <v>Glass Fibre Reinforced Polymer (GFRP) reinforcing bars</v>
      </c>
      <c r="AN56" s="12" t="s">
        <v>127</v>
      </c>
      <c r="AO56">
        <f t="shared" si="33"/>
        <v>0</v>
      </c>
      <c r="AP56" s="1">
        <f t="shared" si="24"/>
        <v>0</v>
      </c>
      <c r="AQ56" s="1" t="str">
        <f t="shared" si="34"/>
        <v>short ton</v>
      </c>
      <c r="AR56" s="1">
        <f t="shared" si="14"/>
        <v>0.90718499588591606</v>
      </c>
      <c r="AS56" s="87" t="str">
        <f t="shared" si="35"/>
        <v>tonne/short ton</v>
      </c>
      <c r="AT56" s="87">
        <f t="shared" si="36"/>
        <v>0</v>
      </c>
      <c r="AU56" s="87">
        <f t="shared" si="37"/>
        <v>0</v>
      </c>
      <c r="AV56" s="87">
        <f t="shared" si="18"/>
        <v>0</v>
      </c>
      <c r="AW56" t="str">
        <f t="shared" si="38"/>
        <v>Glass Fibre Reinforced Polymer (GFRP) reinforcing bars</v>
      </c>
      <c r="AX56" s="148">
        <f t="array" ref="AX56">IFERROR(INDEX(LCIA_Data,MATCH($AO$15&amp;AX$27,LCIA_Rows_B&amp;LCIA_Rows_C,0),MATCH($D56,LCIA_Columns,0)),0)*$AU56</f>
        <v>0</v>
      </c>
      <c r="AY56" s="148">
        <f t="array" ref="AY56">IFERROR(INDEX(LCIA_Data,MATCH($AO$15&amp;AY$27,LCIA_Rows_B&amp;LCIA_Rows_C,0),MATCH($D56,LCIA_Columns,0)),0)*$AU56</f>
        <v>0</v>
      </c>
      <c r="AZ56" s="148">
        <f t="array" ref="AZ56">IFERROR(INDEX(LCIA_Data,MATCH($AO$15&amp;AZ$27,LCIA_Rows_B&amp;LCIA_Rows_C,0),MATCH($D56,LCIA_Columns,0)),0)*$AU56</f>
        <v>0</v>
      </c>
      <c r="BA56" s="148">
        <f t="array" ref="BA56">IFERROR(INDEX(LCIA_Data,MATCH($AO$15&amp;BA$27,LCIA_Rows_B&amp;LCIA_Rows_C,0),MATCH($D56,LCIA_Columns,0)),0)*$AU56</f>
        <v>0</v>
      </c>
      <c r="BB56" s="148">
        <f t="array" ref="BB56">IFERROR(INDEX(LCIA_Data,MATCH($AO$15&amp;BB$27,LCIA_Rows_B&amp;LCIA_Rows_C,0),MATCH($D56,LCIA_Columns,0)),0)*$AU56</f>
        <v>0</v>
      </c>
      <c r="BC56" s="148">
        <f t="array" ref="BC56">IFERROR(INDEX(LCIA_Data,MATCH($AO$15&amp;BC$27,LCIA_Rows_B&amp;LCIA_Rows_C,0),MATCH($D56,LCIA_Columns,0)),0)*$AU56</f>
        <v>0</v>
      </c>
      <c r="BD56" s="148">
        <f t="array" ref="BD56">IFERROR(INDEX(LCIA_Data,MATCH($AO$15&amp;BD$27,LCIA_Rows_B&amp;LCIA_Rows_C,0),MATCH($D56,LCIA_Columns,0)),0)*$AU56</f>
        <v>0</v>
      </c>
      <c r="BE56" s="148">
        <f t="array" ref="BE56">IFERROR(INDEX(LCIA_Data,MATCH($AO$15&amp;BE$27,LCIA_Rows_B&amp;LCIA_Rows_C,0),MATCH($D56,LCIA_Columns,0)),0)*$AU56</f>
        <v>0</v>
      </c>
      <c r="BF56" s="148">
        <f t="array" ref="BF56">IFERROR(INDEX(LCIA_Data,MATCH($AO$15&amp;BF$27,LCIA_Rows_B&amp;LCIA_Rows_C,0),MATCH($D56,LCIA_Columns,0)),0)*$AU56</f>
        <v>0</v>
      </c>
      <c r="BG56" s="148">
        <f t="array" ref="BG56">IFERROR(INDEX(LCIA_Data,MATCH($AO$15&amp;BG$27,LCIA_Rows_B&amp;LCIA_Rows_C,0),MATCH($D56,LCIA_Columns,0)),0)*$AU56</f>
        <v>0</v>
      </c>
      <c r="BH56" s="148">
        <f t="array" ref="BH56">IFERROR(INDEX(LCIA_Data,MATCH($AO$15&amp;BH$27,LCIA_Rows_B&amp;LCIA_Rows_C,0),MATCH($D56,LCIA_Columns,0)),0)*$AU56</f>
        <v>0</v>
      </c>
      <c r="BI56" s="148">
        <f t="array" ref="BI56">IFERROR(INDEX(LCIA_Data,MATCH($AO$15&amp;BI$27,LCIA_Rows_B&amp;LCIA_Rows_C,0),MATCH($D56,LCIA_Columns,0)),0)*$AU56</f>
        <v>0</v>
      </c>
      <c r="BJ56" s="148">
        <f t="array" ref="BJ56">IFERROR(INDEX(LCIA_Data,MATCH($AO$15&amp;BJ$27,LCIA_Rows_B&amp;LCIA_Rows_C,0),MATCH($D56,LCIA_Columns,0)),0)*$AU56</f>
        <v>0</v>
      </c>
      <c r="BK56" s="148">
        <f t="array" ref="BK56">IFERROR(INDEX(LCIA_Data,MATCH($AO$15&amp;BK$27,LCIA_Rows_B&amp;LCIA_Rows_C,0),MATCH($D56,LCIA_Columns,0)),0)*$AU56</f>
        <v>0</v>
      </c>
      <c r="BM56" s="1">
        <f t="array" ref="BM56">IFERROR(INDEX(LCIA_Data,MATCH($AO$15&amp;BM$27,LCIA_Rows_B&amp;LCIA_Rows_C,0),MATCH(BM$26,LCIA_Columns,0)),0)*$AT56*$AH56*$BN$23</f>
        <v>0</v>
      </c>
      <c r="BN56" s="1">
        <f t="array" ref="BN56">IFERROR(INDEX(LCIA_Data,MATCH($AO$15&amp;BN$27,LCIA_Rows_B&amp;LCIA_Rows_C,0),MATCH(BN$26,LCIA_Columns,0)),0)*$AT56*$AH56*$BN$23</f>
        <v>0</v>
      </c>
      <c r="BO56" s="1">
        <f t="array" ref="BO56">IFERROR(INDEX(LCIA_Data,MATCH($AO$15&amp;BO$27,LCIA_Rows_B&amp;LCIA_Rows_C,0),MATCH(BO$26,LCIA_Columns,0)),0)*$AT56*$AH56*$BN$23</f>
        <v>0</v>
      </c>
      <c r="BP56" s="1">
        <f t="array" ref="BP56">IFERROR(INDEX(LCIA_Data,MATCH($AO$15&amp;BP$27,LCIA_Rows_B&amp;LCIA_Rows_C,0),MATCH(BP$26,LCIA_Columns,0)),0)*$AT56*$AH56*$BN$23</f>
        <v>0</v>
      </c>
      <c r="BQ56" s="1">
        <f t="array" ref="BQ56">IFERROR(INDEX(LCIA_Data,MATCH($AO$15&amp;BQ$27,LCIA_Rows_B&amp;LCIA_Rows_C,0),MATCH(BQ$26,LCIA_Columns,0)),0)*$AT56*$AH56*$BN$23</f>
        <v>0</v>
      </c>
      <c r="BR56" s="1">
        <f t="array" ref="BR56">IFERROR(INDEX(LCIA_Data,MATCH($AO$15&amp;BR$27,LCIA_Rows_B&amp;LCIA_Rows_C,0),MATCH(BR$26,LCIA_Columns,0)),0)*$AT56*$AH56*$BN$23</f>
        <v>0</v>
      </c>
      <c r="BS56" s="1">
        <f t="array" ref="BS56">IFERROR(INDEX(LCIA_Data,MATCH($AO$15&amp;BS$27,LCIA_Rows_B&amp;LCIA_Rows_C,0),MATCH(BS$26,LCIA_Columns,0)),0)*$AT56*$AH56*$BN$23</f>
        <v>0</v>
      </c>
      <c r="BT56" s="1">
        <f t="array" ref="BT56">IFERROR(INDEX(LCIA_Data,MATCH($AO$15&amp;BT$27,LCIA_Rows_B&amp;LCIA_Rows_C,0),MATCH(BT$26,LCIA_Columns,0)),0)*$AT56*$AH56*$BN$23</f>
        <v>0</v>
      </c>
      <c r="BU56" s="1">
        <f t="array" ref="BU56">IFERROR(INDEX(LCIA_Data,MATCH($AO$15&amp;BU$27,LCIA_Rows_B&amp;LCIA_Rows_C,0),MATCH(BU$26,LCIA_Columns,0)),0)*$AT56*$AH56*$BN$23</f>
        <v>0</v>
      </c>
      <c r="BV56" s="1">
        <f t="array" ref="BV56">IFERROR(INDEX(LCIA_Data,MATCH($AO$15&amp;BV$27,LCIA_Rows_B&amp;LCIA_Rows_C,0),MATCH(BV$26,LCIA_Columns,0)),0)*$AT56*$AH56*$BN$23</f>
        <v>0</v>
      </c>
      <c r="BW56" s="1">
        <f t="array" ref="BW56">IFERROR(INDEX(LCIA_Data,MATCH($AO$15&amp;BW$27,LCIA_Rows_B&amp;LCIA_Rows_C,0),MATCH(BW$26,LCIA_Columns,0)),0)*$AT56*$AH56*$BN$23</f>
        <v>0</v>
      </c>
      <c r="BX56" s="1">
        <f t="array" ref="BX56">IFERROR(INDEX(LCIA_Data,MATCH($AO$15&amp;BX$27,LCIA_Rows_B&amp;LCIA_Rows_C,0),MATCH(BX$26,LCIA_Columns,0)),0)*$AT56*$AH56*$BN$23</f>
        <v>0</v>
      </c>
      <c r="BY56" s="1">
        <f t="array" ref="BY56">IFERROR(INDEX(LCIA_Data,MATCH($AO$15&amp;BY$27,LCIA_Rows_B&amp;LCIA_Rows_C,0),MATCH(BY$26,LCIA_Columns,0)),0)*$AT56*$AH56*$BN$23</f>
        <v>0</v>
      </c>
      <c r="BZ56" s="1">
        <f t="array" ref="BZ56">IFERROR(INDEX(LCIA_Data,MATCH($AO$15&amp;BZ$27,LCIA_Rows_B&amp;LCIA_Rows_C,0),MATCH(BZ$26,LCIA_Columns,0)),0)*$AT56*$AH56*$BN$23</f>
        <v>0</v>
      </c>
      <c r="CA56" s="1">
        <f t="array" ref="CA56">IFERROR(INDEX(LCIA_Data,MATCH($AO$15&amp;CA$27,LCIA_Rows_B&amp;LCIA_Rows_C,0),MATCH(CA$26,LCIA_Columns,0)),0)*$AT56*$AI56*$BN$23</f>
        <v>0</v>
      </c>
      <c r="CB56" s="1">
        <f t="array" ref="CB56">IFERROR(INDEX(LCIA_Data,MATCH($AO$15&amp;CB$27,LCIA_Rows_B&amp;LCIA_Rows_C,0),MATCH(CB$26,LCIA_Columns,0)),0)*$AT56*$AI56*$BN$23</f>
        <v>0</v>
      </c>
      <c r="CC56" s="1">
        <f t="array" ref="CC56">IFERROR(INDEX(LCIA_Data,MATCH($AO$15&amp;CC$27,LCIA_Rows_B&amp;LCIA_Rows_C,0),MATCH(CC$26,LCIA_Columns,0)),0)*$AT56*$AI56*$BN$23</f>
        <v>0</v>
      </c>
      <c r="CD56" s="1">
        <f t="array" ref="CD56">IFERROR(INDEX(LCIA_Data,MATCH($AO$15&amp;CD$27,LCIA_Rows_B&amp;LCIA_Rows_C,0),MATCH(CD$26,LCIA_Columns,0)),0)*$AT56*$AI56*$BN$23</f>
        <v>0</v>
      </c>
      <c r="CE56" s="1">
        <f t="array" ref="CE56">IFERROR(INDEX(LCIA_Data,MATCH($AO$15&amp;CE$27,LCIA_Rows_B&amp;LCIA_Rows_C,0),MATCH(CE$26,LCIA_Columns,0)),0)*$AT56*$AI56*$BN$23</f>
        <v>0</v>
      </c>
      <c r="CF56" s="1">
        <f t="array" ref="CF56">IFERROR(INDEX(LCIA_Data,MATCH($AO$15&amp;CF$27,LCIA_Rows_B&amp;LCIA_Rows_C,0),MATCH(CF$26,LCIA_Columns,0)),0)*$AT56*$AI56*$BN$23</f>
        <v>0</v>
      </c>
      <c r="CG56" s="1">
        <f t="array" ref="CG56">IFERROR(INDEX(LCIA_Data,MATCH($AO$15&amp;CG$27,LCIA_Rows_B&amp;LCIA_Rows_C,0),MATCH(CG$26,LCIA_Columns,0)),0)*$AT56*$AI56*$BN$23</f>
        <v>0</v>
      </c>
      <c r="CH56" s="1">
        <f t="array" ref="CH56">IFERROR(INDEX(LCIA_Data,MATCH($AO$15&amp;CH$27,LCIA_Rows_B&amp;LCIA_Rows_C,0),MATCH(CH$26,LCIA_Columns,0)),0)*$AT56*$AI56*$BN$23</f>
        <v>0</v>
      </c>
      <c r="CI56" s="1">
        <f t="array" ref="CI56">IFERROR(INDEX(LCIA_Data,MATCH($AO$15&amp;CI$27,LCIA_Rows_B&amp;LCIA_Rows_C,0),MATCH(CI$26,LCIA_Columns,0)),0)*$AT56*$AI56*$BN$23</f>
        <v>0</v>
      </c>
      <c r="CJ56" s="1">
        <f t="array" ref="CJ56">IFERROR(INDEX(LCIA_Data,MATCH($AO$15&amp;CJ$27,LCIA_Rows_B&amp;LCIA_Rows_C,0),MATCH(CJ$26,LCIA_Columns,0)),0)*$AT56*$AI56*$BN$23</f>
        <v>0</v>
      </c>
      <c r="CK56" s="1">
        <f t="array" ref="CK56">IFERROR(INDEX(LCIA_Data,MATCH($AO$15&amp;CK$27,LCIA_Rows_B&amp;LCIA_Rows_C,0),MATCH(CK$26,LCIA_Columns,0)),0)*$AT56*$AI56*$BN$23</f>
        <v>0</v>
      </c>
      <c r="CL56" s="1">
        <f t="array" ref="CL56">IFERROR(INDEX(LCIA_Data,MATCH($AO$15&amp;CL$27,LCIA_Rows_B&amp;LCIA_Rows_C,0),MATCH(CL$26,LCIA_Columns,0)),0)*$AT56*$AI56*$BN$23</f>
        <v>0</v>
      </c>
      <c r="CM56" s="1">
        <f t="array" ref="CM56">IFERROR(INDEX(LCIA_Data,MATCH($AO$15&amp;CM$27,LCIA_Rows_B&amp;LCIA_Rows_C,0),MATCH(CM$26,LCIA_Columns,0)),0)*$AT56*$AJ56*$BN$23</f>
        <v>0</v>
      </c>
      <c r="CN56" s="1">
        <f t="array" ref="CN56">IFERROR(INDEX(LCIA_Data,MATCH($AO$15&amp;CN$27,LCIA_Rows_B&amp;LCIA_Rows_C,0),MATCH(CN$26,LCIA_Columns,0)),0)*$AT56*$AJ56*$BN$23</f>
        <v>0</v>
      </c>
      <c r="CO56" s="1">
        <f t="array" ref="CO56">IFERROR(INDEX(LCIA_Data,MATCH($AO$15&amp;CO$27,LCIA_Rows_B&amp;LCIA_Rows_C,0),MATCH(CO$26,LCIA_Columns,0)),0)*$AT56*$AJ56*$BN$23</f>
        <v>0</v>
      </c>
      <c r="CP56" s="1">
        <f t="array" ref="CP56">IFERROR(INDEX(LCIA_Data,MATCH($AO$15&amp;CP$27,LCIA_Rows_B&amp;LCIA_Rows_C,0),MATCH(CP$26,LCIA_Columns,0)),0)*$AT56*$AJ56*$BN$23</f>
        <v>0</v>
      </c>
      <c r="CQ56" s="1">
        <f t="array" ref="CQ56">IFERROR(INDEX(LCIA_Data,MATCH($AO$15&amp;CQ$27,LCIA_Rows_B&amp;LCIA_Rows_C,0),MATCH(CQ$26,LCIA_Columns,0)),0)*$AT56*$AJ56*$BN$23</f>
        <v>0</v>
      </c>
      <c r="CR56" s="1">
        <f t="array" ref="CR56">IFERROR(INDEX(LCIA_Data,MATCH($AO$15&amp;CR$27,LCIA_Rows_B&amp;LCIA_Rows_C,0),MATCH(CR$26,LCIA_Columns,0)),0)*$AT56*$AJ56*$BN$23</f>
        <v>0</v>
      </c>
      <c r="CS56" s="1">
        <f t="array" ref="CS56">IFERROR(INDEX(LCIA_Data,MATCH($AO$15&amp;CS$27,LCIA_Rows_B&amp;LCIA_Rows_C,0),MATCH(CS$26,LCIA_Columns,0)),0)*$AT56*$AJ56*$BN$23</f>
        <v>0</v>
      </c>
      <c r="CT56" s="1">
        <f t="array" ref="CT56">IFERROR(INDEX(LCIA_Data,MATCH($AO$15&amp;CT$27,LCIA_Rows_B&amp;LCIA_Rows_C,0),MATCH(CT$26,LCIA_Columns,0)),0)*$AT56*$AJ56*$BN$23</f>
        <v>0</v>
      </c>
      <c r="CU56" s="1">
        <f t="array" ref="CU56">IFERROR(INDEX(LCIA_Data,MATCH($AO$15&amp;CU$27,LCIA_Rows_B&amp;LCIA_Rows_C,0),MATCH(CU$26,LCIA_Columns,0)),0)*$AT56*$AJ56*$BN$23</f>
        <v>0</v>
      </c>
      <c r="CV56" s="1">
        <f t="array" ref="CV56">IFERROR(INDEX(LCIA_Data,MATCH($AO$15&amp;CV$27,LCIA_Rows_B&amp;LCIA_Rows_C,0),MATCH(CV$26,LCIA_Columns,0)),0)*$AT56*$AJ56*$BN$23</f>
        <v>0</v>
      </c>
      <c r="CW56" s="1">
        <f t="array" ref="CW56">IFERROR(INDEX(LCIA_Data,MATCH($AO$15&amp;CW$27,LCIA_Rows_B&amp;LCIA_Rows_C,0),MATCH(CW$26,LCIA_Columns,0)),0)*$AT56*$AJ56*$BN$23</f>
        <v>0</v>
      </c>
      <c r="CX56" s="1">
        <f t="array" ref="CX56">IFERROR(INDEX(LCIA_Data,MATCH($AO$15&amp;CX$27,LCIA_Rows_B&amp;LCIA_Rows_C,0),MATCH(CX$26,LCIA_Columns,0)),0)*$AT56*$AJ56*$BN$23</f>
        <v>0</v>
      </c>
      <c r="CY56" s="1">
        <f t="array" ref="CY56">IFERROR(INDEX(LCIA_Data,MATCH($AO$15&amp;CY$27,LCIA_Rows_B&amp;LCIA_Rows_C,0),MATCH(CY$26,LCIA_Columns,0)),0)*$AT56*$AJ56*$BN$23</f>
        <v>0</v>
      </c>
      <c r="CZ56" s="1">
        <f t="array" ref="CZ56">IFERROR(INDEX(LCIA_Data,MATCH($AO$15&amp;CZ$27,LCIA_Rows_B&amp;LCIA_Rows_C,0),MATCH(CZ$26,LCIA_Columns,0)),0)*$AT56*$AJ56*$BN$23</f>
        <v>0</v>
      </c>
      <c r="DA56" s="1">
        <f t="array" ref="DA56">IFERROR(INDEX(LCIA_Data,MATCH($AO$15&amp;DA$27,LCIA_Rows_B&amp;LCIA_Rows_C,0),MATCH(DA$26,LCIA_Columns,0)),0)*$AT56*$AK56*$BN$23</f>
        <v>0</v>
      </c>
      <c r="DB56" s="1">
        <f t="array" ref="DB56">IFERROR(INDEX(LCIA_Data,MATCH($AO$15&amp;DB$27,LCIA_Rows_B&amp;LCIA_Rows_C,0),MATCH(DB$26,LCIA_Columns,0)),0)*$AT56*$AK56*$BN$23</f>
        <v>0</v>
      </c>
      <c r="DC56" s="1">
        <f t="array" ref="DC56">IFERROR(INDEX(LCIA_Data,MATCH($AO$15&amp;DC$27,LCIA_Rows_B&amp;LCIA_Rows_C,0),MATCH(DC$26,LCIA_Columns,0)),0)*$AT56*$AK56*$BN$23</f>
        <v>0</v>
      </c>
      <c r="DD56" s="1">
        <f t="array" ref="DD56">IFERROR(INDEX(LCIA_Data,MATCH($AO$15&amp;DD$27,LCIA_Rows_B&amp;LCIA_Rows_C,0),MATCH(DD$26,LCIA_Columns,0)),0)*$AT56*$AK56*$BN$23</f>
        <v>0</v>
      </c>
      <c r="DE56" s="1">
        <f t="array" ref="DE56">IFERROR(INDEX(LCIA_Data,MATCH($AO$15&amp;DE$27,LCIA_Rows_B&amp;LCIA_Rows_C,0),MATCH(DE$26,LCIA_Columns,0)),0)*$AT56*$AK56*$BN$23</f>
        <v>0</v>
      </c>
      <c r="DF56" s="1">
        <f t="array" ref="DF56">IFERROR(INDEX(LCIA_Data,MATCH($AO$15&amp;DF$27,LCIA_Rows_B&amp;LCIA_Rows_C,0),MATCH(DF$26,LCIA_Columns,0)),0)*$AT56*$AK56*$BN$23</f>
        <v>0</v>
      </c>
      <c r="DG56" s="1">
        <f t="array" ref="DG56">IFERROR(INDEX(LCIA_Data,MATCH($AO$15&amp;DG$27,LCIA_Rows_B&amp;LCIA_Rows_C,0),MATCH(DG$26,LCIA_Columns,0)),0)*$AT56*$AK56*$BN$23</f>
        <v>0</v>
      </c>
      <c r="DH56" s="1">
        <f t="array" ref="DH56">IFERROR(INDEX(LCIA_Data,MATCH($AO$15&amp;DH$27,LCIA_Rows_B&amp;LCIA_Rows_C,0),MATCH(DH$26,LCIA_Columns,0)),0)*$AT56*$AK56*$BN$23</f>
        <v>0</v>
      </c>
      <c r="DI56" s="1">
        <f t="array" ref="DI56">IFERROR(INDEX(LCIA_Data,MATCH($AO$15&amp;DI$27,LCIA_Rows_B&amp;LCIA_Rows_C,0),MATCH(DI$26,LCIA_Columns,0)),0)*$AT56*$AK56*$BN$23</f>
        <v>0</v>
      </c>
      <c r="DJ56" s="1">
        <f t="array" ref="DJ56">IFERROR(INDEX(LCIA_Data,MATCH($AO$15&amp;DJ$27,LCIA_Rows_B&amp;LCIA_Rows_C,0),MATCH(DJ$26,LCIA_Columns,0)),0)*$AT56*$AK56*$BN$23</f>
        <v>0</v>
      </c>
      <c r="DK56" s="1">
        <f t="array" ref="DK56">IFERROR(INDEX(LCIA_Data,MATCH($AO$15&amp;DK$27,LCIA_Rows_B&amp;LCIA_Rows_C,0),MATCH(DK$26,LCIA_Columns,0)),0)*$AT56*$AK56*$BN$23</f>
        <v>0</v>
      </c>
      <c r="DL56" s="1">
        <f t="array" ref="DL56">IFERROR(INDEX(LCIA_Data,MATCH($AO$15&amp;DL$27,LCIA_Rows_B&amp;LCIA_Rows_C,0),MATCH(DL$26,LCIA_Columns,0)),0)*$AT56*$AK56*$BN$23</f>
        <v>0</v>
      </c>
      <c r="DM56" s="1">
        <f t="array" ref="DM56">IFERROR(INDEX(LCIA_Data,MATCH($AO$15&amp;DM$27,LCIA_Rows_B&amp;LCIA_Rows_C,0),MATCH(DM$26,LCIA_Columns,0)),0)*$AT56*$AK56*$BN$23</f>
        <v>0</v>
      </c>
      <c r="DN56" s="1">
        <f t="array" ref="DN56">IFERROR(INDEX(LCIA_Data,MATCH($AO$15&amp;DN$27,LCIA_Rows_B&amp;LCIA_Rows_C,0),MATCH(DN$26,LCIA_Columns,0)),0)*$AT56*$AK56*$BN$23</f>
        <v>0</v>
      </c>
      <c r="DO56">
        <f t="shared" si="41"/>
        <v>0</v>
      </c>
      <c r="DP56">
        <f t="shared" si="41"/>
        <v>0</v>
      </c>
      <c r="DQ56">
        <f t="shared" si="41"/>
        <v>0</v>
      </c>
      <c r="DR56">
        <f t="shared" si="41"/>
        <v>0</v>
      </c>
      <c r="DS56">
        <f t="shared" si="41"/>
        <v>0</v>
      </c>
      <c r="DT56">
        <f t="shared" si="41"/>
        <v>0</v>
      </c>
      <c r="DU56">
        <f t="shared" si="41"/>
        <v>0</v>
      </c>
      <c r="DV56">
        <f t="shared" si="41"/>
        <v>0</v>
      </c>
      <c r="DW56">
        <f t="shared" si="40"/>
        <v>0</v>
      </c>
      <c r="DX56">
        <f t="shared" si="40"/>
        <v>0</v>
      </c>
      <c r="DY56">
        <f t="shared" si="40"/>
        <v>0</v>
      </c>
      <c r="DZ56">
        <f t="shared" si="40"/>
        <v>0</v>
      </c>
      <c r="EA56">
        <f t="shared" si="40"/>
        <v>0</v>
      </c>
      <c r="EB56">
        <f t="shared" si="21"/>
        <v>0</v>
      </c>
      <c r="EC56"/>
      <c r="ED56"/>
      <c r="EE56"/>
      <c r="EF56"/>
      <c r="EG56"/>
    </row>
    <row r="57" spans="2:137" ht="15" customHeight="1">
      <c r="B57" s="53">
        <f t="shared" si="29"/>
        <v>0</v>
      </c>
      <c r="C57" s="26">
        <f t="shared" si="22"/>
        <v>28</v>
      </c>
      <c r="D57" s="46" t="str">
        <f>'Plant Inputs'!$D57</f>
        <v>Carbon Fibre Reinforced Polymer (CFRP) reinforcing bars</v>
      </c>
      <c r="E57" s="99"/>
      <c r="F57" s="119" t="str">
        <f t="shared" si="39"/>
        <v>short ton</v>
      </c>
      <c r="G57" s="158">
        <f t="shared" si="26"/>
        <v>0</v>
      </c>
      <c r="H57" s="204" t="str">
        <f t="shared" si="7"/>
        <v>short ton</v>
      </c>
      <c r="I57" s="156">
        <f t="shared" si="8"/>
        <v>0</v>
      </c>
      <c r="J57"/>
      <c r="K57"/>
      <c r="L57"/>
      <c r="M57"/>
      <c r="N57"/>
      <c r="O57"/>
      <c r="P57"/>
      <c r="Q57"/>
      <c r="R57"/>
      <c r="S57"/>
      <c r="T57"/>
      <c r="X57" s="67">
        <f t="shared" si="30"/>
        <v>0</v>
      </c>
      <c r="Y57" s="216">
        <f>IF(AND($X57=1,'Plant Inputs'!$Y57=1),1,0)</f>
        <v>0</v>
      </c>
      <c r="Z57" s="216"/>
      <c r="AA57" s="216">
        <f>IF($Y57=0,0,IF('Plant Inputs'!J57="",0,'Plant Inputs'!J57))</f>
        <v>0</v>
      </c>
      <c r="AB57" s="216">
        <f>IF($Y57=0,0,IF('Plant Inputs'!K57="",0,'Plant Inputs'!K57))</f>
        <v>0</v>
      </c>
      <c r="AC57" s="216">
        <f>IF($Y57=0,0,IF('Plant Inputs'!L57="",0,'Plant Inputs'!L57))</f>
        <v>0</v>
      </c>
      <c r="AD57" s="216">
        <f>IF($Y57=0,0,IF('Plant Inputs'!M57="",0,'Plant Inputs'!M57))</f>
        <v>0</v>
      </c>
      <c r="AE57" s="217" t="str">
        <f>'Plant Inputs'!$O57</f>
        <v>mile</v>
      </c>
      <c r="AF57" s="217">
        <f t="shared" si="9"/>
        <v>1.6093473468862911</v>
      </c>
      <c r="AG57" s="216" t="str">
        <f t="shared" si="23"/>
        <v>km/mile</v>
      </c>
      <c r="AH57" s="216">
        <f t="shared" si="42"/>
        <v>0</v>
      </c>
      <c r="AI57" s="216">
        <f t="shared" si="42"/>
        <v>0</v>
      </c>
      <c r="AJ57" s="216">
        <f t="shared" si="42"/>
        <v>0</v>
      </c>
      <c r="AK57" s="216">
        <f t="shared" si="42"/>
        <v>0</v>
      </c>
      <c r="AL57" s="216"/>
      <c r="AM57" s="1" t="str">
        <f t="shared" si="32"/>
        <v>Carbon Fibre Reinforced Polymer (CFRP) reinforcing bars</v>
      </c>
      <c r="AN57" s="12" t="s">
        <v>127</v>
      </c>
      <c r="AO57">
        <f t="shared" si="33"/>
        <v>0</v>
      </c>
      <c r="AP57" s="1">
        <f t="shared" si="24"/>
        <v>0</v>
      </c>
      <c r="AQ57" s="1" t="str">
        <f t="shared" si="34"/>
        <v>short ton</v>
      </c>
      <c r="AR57" s="1">
        <f t="shared" si="14"/>
        <v>0.90718499588591606</v>
      </c>
      <c r="AS57" s="87" t="str">
        <f t="shared" si="35"/>
        <v>tonne/short ton</v>
      </c>
      <c r="AT57" s="87">
        <f t="shared" si="36"/>
        <v>0</v>
      </c>
      <c r="AU57" s="87">
        <f t="shared" si="37"/>
        <v>0</v>
      </c>
      <c r="AV57" s="87">
        <f t="shared" si="18"/>
        <v>0</v>
      </c>
      <c r="AW57" t="str">
        <f t="shared" si="38"/>
        <v>Carbon Fibre Reinforced Polymer (CFRP) reinforcing bars</v>
      </c>
      <c r="AX57" s="148">
        <f t="array" ref="AX57">IFERROR(INDEX(LCIA_Data,MATCH($AO$15&amp;AX$27,LCIA_Rows_B&amp;LCIA_Rows_C,0),MATCH($D57,LCIA_Columns,0)),0)*$AU57</f>
        <v>0</v>
      </c>
      <c r="AY57" s="148">
        <f t="array" ref="AY57">IFERROR(INDEX(LCIA_Data,MATCH($AO$15&amp;AY$27,LCIA_Rows_B&amp;LCIA_Rows_C,0),MATCH($D57,LCIA_Columns,0)),0)*$AU57</f>
        <v>0</v>
      </c>
      <c r="AZ57" s="148">
        <f t="array" ref="AZ57">IFERROR(INDEX(LCIA_Data,MATCH($AO$15&amp;AZ$27,LCIA_Rows_B&amp;LCIA_Rows_C,0),MATCH($D57,LCIA_Columns,0)),0)*$AU57</f>
        <v>0</v>
      </c>
      <c r="BA57" s="148">
        <f t="array" ref="BA57">IFERROR(INDEX(LCIA_Data,MATCH($AO$15&amp;BA$27,LCIA_Rows_B&amp;LCIA_Rows_C,0),MATCH($D57,LCIA_Columns,0)),0)*$AU57</f>
        <v>0</v>
      </c>
      <c r="BB57" s="148">
        <f t="array" ref="BB57">IFERROR(INDEX(LCIA_Data,MATCH($AO$15&amp;BB$27,LCIA_Rows_B&amp;LCIA_Rows_C,0),MATCH($D57,LCIA_Columns,0)),0)*$AU57</f>
        <v>0</v>
      </c>
      <c r="BC57" s="148">
        <f t="array" ref="BC57">IFERROR(INDEX(LCIA_Data,MATCH($AO$15&amp;BC$27,LCIA_Rows_B&amp;LCIA_Rows_C,0),MATCH($D57,LCIA_Columns,0)),0)*$AU57</f>
        <v>0</v>
      </c>
      <c r="BD57" s="148">
        <f t="array" ref="BD57">IFERROR(INDEX(LCIA_Data,MATCH($AO$15&amp;BD$27,LCIA_Rows_B&amp;LCIA_Rows_C,0),MATCH($D57,LCIA_Columns,0)),0)*$AU57</f>
        <v>0</v>
      </c>
      <c r="BE57" s="148">
        <f t="array" ref="BE57">IFERROR(INDEX(LCIA_Data,MATCH($AO$15&amp;BE$27,LCIA_Rows_B&amp;LCIA_Rows_C,0),MATCH($D57,LCIA_Columns,0)),0)*$AU57</f>
        <v>0</v>
      </c>
      <c r="BF57" s="148">
        <f t="array" ref="BF57">IFERROR(INDEX(LCIA_Data,MATCH($AO$15&amp;BF$27,LCIA_Rows_B&amp;LCIA_Rows_C,0),MATCH($D57,LCIA_Columns,0)),0)*$AU57</f>
        <v>0</v>
      </c>
      <c r="BG57" s="148">
        <f t="array" ref="BG57">IFERROR(INDEX(LCIA_Data,MATCH($AO$15&amp;BG$27,LCIA_Rows_B&amp;LCIA_Rows_C,0),MATCH($D57,LCIA_Columns,0)),0)*$AU57</f>
        <v>0</v>
      </c>
      <c r="BH57" s="148">
        <f t="array" ref="BH57">IFERROR(INDEX(LCIA_Data,MATCH($AO$15&amp;BH$27,LCIA_Rows_B&amp;LCIA_Rows_C,0),MATCH($D57,LCIA_Columns,0)),0)*$AU57</f>
        <v>0</v>
      </c>
      <c r="BI57" s="148">
        <f t="array" ref="BI57">IFERROR(INDEX(LCIA_Data,MATCH($AO$15&amp;BI$27,LCIA_Rows_B&amp;LCIA_Rows_C,0),MATCH($D57,LCIA_Columns,0)),0)*$AU57</f>
        <v>0</v>
      </c>
      <c r="BJ57" s="148">
        <f t="array" ref="BJ57">IFERROR(INDEX(LCIA_Data,MATCH($AO$15&amp;BJ$27,LCIA_Rows_B&amp;LCIA_Rows_C,0),MATCH($D57,LCIA_Columns,0)),0)*$AU57</f>
        <v>0</v>
      </c>
      <c r="BK57" s="148">
        <f t="array" ref="BK57">IFERROR(INDEX(LCIA_Data,MATCH($AO$15&amp;BK$27,LCIA_Rows_B&amp;LCIA_Rows_C,0),MATCH($D57,LCIA_Columns,0)),0)*$AU57</f>
        <v>0</v>
      </c>
      <c r="BM57" s="1">
        <f t="array" ref="BM57">IFERROR(INDEX(LCIA_Data,MATCH($AO$15&amp;BM$27,LCIA_Rows_B&amp;LCIA_Rows_C,0),MATCH(BM$26,LCIA_Columns,0)),0)*$AT57*$AH57*$BN$23</f>
        <v>0</v>
      </c>
      <c r="BN57" s="1">
        <f t="array" ref="BN57">IFERROR(INDEX(LCIA_Data,MATCH($AO$15&amp;BN$27,LCIA_Rows_B&amp;LCIA_Rows_C,0),MATCH(BN$26,LCIA_Columns,0)),0)*$AT57*$AH57*$BN$23</f>
        <v>0</v>
      </c>
      <c r="BO57" s="1">
        <f t="array" ref="BO57">IFERROR(INDEX(LCIA_Data,MATCH($AO$15&amp;BO$27,LCIA_Rows_B&amp;LCIA_Rows_C,0),MATCH(BO$26,LCIA_Columns,0)),0)*$AT57*$AH57*$BN$23</f>
        <v>0</v>
      </c>
      <c r="BP57" s="1">
        <f t="array" ref="BP57">IFERROR(INDEX(LCIA_Data,MATCH($AO$15&amp;BP$27,LCIA_Rows_B&amp;LCIA_Rows_C,0),MATCH(BP$26,LCIA_Columns,0)),0)*$AT57*$AH57*$BN$23</f>
        <v>0</v>
      </c>
      <c r="BQ57" s="1">
        <f t="array" ref="BQ57">IFERROR(INDEX(LCIA_Data,MATCH($AO$15&amp;BQ$27,LCIA_Rows_B&amp;LCIA_Rows_C,0),MATCH(BQ$26,LCIA_Columns,0)),0)*$AT57*$AH57*$BN$23</f>
        <v>0</v>
      </c>
      <c r="BR57" s="1">
        <f t="array" ref="BR57">IFERROR(INDEX(LCIA_Data,MATCH($AO$15&amp;BR$27,LCIA_Rows_B&amp;LCIA_Rows_C,0),MATCH(BR$26,LCIA_Columns,0)),0)*$AT57*$AH57*$BN$23</f>
        <v>0</v>
      </c>
      <c r="BS57" s="1">
        <f t="array" ref="BS57">IFERROR(INDEX(LCIA_Data,MATCH($AO$15&amp;BS$27,LCIA_Rows_B&amp;LCIA_Rows_C,0),MATCH(BS$26,LCIA_Columns,0)),0)*$AT57*$AH57*$BN$23</f>
        <v>0</v>
      </c>
      <c r="BT57" s="1">
        <f t="array" ref="BT57">IFERROR(INDEX(LCIA_Data,MATCH($AO$15&amp;BT$27,LCIA_Rows_B&amp;LCIA_Rows_C,0),MATCH(BT$26,LCIA_Columns,0)),0)*$AT57*$AH57*$BN$23</f>
        <v>0</v>
      </c>
      <c r="BU57" s="1">
        <f t="array" ref="BU57">IFERROR(INDEX(LCIA_Data,MATCH($AO$15&amp;BU$27,LCIA_Rows_B&amp;LCIA_Rows_C,0),MATCH(BU$26,LCIA_Columns,0)),0)*$AT57*$AH57*$BN$23</f>
        <v>0</v>
      </c>
      <c r="BV57" s="1">
        <f t="array" ref="BV57">IFERROR(INDEX(LCIA_Data,MATCH($AO$15&amp;BV$27,LCIA_Rows_B&amp;LCIA_Rows_C,0),MATCH(BV$26,LCIA_Columns,0)),0)*$AT57*$AH57*$BN$23</f>
        <v>0</v>
      </c>
      <c r="BW57" s="1">
        <f t="array" ref="BW57">IFERROR(INDEX(LCIA_Data,MATCH($AO$15&amp;BW$27,LCIA_Rows_B&amp;LCIA_Rows_C,0),MATCH(BW$26,LCIA_Columns,0)),0)*$AT57*$AH57*$BN$23</f>
        <v>0</v>
      </c>
      <c r="BX57" s="1">
        <f t="array" ref="BX57">IFERROR(INDEX(LCIA_Data,MATCH($AO$15&amp;BX$27,LCIA_Rows_B&amp;LCIA_Rows_C,0),MATCH(BX$26,LCIA_Columns,0)),0)*$AT57*$AH57*$BN$23</f>
        <v>0</v>
      </c>
      <c r="BY57" s="1">
        <f t="array" ref="BY57">IFERROR(INDEX(LCIA_Data,MATCH($AO$15&amp;BY$27,LCIA_Rows_B&amp;LCIA_Rows_C,0),MATCH(BY$26,LCIA_Columns,0)),0)*$AT57*$AH57*$BN$23</f>
        <v>0</v>
      </c>
      <c r="BZ57" s="1">
        <f t="array" ref="BZ57">IFERROR(INDEX(LCIA_Data,MATCH($AO$15&amp;BZ$27,LCIA_Rows_B&amp;LCIA_Rows_C,0),MATCH(BZ$26,LCIA_Columns,0)),0)*$AT57*$AH57*$BN$23</f>
        <v>0</v>
      </c>
      <c r="CA57" s="1">
        <f t="array" ref="CA57">IFERROR(INDEX(LCIA_Data,MATCH($AO$15&amp;CA$27,LCIA_Rows_B&amp;LCIA_Rows_C,0),MATCH(CA$26,LCIA_Columns,0)),0)*$AT57*$AI57*$BN$23</f>
        <v>0</v>
      </c>
      <c r="CB57" s="1">
        <f t="array" ref="CB57">IFERROR(INDEX(LCIA_Data,MATCH($AO$15&amp;CB$27,LCIA_Rows_B&amp;LCIA_Rows_C,0),MATCH(CB$26,LCIA_Columns,0)),0)*$AT57*$AI57*$BN$23</f>
        <v>0</v>
      </c>
      <c r="CC57" s="1">
        <f t="array" ref="CC57">IFERROR(INDEX(LCIA_Data,MATCH($AO$15&amp;CC$27,LCIA_Rows_B&amp;LCIA_Rows_C,0),MATCH(CC$26,LCIA_Columns,0)),0)*$AT57*$AI57*$BN$23</f>
        <v>0</v>
      </c>
      <c r="CD57" s="1">
        <f t="array" ref="CD57">IFERROR(INDEX(LCIA_Data,MATCH($AO$15&amp;CD$27,LCIA_Rows_B&amp;LCIA_Rows_C,0),MATCH(CD$26,LCIA_Columns,0)),0)*$AT57*$AI57*$BN$23</f>
        <v>0</v>
      </c>
      <c r="CE57" s="1">
        <f t="array" ref="CE57">IFERROR(INDEX(LCIA_Data,MATCH($AO$15&amp;CE$27,LCIA_Rows_B&amp;LCIA_Rows_C,0),MATCH(CE$26,LCIA_Columns,0)),0)*$AT57*$AI57*$BN$23</f>
        <v>0</v>
      </c>
      <c r="CF57" s="1">
        <f t="array" ref="CF57">IFERROR(INDEX(LCIA_Data,MATCH($AO$15&amp;CF$27,LCIA_Rows_B&amp;LCIA_Rows_C,0),MATCH(CF$26,LCIA_Columns,0)),0)*$AT57*$AI57*$BN$23</f>
        <v>0</v>
      </c>
      <c r="CG57" s="1">
        <f t="array" ref="CG57">IFERROR(INDEX(LCIA_Data,MATCH($AO$15&amp;CG$27,LCIA_Rows_B&amp;LCIA_Rows_C,0),MATCH(CG$26,LCIA_Columns,0)),0)*$AT57*$AI57*$BN$23</f>
        <v>0</v>
      </c>
      <c r="CH57" s="1">
        <f t="array" ref="CH57">IFERROR(INDEX(LCIA_Data,MATCH($AO$15&amp;CH$27,LCIA_Rows_B&amp;LCIA_Rows_C,0),MATCH(CH$26,LCIA_Columns,0)),0)*$AT57*$AI57*$BN$23</f>
        <v>0</v>
      </c>
      <c r="CI57" s="1">
        <f t="array" ref="CI57">IFERROR(INDEX(LCIA_Data,MATCH($AO$15&amp;CI$27,LCIA_Rows_B&amp;LCIA_Rows_C,0),MATCH(CI$26,LCIA_Columns,0)),0)*$AT57*$AI57*$BN$23</f>
        <v>0</v>
      </c>
      <c r="CJ57" s="1">
        <f t="array" ref="CJ57">IFERROR(INDEX(LCIA_Data,MATCH($AO$15&amp;CJ$27,LCIA_Rows_B&amp;LCIA_Rows_C,0),MATCH(CJ$26,LCIA_Columns,0)),0)*$AT57*$AI57*$BN$23</f>
        <v>0</v>
      </c>
      <c r="CK57" s="1">
        <f t="array" ref="CK57">IFERROR(INDEX(LCIA_Data,MATCH($AO$15&amp;CK$27,LCIA_Rows_B&amp;LCIA_Rows_C,0),MATCH(CK$26,LCIA_Columns,0)),0)*$AT57*$AI57*$BN$23</f>
        <v>0</v>
      </c>
      <c r="CL57" s="1">
        <f t="array" ref="CL57">IFERROR(INDEX(LCIA_Data,MATCH($AO$15&amp;CL$27,LCIA_Rows_B&amp;LCIA_Rows_C,0),MATCH(CL$26,LCIA_Columns,0)),0)*$AT57*$AI57*$BN$23</f>
        <v>0</v>
      </c>
      <c r="CM57" s="1">
        <f t="array" ref="CM57">IFERROR(INDEX(LCIA_Data,MATCH($AO$15&amp;CM$27,LCIA_Rows_B&amp;LCIA_Rows_C,0),MATCH(CM$26,LCIA_Columns,0)),0)*$AT57*$AJ57*$BN$23</f>
        <v>0</v>
      </c>
      <c r="CN57" s="1">
        <f t="array" ref="CN57">IFERROR(INDEX(LCIA_Data,MATCH($AO$15&amp;CN$27,LCIA_Rows_B&amp;LCIA_Rows_C,0),MATCH(CN$26,LCIA_Columns,0)),0)*$AT57*$AJ57*$BN$23</f>
        <v>0</v>
      </c>
      <c r="CO57" s="1">
        <f t="array" ref="CO57">IFERROR(INDEX(LCIA_Data,MATCH($AO$15&amp;CO$27,LCIA_Rows_B&amp;LCIA_Rows_C,0),MATCH(CO$26,LCIA_Columns,0)),0)*$AT57*$AJ57*$BN$23</f>
        <v>0</v>
      </c>
      <c r="CP57" s="1">
        <f t="array" ref="CP57">IFERROR(INDEX(LCIA_Data,MATCH($AO$15&amp;CP$27,LCIA_Rows_B&amp;LCIA_Rows_C,0),MATCH(CP$26,LCIA_Columns,0)),0)*$AT57*$AJ57*$BN$23</f>
        <v>0</v>
      </c>
      <c r="CQ57" s="1">
        <f t="array" ref="CQ57">IFERROR(INDEX(LCIA_Data,MATCH($AO$15&amp;CQ$27,LCIA_Rows_B&amp;LCIA_Rows_C,0),MATCH(CQ$26,LCIA_Columns,0)),0)*$AT57*$AJ57*$BN$23</f>
        <v>0</v>
      </c>
      <c r="CR57" s="1">
        <f t="array" ref="CR57">IFERROR(INDEX(LCIA_Data,MATCH($AO$15&amp;CR$27,LCIA_Rows_B&amp;LCIA_Rows_C,0),MATCH(CR$26,LCIA_Columns,0)),0)*$AT57*$AJ57*$BN$23</f>
        <v>0</v>
      </c>
      <c r="CS57" s="1">
        <f t="array" ref="CS57">IFERROR(INDEX(LCIA_Data,MATCH($AO$15&amp;CS$27,LCIA_Rows_B&amp;LCIA_Rows_C,0),MATCH(CS$26,LCIA_Columns,0)),0)*$AT57*$AJ57*$BN$23</f>
        <v>0</v>
      </c>
      <c r="CT57" s="1">
        <f t="array" ref="CT57">IFERROR(INDEX(LCIA_Data,MATCH($AO$15&amp;CT$27,LCIA_Rows_B&amp;LCIA_Rows_C,0),MATCH(CT$26,LCIA_Columns,0)),0)*$AT57*$AJ57*$BN$23</f>
        <v>0</v>
      </c>
      <c r="CU57" s="1">
        <f t="array" ref="CU57">IFERROR(INDEX(LCIA_Data,MATCH($AO$15&amp;CU$27,LCIA_Rows_B&amp;LCIA_Rows_C,0),MATCH(CU$26,LCIA_Columns,0)),0)*$AT57*$AJ57*$BN$23</f>
        <v>0</v>
      </c>
      <c r="CV57" s="1">
        <f t="array" ref="CV57">IFERROR(INDEX(LCIA_Data,MATCH($AO$15&amp;CV$27,LCIA_Rows_B&amp;LCIA_Rows_C,0),MATCH(CV$26,LCIA_Columns,0)),0)*$AT57*$AJ57*$BN$23</f>
        <v>0</v>
      </c>
      <c r="CW57" s="1">
        <f t="array" ref="CW57">IFERROR(INDEX(LCIA_Data,MATCH($AO$15&amp;CW$27,LCIA_Rows_B&amp;LCIA_Rows_C,0),MATCH(CW$26,LCIA_Columns,0)),0)*$AT57*$AJ57*$BN$23</f>
        <v>0</v>
      </c>
      <c r="CX57" s="1">
        <f t="array" ref="CX57">IFERROR(INDEX(LCIA_Data,MATCH($AO$15&amp;CX$27,LCIA_Rows_B&amp;LCIA_Rows_C,0),MATCH(CX$26,LCIA_Columns,0)),0)*$AT57*$AJ57*$BN$23</f>
        <v>0</v>
      </c>
      <c r="CY57" s="1">
        <f t="array" ref="CY57">IFERROR(INDEX(LCIA_Data,MATCH($AO$15&amp;CY$27,LCIA_Rows_B&amp;LCIA_Rows_C,0),MATCH(CY$26,LCIA_Columns,0)),0)*$AT57*$AJ57*$BN$23</f>
        <v>0</v>
      </c>
      <c r="CZ57" s="1">
        <f t="array" ref="CZ57">IFERROR(INDEX(LCIA_Data,MATCH($AO$15&amp;CZ$27,LCIA_Rows_B&amp;LCIA_Rows_C,0),MATCH(CZ$26,LCIA_Columns,0)),0)*$AT57*$AJ57*$BN$23</f>
        <v>0</v>
      </c>
      <c r="DA57" s="1">
        <f t="array" ref="DA57">IFERROR(INDEX(LCIA_Data,MATCH($AO$15&amp;DA$27,LCIA_Rows_B&amp;LCIA_Rows_C,0),MATCH(DA$26,LCIA_Columns,0)),0)*$AT57*$AK57*$BN$23</f>
        <v>0</v>
      </c>
      <c r="DB57" s="1">
        <f t="array" ref="DB57">IFERROR(INDEX(LCIA_Data,MATCH($AO$15&amp;DB$27,LCIA_Rows_B&amp;LCIA_Rows_C,0),MATCH(DB$26,LCIA_Columns,0)),0)*$AT57*$AK57*$BN$23</f>
        <v>0</v>
      </c>
      <c r="DC57" s="1">
        <f t="array" ref="DC57">IFERROR(INDEX(LCIA_Data,MATCH($AO$15&amp;DC$27,LCIA_Rows_B&amp;LCIA_Rows_C,0),MATCH(DC$26,LCIA_Columns,0)),0)*$AT57*$AK57*$BN$23</f>
        <v>0</v>
      </c>
      <c r="DD57" s="1">
        <f t="array" ref="DD57">IFERROR(INDEX(LCIA_Data,MATCH($AO$15&amp;DD$27,LCIA_Rows_B&amp;LCIA_Rows_C,0),MATCH(DD$26,LCIA_Columns,0)),0)*$AT57*$AK57*$BN$23</f>
        <v>0</v>
      </c>
      <c r="DE57" s="1">
        <f t="array" ref="DE57">IFERROR(INDEX(LCIA_Data,MATCH($AO$15&amp;DE$27,LCIA_Rows_B&amp;LCIA_Rows_C,0),MATCH(DE$26,LCIA_Columns,0)),0)*$AT57*$AK57*$BN$23</f>
        <v>0</v>
      </c>
      <c r="DF57" s="1">
        <f t="array" ref="DF57">IFERROR(INDEX(LCIA_Data,MATCH($AO$15&amp;DF$27,LCIA_Rows_B&amp;LCIA_Rows_C,0),MATCH(DF$26,LCIA_Columns,0)),0)*$AT57*$AK57*$BN$23</f>
        <v>0</v>
      </c>
      <c r="DG57" s="1">
        <f t="array" ref="DG57">IFERROR(INDEX(LCIA_Data,MATCH($AO$15&amp;DG$27,LCIA_Rows_B&amp;LCIA_Rows_C,0),MATCH(DG$26,LCIA_Columns,0)),0)*$AT57*$AK57*$BN$23</f>
        <v>0</v>
      </c>
      <c r="DH57" s="1">
        <f t="array" ref="DH57">IFERROR(INDEX(LCIA_Data,MATCH($AO$15&amp;DH$27,LCIA_Rows_B&amp;LCIA_Rows_C,0),MATCH(DH$26,LCIA_Columns,0)),0)*$AT57*$AK57*$BN$23</f>
        <v>0</v>
      </c>
      <c r="DI57" s="1">
        <f t="array" ref="DI57">IFERROR(INDEX(LCIA_Data,MATCH($AO$15&amp;DI$27,LCIA_Rows_B&amp;LCIA_Rows_C,0),MATCH(DI$26,LCIA_Columns,0)),0)*$AT57*$AK57*$BN$23</f>
        <v>0</v>
      </c>
      <c r="DJ57" s="1">
        <f t="array" ref="DJ57">IFERROR(INDEX(LCIA_Data,MATCH($AO$15&amp;DJ$27,LCIA_Rows_B&amp;LCIA_Rows_C,0),MATCH(DJ$26,LCIA_Columns,0)),0)*$AT57*$AK57*$BN$23</f>
        <v>0</v>
      </c>
      <c r="DK57" s="1">
        <f t="array" ref="DK57">IFERROR(INDEX(LCIA_Data,MATCH($AO$15&amp;DK$27,LCIA_Rows_B&amp;LCIA_Rows_C,0),MATCH(DK$26,LCIA_Columns,0)),0)*$AT57*$AK57*$BN$23</f>
        <v>0</v>
      </c>
      <c r="DL57" s="1">
        <f t="array" ref="DL57">IFERROR(INDEX(LCIA_Data,MATCH($AO$15&amp;DL$27,LCIA_Rows_B&amp;LCIA_Rows_C,0),MATCH(DL$26,LCIA_Columns,0)),0)*$AT57*$AK57*$BN$23</f>
        <v>0</v>
      </c>
      <c r="DM57" s="1">
        <f t="array" ref="DM57">IFERROR(INDEX(LCIA_Data,MATCH($AO$15&amp;DM$27,LCIA_Rows_B&amp;LCIA_Rows_C,0),MATCH(DM$26,LCIA_Columns,0)),0)*$AT57*$AK57*$BN$23</f>
        <v>0</v>
      </c>
      <c r="DN57" s="1">
        <f t="array" ref="DN57">IFERROR(INDEX(LCIA_Data,MATCH($AO$15&amp;DN$27,LCIA_Rows_B&amp;LCIA_Rows_C,0),MATCH(DN$26,LCIA_Columns,0)),0)*$AT57*$AK57*$BN$23</f>
        <v>0</v>
      </c>
      <c r="DO57">
        <f t="shared" si="41"/>
        <v>0</v>
      </c>
      <c r="DP57">
        <f t="shared" si="41"/>
        <v>0</v>
      </c>
      <c r="DQ57">
        <f t="shared" si="41"/>
        <v>0</v>
      </c>
      <c r="DR57">
        <f t="shared" si="41"/>
        <v>0</v>
      </c>
      <c r="DS57">
        <f t="shared" si="41"/>
        <v>0</v>
      </c>
      <c r="DT57">
        <f t="shared" si="41"/>
        <v>0</v>
      </c>
      <c r="DU57">
        <f t="shared" si="41"/>
        <v>0</v>
      </c>
      <c r="DV57">
        <f t="shared" si="41"/>
        <v>0</v>
      </c>
      <c r="DW57">
        <f t="shared" si="40"/>
        <v>0</v>
      </c>
      <c r="DX57">
        <f t="shared" si="40"/>
        <v>0</v>
      </c>
      <c r="DY57">
        <f t="shared" si="40"/>
        <v>0</v>
      </c>
      <c r="DZ57">
        <f t="shared" si="40"/>
        <v>0</v>
      </c>
      <c r="EA57">
        <f t="shared" si="40"/>
        <v>0</v>
      </c>
      <c r="EB57">
        <f t="shared" si="21"/>
        <v>0</v>
      </c>
      <c r="EC57"/>
      <c r="ED57"/>
      <c r="EE57"/>
      <c r="EF57"/>
      <c r="EG57"/>
    </row>
    <row r="58" spans="2:137" ht="15" customHeight="1">
      <c r="B58" s="53">
        <f t="shared" si="29"/>
        <v>0</v>
      </c>
      <c r="C58" s="233">
        <f t="shared" si="22"/>
        <v>29</v>
      </c>
      <c r="D58" s="244" t="str">
        <f>'Plant Inputs'!$D58</f>
        <v>Fibre Reinforced Polymer (FRP) wrap</v>
      </c>
      <c r="E58" s="101"/>
      <c r="F58" s="235" t="str">
        <f t="shared" si="39"/>
        <v>short ton</v>
      </c>
      <c r="G58" s="236">
        <f t="shared" si="26"/>
        <v>0</v>
      </c>
      <c r="H58" s="237" t="str">
        <f t="shared" si="7"/>
        <v>short ton</v>
      </c>
      <c r="I58" s="400">
        <f t="shared" si="8"/>
        <v>0</v>
      </c>
      <c r="J58"/>
      <c r="K58"/>
      <c r="L58"/>
      <c r="M58"/>
      <c r="N58"/>
      <c r="O58"/>
      <c r="P58"/>
      <c r="Q58"/>
      <c r="R58"/>
      <c r="S58"/>
      <c r="T58"/>
      <c r="X58" s="67">
        <f t="shared" si="30"/>
        <v>0</v>
      </c>
      <c r="Y58" s="216">
        <f>IF(AND($X58=1,'Plant Inputs'!$Y58=1),1,0)</f>
        <v>0</v>
      </c>
      <c r="Z58" s="216"/>
      <c r="AA58" s="216">
        <f>IF($Y58=0,0,IF('Plant Inputs'!J58="",0,'Plant Inputs'!J58))</f>
        <v>0</v>
      </c>
      <c r="AB58" s="216">
        <f>IF($Y58=0,0,IF('Plant Inputs'!K58="",0,'Plant Inputs'!K58))</f>
        <v>0</v>
      </c>
      <c r="AC58" s="216">
        <f>IF($Y58=0,0,IF('Plant Inputs'!L58="",0,'Plant Inputs'!L58))</f>
        <v>0</v>
      </c>
      <c r="AD58" s="216">
        <f>IF($Y58=0,0,IF('Plant Inputs'!M58="",0,'Plant Inputs'!M58))</f>
        <v>0</v>
      </c>
      <c r="AE58" s="217" t="str">
        <f>'Plant Inputs'!$O58</f>
        <v>mile</v>
      </c>
      <c r="AF58" s="217">
        <f t="shared" si="9"/>
        <v>1.6093473468862911</v>
      </c>
      <c r="AG58" s="216" t="str">
        <f t="shared" si="23"/>
        <v>km/mile</v>
      </c>
      <c r="AH58" s="216">
        <f t="shared" si="42"/>
        <v>0</v>
      </c>
      <c r="AI58" s="216">
        <f t="shared" si="42"/>
        <v>0</v>
      </c>
      <c r="AJ58" s="216">
        <f t="shared" si="42"/>
        <v>0</v>
      </c>
      <c r="AK58" s="216">
        <f t="shared" si="42"/>
        <v>0</v>
      </c>
      <c r="AL58" s="216"/>
      <c r="AM58" s="1" t="str">
        <f t="shared" si="32"/>
        <v>Fibre Reinforced Polymer (FRP) wrap</v>
      </c>
      <c r="AN58" s="12" t="s">
        <v>127</v>
      </c>
      <c r="AO58">
        <f t="shared" si="33"/>
        <v>0</v>
      </c>
      <c r="AP58" s="1">
        <f t="shared" si="24"/>
        <v>0</v>
      </c>
      <c r="AQ58" s="1" t="str">
        <f t="shared" si="34"/>
        <v>short ton</v>
      </c>
      <c r="AR58" s="1">
        <f t="shared" si="14"/>
        <v>0.90718499588591606</v>
      </c>
      <c r="AS58" s="87" t="str">
        <f t="shared" si="35"/>
        <v>tonne/short ton</v>
      </c>
      <c r="AT58" s="87">
        <f t="shared" si="36"/>
        <v>0</v>
      </c>
      <c r="AU58" s="87">
        <f t="shared" si="37"/>
        <v>0</v>
      </c>
      <c r="AV58" s="87">
        <f t="shared" si="18"/>
        <v>0</v>
      </c>
      <c r="AW58" t="str">
        <f t="shared" si="38"/>
        <v>Fibre Reinforced Polymer (FRP) wrap</v>
      </c>
      <c r="AX58" s="148">
        <f t="array" ref="AX58">IFERROR(INDEX(LCIA_Data,MATCH($AO$15&amp;AX$27,LCIA_Rows_B&amp;LCIA_Rows_C,0),MATCH($D58,LCIA_Columns,0)),0)*$AU58</f>
        <v>0</v>
      </c>
      <c r="AY58" s="148">
        <f t="array" ref="AY58">IFERROR(INDEX(LCIA_Data,MATCH($AO$15&amp;AY$27,LCIA_Rows_B&amp;LCIA_Rows_C,0),MATCH($D58,LCIA_Columns,0)),0)*$AU58</f>
        <v>0</v>
      </c>
      <c r="AZ58" s="148">
        <f t="array" ref="AZ58">IFERROR(INDEX(LCIA_Data,MATCH($AO$15&amp;AZ$27,LCIA_Rows_B&amp;LCIA_Rows_C,0),MATCH($D58,LCIA_Columns,0)),0)*$AU58</f>
        <v>0</v>
      </c>
      <c r="BA58" s="148">
        <f t="array" ref="BA58">IFERROR(INDEX(LCIA_Data,MATCH($AO$15&amp;BA$27,LCIA_Rows_B&amp;LCIA_Rows_C,0),MATCH($D58,LCIA_Columns,0)),0)*$AU58</f>
        <v>0</v>
      </c>
      <c r="BB58" s="148">
        <f t="array" ref="BB58">IFERROR(INDEX(LCIA_Data,MATCH($AO$15&amp;BB$27,LCIA_Rows_B&amp;LCIA_Rows_C,0),MATCH($D58,LCIA_Columns,0)),0)*$AU58</f>
        <v>0</v>
      </c>
      <c r="BC58" s="148">
        <f t="array" ref="BC58">IFERROR(INDEX(LCIA_Data,MATCH($AO$15&amp;BC$27,LCIA_Rows_B&amp;LCIA_Rows_C,0),MATCH($D58,LCIA_Columns,0)),0)*$AU58</f>
        <v>0</v>
      </c>
      <c r="BD58" s="148">
        <f t="array" ref="BD58">IFERROR(INDEX(LCIA_Data,MATCH($AO$15&amp;BD$27,LCIA_Rows_B&amp;LCIA_Rows_C,0),MATCH($D58,LCIA_Columns,0)),0)*$AU58</f>
        <v>0</v>
      </c>
      <c r="BE58" s="148">
        <f t="array" ref="BE58">IFERROR(INDEX(LCIA_Data,MATCH($AO$15&amp;BE$27,LCIA_Rows_B&amp;LCIA_Rows_C,0),MATCH($D58,LCIA_Columns,0)),0)*$AU58</f>
        <v>0</v>
      </c>
      <c r="BF58" s="148">
        <f t="array" ref="BF58">IFERROR(INDEX(LCIA_Data,MATCH($AO$15&amp;BF$27,LCIA_Rows_B&amp;LCIA_Rows_C,0),MATCH($D58,LCIA_Columns,0)),0)*$AU58</f>
        <v>0</v>
      </c>
      <c r="BG58" s="148">
        <f t="array" ref="BG58">IFERROR(INDEX(LCIA_Data,MATCH($AO$15&amp;BG$27,LCIA_Rows_B&amp;LCIA_Rows_C,0),MATCH($D58,LCIA_Columns,0)),0)*$AU58</f>
        <v>0</v>
      </c>
      <c r="BH58" s="148">
        <f t="array" ref="BH58">IFERROR(INDEX(LCIA_Data,MATCH($AO$15&amp;BH$27,LCIA_Rows_B&amp;LCIA_Rows_C,0),MATCH($D58,LCIA_Columns,0)),0)*$AU58</f>
        <v>0</v>
      </c>
      <c r="BI58" s="148">
        <f t="array" ref="BI58">IFERROR(INDEX(LCIA_Data,MATCH($AO$15&amp;BI$27,LCIA_Rows_B&amp;LCIA_Rows_C,0),MATCH($D58,LCIA_Columns,0)),0)*$AU58</f>
        <v>0</v>
      </c>
      <c r="BJ58" s="148">
        <f t="array" ref="BJ58">IFERROR(INDEX(LCIA_Data,MATCH($AO$15&amp;BJ$27,LCIA_Rows_B&amp;LCIA_Rows_C,0),MATCH($D58,LCIA_Columns,0)),0)*$AU58</f>
        <v>0</v>
      </c>
      <c r="BK58" s="148">
        <f t="array" ref="BK58">IFERROR(INDEX(LCIA_Data,MATCH($AO$15&amp;BK$27,LCIA_Rows_B&amp;LCIA_Rows_C,0),MATCH($D58,LCIA_Columns,0)),0)*$AU58</f>
        <v>0</v>
      </c>
      <c r="BM58" s="1">
        <f t="array" ref="BM58">IFERROR(INDEX(LCIA_Data,MATCH($AO$15&amp;BM$27,LCIA_Rows_B&amp;LCIA_Rows_C,0),MATCH(BM$26,LCIA_Columns,0)),0)*$AT58*$AH58*$BN$23</f>
        <v>0</v>
      </c>
      <c r="BN58" s="1">
        <f t="array" ref="BN58">IFERROR(INDEX(LCIA_Data,MATCH($AO$15&amp;BN$27,LCIA_Rows_B&amp;LCIA_Rows_C,0),MATCH(BN$26,LCIA_Columns,0)),0)*$AT58*$AH58*$BN$23</f>
        <v>0</v>
      </c>
      <c r="BO58" s="1">
        <f t="array" ref="BO58">IFERROR(INDEX(LCIA_Data,MATCH($AO$15&amp;BO$27,LCIA_Rows_B&amp;LCIA_Rows_C,0),MATCH(BO$26,LCIA_Columns,0)),0)*$AT58*$AH58*$BN$23</f>
        <v>0</v>
      </c>
      <c r="BP58" s="1">
        <f t="array" ref="BP58">IFERROR(INDEX(LCIA_Data,MATCH($AO$15&amp;BP$27,LCIA_Rows_B&amp;LCIA_Rows_C,0),MATCH(BP$26,LCIA_Columns,0)),0)*$AT58*$AH58*$BN$23</f>
        <v>0</v>
      </c>
      <c r="BQ58" s="1">
        <f t="array" ref="BQ58">IFERROR(INDEX(LCIA_Data,MATCH($AO$15&amp;BQ$27,LCIA_Rows_B&amp;LCIA_Rows_C,0),MATCH(BQ$26,LCIA_Columns,0)),0)*$AT58*$AH58*$BN$23</f>
        <v>0</v>
      </c>
      <c r="BR58" s="1">
        <f t="array" ref="BR58">IFERROR(INDEX(LCIA_Data,MATCH($AO$15&amp;BR$27,LCIA_Rows_B&amp;LCIA_Rows_C,0),MATCH(BR$26,LCIA_Columns,0)),0)*$AT58*$AH58*$BN$23</f>
        <v>0</v>
      </c>
      <c r="BS58" s="1">
        <f t="array" ref="BS58">IFERROR(INDEX(LCIA_Data,MATCH($AO$15&amp;BS$27,LCIA_Rows_B&amp;LCIA_Rows_C,0),MATCH(BS$26,LCIA_Columns,0)),0)*$AT58*$AH58*$BN$23</f>
        <v>0</v>
      </c>
      <c r="BT58" s="1">
        <f t="array" ref="BT58">IFERROR(INDEX(LCIA_Data,MATCH($AO$15&amp;BT$27,LCIA_Rows_B&amp;LCIA_Rows_C,0),MATCH(BT$26,LCIA_Columns,0)),0)*$AT58*$AH58*$BN$23</f>
        <v>0</v>
      </c>
      <c r="BU58" s="1">
        <f t="array" ref="BU58">IFERROR(INDEX(LCIA_Data,MATCH($AO$15&amp;BU$27,LCIA_Rows_B&amp;LCIA_Rows_C,0),MATCH(BU$26,LCIA_Columns,0)),0)*$AT58*$AH58*$BN$23</f>
        <v>0</v>
      </c>
      <c r="BV58" s="1">
        <f t="array" ref="BV58">IFERROR(INDEX(LCIA_Data,MATCH($AO$15&amp;BV$27,LCIA_Rows_B&amp;LCIA_Rows_C,0),MATCH(BV$26,LCIA_Columns,0)),0)*$AT58*$AH58*$BN$23</f>
        <v>0</v>
      </c>
      <c r="BW58" s="1">
        <f t="array" ref="BW58">IFERROR(INDEX(LCIA_Data,MATCH($AO$15&amp;BW$27,LCIA_Rows_B&amp;LCIA_Rows_C,0),MATCH(BW$26,LCIA_Columns,0)),0)*$AT58*$AH58*$BN$23</f>
        <v>0</v>
      </c>
      <c r="BX58" s="1">
        <f t="array" ref="BX58">IFERROR(INDEX(LCIA_Data,MATCH($AO$15&amp;BX$27,LCIA_Rows_B&amp;LCIA_Rows_C,0),MATCH(BX$26,LCIA_Columns,0)),0)*$AT58*$AH58*$BN$23</f>
        <v>0</v>
      </c>
      <c r="BY58" s="1">
        <f t="array" ref="BY58">IFERROR(INDEX(LCIA_Data,MATCH($AO$15&amp;BY$27,LCIA_Rows_B&amp;LCIA_Rows_C,0),MATCH(BY$26,LCIA_Columns,0)),0)*$AT58*$AH58*$BN$23</f>
        <v>0</v>
      </c>
      <c r="BZ58" s="1">
        <f t="array" ref="BZ58">IFERROR(INDEX(LCIA_Data,MATCH($AO$15&amp;BZ$27,LCIA_Rows_B&amp;LCIA_Rows_C,0),MATCH(BZ$26,LCIA_Columns,0)),0)*$AT58*$AH58*$BN$23</f>
        <v>0</v>
      </c>
      <c r="CA58" s="1">
        <f t="array" ref="CA58">IFERROR(INDEX(LCIA_Data,MATCH($AO$15&amp;CA$27,LCIA_Rows_B&amp;LCIA_Rows_C,0),MATCH(CA$26,LCIA_Columns,0)),0)*$AT58*$AI58*$BN$23</f>
        <v>0</v>
      </c>
      <c r="CB58" s="1">
        <f t="array" ref="CB58">IFERROR(INDEX(LCIA_Data,MATCH($AO$15&amp;CB$27,LCIA_Rows_B&amp;LCIA_Rows_C,0),MATCH(CB$26,LCIA_Columns,0)),0)*$AT58*$AI58*$BN$23</f>
        <v>0</v>
      </c>
      <c r="CC58" s="1">
        <f t="array" ref="CC58">IFERROR(INDEX(LCIA_Data,MATCH($AO$15&amp;CC$27,LCIA_Rows_B&amp;LCIA_Rows_C,0),MATCH(CC$26,LCIA_Columns,0)),0)*$AT58*$AI58*$BN$23</f>
        <v>0</v>
      </c>
      <c r="CD58" s="1">
        <f t="array" ref="CD58">IFERROR(INDEX(LCIA_Data,MATCH($AO$15&amp;CD$27,LCIA_Rows_B&amp;LCIA_Rows_C,0),MATCH(CD$26,LCIA_Columns,0)),0)*$AT58*$AI58*$BN$23</f>
        <v>0</v>
      </c>
      <c r="CE58" s="1">
        <f t="array" ref="CE58">IFERROR(INDEX(LCIA_Data,MATCH($AO$15&amp;CE$27,LCIA_Rows_B&amp;LCIA_Rows_C,0),MATCH(CE$26,LCIA_Columns,0)),0)*$AT58*$AI58*$BN$23</f>
        <v>0</v>
      </c>
      <c r="CF58" s="1">
        <f t="array" ref="CF58">IFERROR(INDEX(LCIA_Data,MATCH($AO$15&amp;CF$27,LCIA_Rows_B&amp;LCIA_Rows_C,0),MATCH(CF$26,LCIA_Columns,0)),0)*$AT58*$AI58*$BN$23</f>
        <v>0</v>
      </c>
      <c r="CG58" s="1">
        <f t="array" ref="CG58">IFERROR(INDEX(LCIA_Data,MATCH($AO$15&amp;CG$27,LCIA_Rows_B&amp;LCIA_Rows_C,0),MATCH(CG$26,LCIA_Columns,0)),0)*$AT58*$AI58*$BN$23</f>
        <v>0</v>
      </c>
      <c r="CH58" s="1">
        <f t="array" ref="CH58">IFERROR(INDEX(LCIA_Data,MATCH($AO$15&amp;CH$27,LCIA_Rows_B&amp;LCIA_Rows_C,0),MATCH(CH$26,LCIA_Columns,0)),0)*$AT58*$AI58*$BN$23</f>
        <v>0</v>
      </c>
      <c r="CI58" s="1">
        <f t="array" ref="CI58">IFERROR(INDEX(LCIA_Data,MATCH($AO$15&amp;CI$27,LCIA_Rows_B&amp;LCIA_Rows_C,0),MATCH(CI$26,LCIA_Columns,0)),0)*$AT58*$AI58*$BN$23</f>
        <v>0</v>
      </c>
      <c r="CJ58" s="1">
        <f t="array" ref="CJ58">IFERROR(INDEX(LCIA_Data,MATCH($AO$15&amp;CJ$27,LCIA_Rows_B&amp;LCIA_Rows_C,0),MATCH(CJ$26,LCIA_Columns,0)),0)*$AT58*$AI58*$BN$23</f>
        <v>0</v>
      </c>
      <c r="CK58" s="1">
        <f t="array" ref="CK58">IFERROR(INDEX(LCIA_Data,MATCH($AO$15&amp;CK$27,LCIA_Rows_B&amp;LCIA_Rows_C,0),MATCH(CK$26,LCIA_Columns,0)),0)*$AT58*$AI58*$BN$23</f>
        <v>0</v>
      </c>
      <c r="CL58" s="1">
        <f t="array" ref="CL58">IFERROR(INDEX(LCIA_Data,MATCH($AO$15&amp;CL$27,LCIA_Rows_B&amp;LCIA_Rows_C,0),MATCH(CL$26,LCIA_Columns,0)),0)*$AT58*$AI58*$BN$23</f>
        <v>0</v>
      </c>
      <c r="CM58" s="1">
        <f t="array" ref="CM58">IFERROR(INDEX(LCIA_Data,MATCH($AO$15&amp;CM$27,LCIA_Rows_B&amp;LCIA_Rows_C,0),MATCH(CM$26,LCIA_Columns,0)),0)*$AT58*$AJ58*$BN$23</f>
        <v>0</v>
      </c>
      <c r="CN58" s="1">
        <f t="array" ref="CN58">IFERROR(INDEX(LCIA_Data,MATCH($AO$15&amp;CN$27,LCIA_Rows_B&amp;LCIA_Rows_C,0),MATCH(CN$26,LCIA_Columns,0)),0)*$AT58*$AJ58*$BN$23</f>
        <v>0</v>
      </c>
      <c r="CO58" s="1">
        <f t="array" ref="CO58">IFERROR(INDEX(LCIA_Data,MATCH($AO$15&amp;CO$27,LCIA_Rows_B&amp;LCIA_Rows_C,0),MATCH(CO$26,LCIA_Columns,0)),0)*$AT58*$AJ58*$BN$23</f>
        <v>0</v>
      </c>
      <c r="CP58" s="1">
        <f t="array" ref="CP58">IFERROR(INDEX(LCIA_Data,MATCH($AO$15&amp;CP$27,LCIA_Rows_B&amp;LCIA_Rows_C,0),MATCH(CP$26,LCIA_Columns,0)),0)*$AT58*$AJ58*$BN$23</f>
        <v>0</v>
      </c>
      <c r="CQ58" s="1">
        <f t="array" ref="CQ58">IFERROR(INDEX(LCIA_Data,MATCH($AO$15&amp;CQ$27,LCIA_Rows_B&amp;LCIA_Rows_C,0),MATCH(CQ$26,LCIA_Columns,0)),0)*$AT58*$AJ58*$BN$23</f>
        <v>0</v>
      </c>
      <c r="CR58" s="1">
        <f t="array" ref="CR58">IFERROR(INDEX(LCIA_Data,MATCH($AO$15&amp;CR$27,LCIA_Rows_B&amp;LCIA_Rows_C,0),MATCH(CR$26,LCIA_Columns,0)),0)*$AT58*$AJ58*$BN$23</f>
        <v>0</v>
      </c>
      <c r="CS58" s="1">
        <f t="array" ref="CS58">IFERROR(INDEX(LCIA_Data,MATCH($AO$15&amp;CS$27,LCIA_Rows_B&amp;LCIA_Rows_C,0),MATCH(CS$26,LCIA_Columns,0)),0)*$AT58*$AJ58*$BN$23</f>
        <v>0</v>
      </c>
      <c r="CT58" s="1">
        <f t="array" ref="CT58">IFERROR(INDEX(LCIA_Data,MATCH($AO$15&amp;CT$27,LCIA_Rows_B&amp;LCIA_Rows_C,0),MATCH(CT$26,LCIA_Columns,0)),0)*$AT58*$AJ58*$BN$23</f>
        <v>0</v>
      </c>
      <c r="CU58" s="1">
        <f t="array" ref="CU58">IFERROR(INDEX(LCIA_Data,MATCH($AO$15&amp;CU$27,LCIA_Rows_B&amp;LCIA_Rows_C,0),MATCH(CU$26,LCIA_Columns,0)),0)*$AT58*$AJ58*$BN$23</f>
        <v>0</v>
      </c>
      <c r="CV58" s="1">
        <f t="array" ref="CV58">IFERROR(INDEX(LCIA_Data,MATCH($AO$15&amp;CV$27,LCIA_Rows_B&amp;LCIA_Rows_C,0),MATCH(CV$26,LCIA_Columns,0)),0)*$AT58*$AJ58*$BN$23</f>
        <v>0</v>
      </c>
      <c r="CW58" s="1">
        <f t="array" ref="CW58">IFERROR(INDEX(LCIA_Data,MATCH($AO$15&amp;CW$27,LCIA_Rows_B&amp;LCIA_Rows_C,0),MATCH(CW$26,LCIA_Columns,0)),0)*$AT58*$AJ58*$BN$23</f>
        <v>0</v>
      </c>
      <c r="CX58" s="1">
        <f t="array" ref="CX58">IFERROR(INDEX(LCIA_Data,MATCH($AO$15&amp;CX$27,LCIA_Rows_B&amp;LCIA_Rows_C,0),MATCH(CX$26,LCIA_Columns,0)),0)*$AT58*$AJ58*$BN$23</f>
        <v>0</v>
      </c>
      <c r="CY58" s="1">
        <f t="array" ref="CY58">IFERROR(INDEX(LCIA_Data,MATCH($AO$15&amp;CY$27,LCIA_Rows_B&amp;LCIA_Rows_C,0),MATCH(CY$26,LCIA_Columns,0)),0)*$AT58*$AJ58*$BN$23</f>
        <v>0</v>
      </c>
      <c r="CZ58" s="1">
        <f t="array" ref="CZ58">IFERROR(INDEX(LCIA_Data,MATCH($AO$15&amp;CZ$27,LCIA_Rows_B&amp;LCIA_Rows_C,0),MATCH(CZ$26,LCIA_Columns,0)),0)*$AT58*$AJ58*$BN$23</f>
        <v>0</v>
      </c>
      <c r="DA58" s="1">
        <f t="array" ref="DA58">IFERROR(INDEX(LCIA_Data,MATCH($AO$15&amp;DA$27,LCIA_Rows_B&amp;LCIA_Rows_C,0),MATCH(DA$26,LCIA_Columns,0)),0)*$AT58*$AK58*$BN$23</f>
        <v>0</v>
      </c>
      <c r="DB58" s="1">
        <f t="array" ref="DB58">IFERROR(INDEX(LCIA_Data,MATCH($AO$15&amp;DB$27,LCIA_Rows_B&amp;LCIA_Rows_C,0),MATCH(DB$26,LCIA_Columns,0)),0)*$AT58*$AK58*$BN$23</f>
        <v>0</v>
      </c>
      <c r="DC58" s="1">
        <f t="array" ref="DC58">IFERROR(INDEX(LCIA_Data,MATCH($AO$15&amp;DC$27,LCIA_Rows_B&amp;LCIA_Rows_C,0),MATCH(DC$26,LCIA_Columns,0)),0)*$AT58*$AK58*$BN$23</f>
        <v>0</v>
      </c>
      <c r="DD58" s="1">
        <f t="array" ref="DD58">IFERROR(INDEX(LCIA_Data,MATCH($AO$15&amp;DD$27,LCIA_Rows_B&amp;LCIA_Rows_C,0),MATCH(DD$26,LCIA_Columns,0)),0)*$AT58*$AK58*$BN$23</f>
        <v>0</v>
      </c>
      <c r="DE58" s="1">
        <f t="array" ref="DE58">IFERROR(INDEX(LCIA_Data,MATCH($AO$15&amp;DE$27,LCIA_Rows_B&amp;LCIA_Rows_C,0),MATCH(DE$26,LCIA_Columns,0)),0)*$AT58*$AK58*$BN$23</f>
        <v>0</v>
      </c>
      <c r="DF58" s="1">
        <f t="array" ref="DF58">IFERROR(INDEX(LCIA_Data,MATCH($AO$15&amp;DF$27,LCIA_Rows_B&amp;LCIA_Rows_C,0),MATCH(DF$26,LCIA_Columns,0)),0)*$AT58*$AK58*$BN$23</f>
        <v>0</v>
      </c>
      <c r="DG58" s="1">
        <f t="array" ref="DG58">IFERROR(INDEX(LCIA_Data,MATCH($AO$15&amp;DG$27,LCIA_Rows_B&amp;LCIA_Rows_C,0),MATCH(DG$26,LCIA_Columns,0)),0)*$AT58*$AK58*$BN$23</f>
        <v>0</v>
      </c>
      <c r="DH58" s="1">
        <f t="array" ref="DH58">IFERROR(INDEX(LCIA_Data,MATCH($AO$15&amp;DH$27,LCIA_Rows_B&amp;LCIA_Rows_C,0),MATCH(DH$26,LCIA_Columns,0)),0)*$AT58*$AK58*$BN$23</f>
        <v>0</v>
      </c>
      <c r="DI58" s="1">
        <f t="array" ref="DI58">IFERROR(INDEX(LCIA_Data,MATCH($AO$15&amp;DI$27,LCIA_Rows_B&amp;LCIA_Rows_C,0),MATCH(DI$26,LCIA_Columns,0)),0)*$AT58*$AK58*$BN$23</f>
        <v>0</v>
      </c>
      <c r="DJ58" s="1">
        <f t="array" ref="DJ58">IFERROR(INDEX(LCIA_Data,MATCH($AO$15&amp;DJ$27,LCIA_Rows_B&amp;LCIA_Rows_C,0),MATCH(DJ$26,LCIA_Columns,0)),0)*$AT58*$AK58*$BN$23</f>
        <v>0</v>
      </c>
      <c r="DK58" s="1">
        <f t="array" ref="DK58">IFERROR(INDEX(LCIA_Data,MATCH($AO$15&amp;DK$27,LCIA_Rows_B&amp;LCIA_Rows_C,0),MATCH(DK$26,LCIA_Columns,0)),0)*$AT58*$AK58*$BN$23</f>
        <v>0</v>
      </c>
      <c r="DL58" s="1">
        <f t="array" ref="DL58">IFERROR(INDEX(LCIA_Data,MATCH($AO$15&amp;DL$27,LCIA_Rows_B&amp;LCIA_Rows_C,0),MATCH(DL$26,LCIA_Columns,0)),0)*$AT58*$AK58*$BN$23</f>
        <v>0</v>
      </c>
      <c r="DM58" s="1">
        <f t="array" ref="DM58">IFERROR(INDEX(LCIA_Data,MATCH($AO$15&amp;DM$27,LCIA_Rows_B&amp;LCIA_Rows_C,0),MATCH(DM$26,LCIA_Columns,0)),0)*$AT58*$AK58*$BN$23</f>
        <v>0</v>
      </c>
      <c r="DN58" s="1">
        <f t="array" ref="DN58">IFERROR(INDEX(LCIA_Data,MATCH($AO$15&amp;DN$27,LCIA_Rows_B&amp;LCIA_Rows_C,0),MATCH(DN$26,LCIA_Columns,0)),0)*$AT58*$AK58*$BN$23</f>
        <v>0</v>
      </c>
      <c r="DO58">
        <f t="shared" si="41"/>
        <v>0</v>
      </c>
      <c r="DP58">
        <f t="shared" si="41"/>
        <v>0</v>
      </c>
      <c r="DQ58">
        <f t="shared" si="41"/>
        <v>0</v>
      </c>
      <c r="DR58">
        <f t="shared" si="41"/>
        <v>0</v>
      </c>
      <c r="DS58">
        <f t="shared" si="41"/>
        <v>0</v>
      </c>
      <c r="DT58">
        <f t="shared" si="41"/>
        <v>0</v>
      </c>
      <c r="DU58">
        <f t="shared" si="41"/>
        <v>0</v>
      </c>
      <c r="DV58">
        <f t="shared" si="41"/>
        <v>0</v>
      </c>
      <c r="DW58">
        <f t="shared" si="40"/>
        <v>0</v>
      </c>
      <c r="DX58">
        <f t="shared" si="40"/>
        <v>0</v>
      </c>
      <c r="DY58">
        <f t="shared" si="40"/>
        <v>0</v>
      </c>
      <c r="DZ58">
        <f t="shared" si="40"/>
        <v>0</v>
      </c>
      <c r="EA58">
        <f t="shared" si="40"/>
        <v>0</v>
      </c>
      <c r="EB58">
        <f t="shared" si="21"/>
        <v>0</v>
      </c>
      <c r="EC58"/>
      <c r="ED58"/>
      <c r="EE58"/>
      <c r="EF58"/>
      <c r="EG58"/>
    </row>
    <row r="59" spans="2:137" ht="15" customHeight="1">
      <c r="B59" s="53">
        <f t="shared" si="29"/>
        <v>0</v>
      </c>
      <c r="C59" s="26">
        <f t="shared" si="22"/>
        <v>30</v>
      </c>
      <c r="D59" s="46" t="str">
        <f>'Plant Inputs'!$D59</f>
        <v>Expanded Polystyrene</v>
      </c>
      <c r="E59" s="99"/>
      <c r="F59" s="106" t="s">
        <v>247</v>
      </c>
      <c r="G59" s="158">
        <f t="shared" si="26"/>
        <v>0</v>
      </c>
      <c r="H59" s="204" t="str">
        <f t="shared" si="7"/>
        <v>short ton</v>
      </c>
      <c r="I59" s="399">
        <f t="shared" si="8"/>
        <v>0</v>
      </c>
      <c r="J59"/>
      <c r="K59"/>
      <c r="L59"/>
      <c r="M59"/>
      <c r="N59"/>
      <c r="O59"/>
      <c r="P59"/>
      <c r="Q59"/>
      <c r="R59"/>
      <c r="S59"/>
      <c r="T59"/>
      <c r="X59" s="67">
        <f t="shared" si="30"/>
        <v>0</v>
      </c>
      <c r="Y59" s="216">
        <f>IF(AND($X59=1,'Plant Inputs'!$Y59=1),1,0)</f>
        <v>0</v>
      </c>
      <c r="Z59" s="216"/>
      <c r="AA59" s="216">
        <f>IF($Y59=0,0,IF('Plant Inputs'!J59="",0,'Plant Inputs'!J59))</f>
        <v>0</v>
      </c>
      <c r="AB59" s="216">
        <f>IF($Y59=0,0,IF('Plant Inputs'!K59="",0,'Plant Inputs'!K59))</f>
        <v>0</v>
      </c>
      <c r="AC59" s="216">
        <f>IF($Y59=0,0,IF('Plant Inputs'!L59="",0,'Plant Inputs'!L59))</f>
        <v>0</v>
      </c>
      <c r="AD59" s="216">
        <f>IF($Y59=0,0,IF('Plant Inputs'!M59="",0,'Plant Inputs'!M59))</f>
        <v>0</v>
      </c>
      <c r="AE59" s="217" t="str">
        <f>'Plant Inputs'!$O59</f>
        <v>mile</v>
      </c>
      <c r="AF59" s="217">
        <f t="shared" si="9"/>
        <v>1.6093473468862911</v>
      </c>
      <c r="AG59" s="216" t="str">
        <f t="shared" si="23"/>
        <v>km/mile</v>
      </c>
      <c r="AH59" s="216">
        <f t="shared" si="42"/>
        <v>0</v>
      </c>
      <c r="AI59" s="216">
        <f t="shared" si="42"/>
        <v>0</v>
      </c>
      <c r="AJ59" s="216">
        <f t="shared" si="42"/>
        <v>0</v>
      </c>
      <c r="AK59" s="216">
        <f t="shared" si="42"/>
        <v>0</v>
      </c>
      <c r="AL59" s="216"/>
      <c r="AM59" s="1" t="str">
        <f t="shared" si="32"/>
        <v>Expanded Polystyrene</v>
      </c>
      <c r="AN59" t="s">
        <v>128</v>
      </c>
      <c r="AO59">
        <f t="shared" si="33"/>
        <v>1.6E-2</v>
      </c>
      <c r="AP59" s="1">
        <f t="shared" si="24"/>
        <v>0</v>
      </c>
      <c r="AQ59" s="1" t="str">
        <f t="shared" si="34"/>
        <v>board feet</v>
      </c>
      <c r="AR59" s="1">
        <f t="shared" si="14"/>
        <v>3.7755795455999999E-5</v>
      </c>
      <c r="AS59" s="87" t="str">
        <f t="shared" si="35"/>
        <v>tonne/board feet</v>
      </c>
      <c r="AT59" s="87">
        <f t="shared" si="36"/>
        <v>0</v>
      </c>
      <c r="AU59" s="87">
        <f t="shared" si="37"/>
        <v>0</v>
      </c>
      <c r="AV59" s="87">
        <f t="shared" si="18"/>
        <v>0</v>
      </c>
      <c r="AW59" t="str">
        <f t="shared" si="38"/>
        <v>Expanded Polystyrene</v>
      </c>
      <c r="AX59" s="148">
        <f t="array" ref="AX59">IFERROR(INDEX(LCIA_Data,MATCH($AO$15&amp;AX$27,LCIA_Rows_B&amp;LCIA_Rows_C,0),MATCH($D59,LCIA_Columns,0)),0)*$AU59</f>
        <v>0</v>
      </c>
      <c r="AY59" s="148">
        <f t="array" ref="AY59">IFERROR(INDEX(LCIA_Data,MATCH($AO$15&amp;AY$27,LCIA_Rows_B&amp;LCIA_Rows_C,0),MATCH($D59,LCIA_Columns,0)),0)*$AU59</f>
        <v>0</v>
      </c>
      <c r="AZ59" s="148">
        <f t="array" ref="AZ59">IFERROR(INDEX(LCIA_Data,MATCH($AO$15&amp;AZ$27,LCIA_Rows_B&amp;LCIA_Rows_C,0),MATCH($D59,LCIA_Columns,0)),0)*$AU59</f>
        <v>0</v>
      </c>
      <c r="BA59" s="148">
        <f t="array" ref="BA59">IFERROR(INDEX(LCIA_Data,MATCH($AO$15&amp;BA$27,LCIA_Rows_B&amp;LCIA_Rows_C,0),MATCH($D59,LCIA_Columns,0)),0)*$AU59</f>
        <v>0</v>
      </c>
      <c r="BB59" s="148">
        <f t="array" ref="BB59">IFERROR(INDEX(LCIA_Data,MATCH($AO$15&amp;BB$27,LCIA_Rows_B&amp;LCIA_Rows_C,0),MATCH($D59,LCIA_Columns,0)),0)*$AU59</f>
        <v>0</v>
      </c>
      <c r="BC59" s="148">
        <f t="array" ref="BC59">IFERROR(INDEX(LCIA_Data,MATCH($AO$15&amp;BC$27,LCIA_Rows_B&amp;LCIA_Rows_C,0),MATCH($D59,LCIA_Columns,0)),0)*$AU59</f>
        <v>0</v>
      </c>
      <c r="BD59" s="148">
        <f t="array" ref="BD59">IFERROR(INDEX(LCIA_Data,MATCH($AO$15&amp;BD$27,LCIA_Rows_B&amp;LCIA_Rows_C,0),MATCH($D59,LCIA_Columns,0)),0)*$AU59</f>
        <v>0</v>
      </c>
      <c r="BE59" s="148">
        <f t="array" ref="BE59">IFERROR(INDEX(LCIA_Data,MATCH($AO$15&amp;BE$27,LCIA_Rows_B&amp;LCIA_Rows_C,0),MATCH($D59,LCIA_Columns,0)),0)*$AU59</f>
        <v>0</v>
      </c>
      <c r="BF59" s="148">
        <f t="array" ref="BF59">IFERROR(INDEX(LCIA_Data,MATCH($AO$15&amp;BF$27,LCIA_Rows_B&amp;LCIA_Rows_C,0),MATCH($D59,LCIA_Columns,0)),0)*$AU59</f>
        <v>0</v>
      </c>
      <c r="BG59" s="148">
        <f t="array" ref="BG59">IFERROR(INDEX(LCIA_Data,MATCH($AO$15&amp;BG$27,LCIA_Rows_B&amp;LCIA_Rows_C,0),MATCH($D59,LCIA_Columns,0)),0)*$AU59</f>
        <v>0</v>
      </c>
      <c r="BH59" s="148">
        <f t="array" ref="BH59">IFERROR(INDEX(LCIA_Data,MATCH($AO$15&amp;BH$27,LCIA_Rows_B&amp;LCIA_Rows_C,0),MATCH($D59,LCIA_Columns,0)),0)*$AU59</f>
        <v>0</v>
      </c>
      <c r="BI59" s="148">
        <f t="array" ref="BI59">IFERROR(INDEX(LCIA_Data,MATCH($AO$15&amp;BI$27,LCIA_Rows_B&amp;LCIA_Rows_C,0),MATCH($D59,LCIA_Columns,0)),0)*$AU59</f>
        <v>0</v>
      </c>
      <c r="BJ59" s="148">
        <f t="array" ref="BJ59">IFERROR(INDEX(LCIA_Data,MATCH($AO$15&amp;BJ$27,LCIA_Rows_B&amp;LCIA_Rows_C,0),MATCH($D59,LCIA_Columns,0)),0)*$AU59</f>
        <v>0</v>
      </c>
      <c r="BK59" s="148">
        <f t="array" ref="BK59">IFERROR(INDEX(LCIA_Data,MATCH($AO$15&amp;BK$27,LCIA_Rows_B&amp;LCIA_Rows_C,0),MATCH($D59,LCIA_Columns,0)),0)*$AU59</f>
        <v>0</v>
      </c>
      <c r="BM59" s="1">
        <f t="array" ref="BM59">IFERROR(INDEX(LCIA_Data,MATCH($AO$15&amp;BM$27,LCIA_Rows_B&amp;LCIA_Rows_C,0),MATCH(BM$26,LCIA_Columns,0)),0)*$AT59*$AH59*$BN$23</f>
        <v>0</v>
      </c>
      <c r="BN59" s="1">
        <f t="array" ref="BN59">IFERROR(INDEX(LCIA_Data,MATCH($AO$15&amp;BN$27,LCIA_Rows_B&amp;LCIA_Rows_C,0),MATCH(BN$26,LCIA_Columns,0)),0)*$AT59*$AH59*$BN$23</f>
        <v>0</v>
      </c>
      <c r="BO59" s="1">
        <f t="array" ref="BO59">IFERROR(INDEX(LCIA_Data,MATCH($AO$15&amp;BO$27,LCIA_Rows_B&amp;LCIA_Rows_C,0),MATCH(BO$26,LCIA_Columns,0)),0)*$AT59*$AH59*$BN$23</f>
        <v>0</v>
      </c>
      <c r="BP59" s="1">
        <f t="array" ref="BP59">IFERROR(INDEX(LCIA_Data,MATCH($AO$15&amp;BP$27,LCIA_Rows_B&amp;LCIA_Rows_C,0),MATCH(BP$26,LCIA_Columns,0)),0)*$AT59*$AH59*$BN$23</f>
        <v>0</v>
      </c>
      <c r="BQ59" s="1">
        <f t="array" ref="BQ59">IFERROR(INDEX(LCIA_Data,MATCH($AO$15&amp;BQ$27,LCIA_Rows_B&amp;LCIA_Rows_C,0),MATCH(BQ$26,LCIA_Columns,0)),0)*$AT59*$AH59*$BN$23</f>
        <v>0</v>
      </c>
      <c r="BR59" s="1">
        <f t="array" ref="BR59">IFERROR(INDEX(LCIA_Data,MATCH($AO$15&amp;BR$27,LCIA_Rows_B&amp;LCIA_Rows_C,0),MATCH(BR$26,LCIA_Columns,0)),0)*$AT59*$AH59*$BN$23</f>
        <v>0</v>
      </c>
      <c r="BS59" s="1">
        <f t="array" ref="BS59">IFERROR(INDEX(LCIA_Data,MATCH($AO$15&amp;BS$27,LCIA_Rows_B&amp;LCIA_Rows_C,0),MATCH(BS$26,LCIA_Columns,0)),0)*$AT59*$AH59*$BN$23</f>
        <v>0</v>
      </c>
      <c r="BT59" s="1">
        <f t="array" ref="BT59">IFERROR(INDEX(LCIA_Data,MATCH($AO$15&amp;BT$27,LCIA_Rows_B&amp;LCIA_Rows_C,0),MATCH(BT$26,LCIA_Columns,0)),0)*$AT59*$AH59*$BN$23</f>
        <v>0</v>
      </c>
      <c r="BU59" s="1">
        <f t="array" ref="BU59">IFERROR(INDEX(LCIA_Data,MATCH($AO$15&amp;BU$27,LCIA_Rows_B&amp;LCIA_Rows_C,0),MATCH(BU$26,LCIA_Columns,0)),0)*$AT59*$AH59*$BN$23</f>
        <v>0</v>
      </c>
      <c r="BV59" s="1">
        <f t="array" ref="BV59">IFERROR(INDEX(LCIA_Data,MATCH($AO$15&amp;BV$27,LCIA_Rows_B&amp;LCIA_Rows_C,0),MATCH(BV$26,LCIA_Columns,0)),0)*$AT59*$AH59*$BN$23</f>
        <v>0</v>
      </c>
      <c r="BW59" s="1">
        <f t="array" ref="BW59">IFERROR(INDEX(LCIA_Data,MATCH($AO$15&amp;BW$27,LCIA_Rows_B&amp;LCIA_Rows_C,0),MATCH(BW$26,LCIA_Columns,0)),0)*$AT59*$AH59*$BN$23</f>
        <v>0</v>
      </c>
      <c r="BX59" s="1">
        <f t="array" ref="BX59">IFERROR(INDEX(LCIA_Data,MATCH($AO$15&amp;BX$27,LCIA_Rows_B&amp;LCIA_Rows_C,0),MATCH(BX$26,LCIA_Columns,0)),0)*$AT59*$AH59*$BN$23</f>
        <v>0</v>
      </c>
      <c r="BY59" s="1">
        <f t="array" ref="BY59">IFERROR(INDEX(LCIA_Data,MATCH($AO$15&amp;BY$27,LCIA_Rows_B&amp;LCIA_Rows_C,0),MATCH(BY$26,LCIA_Columns,0)),0)*$AT59*$AH59*$BN$23</f>
        <v>0</v>
      </c>
      <c r="BZ59" s="1">
        <f t="array" ref="BZ59">IFERROR(INDEX(LCIA_Data,MATCH($AO$15&amp;BZ$27,LCIA_Rows_B&amp;LCIA_Rows_C,0),MATCH(BZ$26,LCIA_Columns,0)),0)*$AT59*$AH59*$BN$23</f>
        <v>0</v>
      </c>
      <c r="CA59" s="1">
        <f t="array" ref="CA59">IFERROR(INDEX(LCIA_Data,MATCH($AO$15&amp;CA$27,LCIA_Rows_B&amp;LCIA_Rows_C,0),MATCH(CA$26,LCIA_Columns,0)),0)*$AT59*$AI59*$BN$23</f>
        <v>0</v>
      </c>
      <c r="CB59" s="1">
        <f t="array" ref="CB59">IFERROR(INDEX(LCIA_Data,MATCH($AO$15&amp;CB$27,LCIA_Rows_B&amp;LCIA_Rows_C,0),MATCH(CB$26,LCIA_Columns,0)),0)*$AT59*$AI59*$BN$23</f>
        <v>0</v>
      </c>
      <c r="CC59" s="1">
        <f t="array" ref="CC59">IFERROR(INDEX(LCIA_Data,MATCH($AO$15&amp;CC$27,LCIA_Rows_B&amp;LCIA_Rows_C,0),MATCH(CC$26,LCIA_Columns,0)),0)*$AT59*$AI59*$BN$23</f>
        <v>0</v>
      </c>
      <c r="CD59" s="1">
        <f t="array" ref="CD59">IFERROR(INDEX(LCIA_Data,MATCH($AO$15&amp;CD$27,LCIA_Rows_B&amp;LCIA_Rows_C,0),MATCH(CD$26,LCIA_Columns,0)),0)*$AT59*$AI59*$BN$23</f>
        <v>0</v>
      </c>
      <c r="CE59" s="1">
        <f t="array" ref="CE59">IFERROR(INDEX(LCIA_Data,MATCH($AO$15&amp;CE$27,LCIA_Rows_B&amp;LCIA_Rows_C,0),MATCH(CE$26,LCIA_Columns,0)),0)*$AT59*$AI59*$BN$23</f>
        <v>0</v>
      </c>
      <c r="CF59" s="1">
        <f t="array" ref="CF59">IFERROR(INDEX(LCIA_Data,MATCH($AO$15&amp;CF$27,LCIA_Rows_B&amp;LCIA_Rows_C,0),MATCH(CF$26,LCIA_Columns,0)),0)*$AT59*$AI59*$BN$23</f>
        <v>0</v>
      </c>
      <c r="CG59" s="1">
        <f t="array" ref="CG59">IFERROR(INDEX(LCIA_Data,MATCH($AO$15&amp;CG$27,LCIA_Rows_B&amp;LCIA_Rows_C,0),MATCH(CG$26,LCIA_Columns,0)),0)*$AT59*$AI59*$BN$23</f>
        <v>0</v>
      </c>
      <c r="CH59" s="1">
        <f t="array" ref="CH59">IFERROR(INDEX(LCIA_Data,MATCH($AO$15&amp;CH$27,LCIA_Rows_B&amp;LCIA_Rows_C,0),MATCH(CH$26,LCIA_Columns,0)),0)*$AT59*$AI59*$BN$23</f>
        <v>0</v>
      </c>
      <c r="CI59" s="1">
        <f t="array" ref="CI59">IFERROR(INDEX(LCIA_Data,MATCH($AO$15&amp;CI$27,LCIA_Rows_B&amp;LCIA_Rows_C,0),MATCH(CI$26,LCIA_Columns,0)),0)*$AT59*$AI59*$BN$23</f>
        <v>0</v>
      </c>
      <c r="CJ59" s="1">
        <f t="array" ref="CJ59">IFERROR(INDEX(LCIA_Data,MATCH($AO$15&amp;CJ$27,LCIA_Rows_B&amp;LCIA_Rows_C,0),MATCH(CJ$26,LCIA_Columns,0)),0)*$AT59*$AI59*$BN$23</f>
        <v>0</v>
      </c>
      <c r="CK59" s="1">
        <f t="array" ref="CK59">IFERROR(INDEX(LCIA_Data,MATCH($AO$15&amp;CK$27,LCIA_Rows_B&amp;LCIA_Rows_C,0),MATCH(CK$26,LCIA_Columns,0)),0)*$AT59*$AI59*$BN$23</f>
        <v>0</v>
      </c>
      <c r="CL59" s="1">
        <f t="array" ref="CL59">IFERROR(INDEX(LCIA_Data,MATCH($AO$15&amp;CL$27,LCIA_Rows_B&amp;LCIA_Rows_C,0),MATCH(CL$26,LCIA_Columns,0)),0)*$AT59*$AI59*$BN$23</f>
        <v>0</v>
      </c>
      <c r="CM59" s="1">
        <f t="array" ref="CM59">IFERROR(INDEX(LCIA_Data,MATCH($AO$15&amp;CM$27,LCIA_Rows_B&amp;LCIA_Rows_C,0),MATCH(CM$26,LCIA_Columns,0)),0)*$AT59*$AJ59*$BN$23</f>
        <v>0</v>
      </c>
      <c r="CN59" s="1">
        <f t="array" ref="CN59">IFERROR(INDEX(LCIA_Data,MATCH($AO$15&amp;CN$27,LCIA_Rows_B&amp;LCIA_Rows_C,0),MATCH(CN$26,LCIA_Columns,0)),0)*$AT59*$AJ59*$BN$23</f>
        <v>0</v>
      </c>
      <c r="CO59" s="1">
        <f t="array" ref="CO59">IFERROR(INDEX(LCIA_Data,MATCH($AO$15&amp;CO$27,LCIA_Rows_B&amp;LCIA_Rows_C,0),MATCH(CO$26,LCIA_Columns,0)),0)*$AT59*$AJ59*$BN$23</f>
        <v>0</v>
      </c>
      <c r="CP59" s="1">
        <f t="array" ref="CP59">IFERROR(INDEX(LCIA_Data,MATCH($AO$15&amp;CP$27,LCIA_Rows_B&amp;LCIA_Rows_C,0),MATCH(CP$26,LCIA_Columns,0)),0)*$AT59*$AJ59*$BN$23</f>
        <v>0</v>
      </c>
      <c r="CQ59" s="1">
        <f t="array" ref="CQ59">IFERROR(INDEX(LCIA_Data,MATCH($AO$15&amp;CQ$27,LCIA_Rows_B&amp;LCIA_Rows_C,0),MATCH(CQ$26,LCIA_Columns,0)),0)*$AT59*$AJ59*$BN$23</f>
        <v>0</v>
      </c>
      <c r="CR59" s="1">
        <f t="array" ref="CR59">IFERROR(INDEX(LCIA_Data,MATCH($AO$15&amp;CR$27,LCIA_Rows_B&amp;LCIA_Rows_C,0),MATCH(CR$26,LCIA_Columns,0)),0)*$AT59*$AJ59*$BN$23</f>
        <v>0</v>
      </c>
      <c r="CS59" s="1">
        <f t="array" ref="CS59">IFERROR(INDEX(LCIA_Data,MATCH($AO$15&amp;CS$27,LCIA_Rows_B&amp;LCIA_Rows_C,0),MATCH(CS$26,LCIA_Columns,0)),0)*$AT59*$AJ59*$BN$23</f>
        <v>0</v>
      </c>
      <c r="CT59" s="1">
        <f t="array" ref="CT59">IFERROR(INDEX(LCIA_Data,MATCH($AO$15&amp;CT$27,LCIA_Rows_B&amp;LCIA_Rows_C,0),MATCH(CT$26,LCIA_Columns,0)),0)*$AT59*$AJ59*$BN$23</f>
        <v>0</v>
      </c>
      <c r="CU59" s="1">
        <f t="array" ref="CU59">IFERROR(INDEX(LCIA_Data,MATCH($AO$15&amp;CU$27,LCIA_Rows_B&amp;LCIA_Rows_C,0),MATCH(CU$26,LCIA_Columns,0)),0)*$AT59*$AJ59*$BN$23</f>
        <v>0</v>
      </c>
      <c r="CV59" s="1">
        <f t="array" ref="CV59">IFERROR(INDEX(LCIA_Data,MATCH($AO$15&amp;CV$27,LCIA_Rows_B&amp;LCIA_Rows_C,0),MATCH(CV$26,LCIA_Columns,0)),0)*$AT59*$AJ59*$BN$23</f>
        <v>0</v>
      </c>
      <c r="CW59" s="1">
        <f t="array" ref="CW59">IFERROR(INDEX(LCIA_Data,MATCH($AO$15&amp;CW$27,LCIA_Rows_B&amp;LCIA_Rows_C,0),MATCH(CW$26,LCIA_Columns,0)),0)*$AT59*$AJ59*$BN$23</f>
        <v>0</v>
      </c>
      <c r="CX59" s="1">
        <f t="array" ref="CX59">IFERROR(INDEX(LCIA_Data,MATCH($AO$15&amp;CX$27,LCIA_Rows_B&amp;LCIA_Rows_C,0),MATCH(CX$26,LCIA_Columns,0)),0)*$AT59*$AJ59*$BN$23</f>
        <v>0</v>
      </c>
      <c r="CY59" s="1">
        <f t="array" ref="CY59">IFERROR(INDEX(LCIA_Data,MATCH($AO$15&amp;CY$27,LCIA_Rows_B&amp;LCIA_Rows_C,0),MATCH(CY$26,LCIA_Columns,0)),0)*$AT59*$AJ59*$BN$23</f>
        <v>0</v>
      </c>
      <c r="CZ59" s="1">
        <f t="array" ref="CZ59">IFERROR(INDEX(LCIA_Data,MATCH($AO$15&amp;CZ$27,LCIA_Rows_B&amp;LCIA_Rows_C,0),MATCH(CZ$26,LCIA_Columns,0)),0)*$AT59*$AJ59*$BN$23</f>
        <v>0</v>
      </c>
      <c r="DA59" s="1">
        <f t="array" ref="DA59">IFERROR(INDEX(LCIA_Data,MATCH($AO$15&amp;DA$27,LCIA_Rows_B&amp;LCIA_Rows_C,0),MATCH(DA$26,LCIA_Columns,0)),0)*$AT59*$AK59*$BN$23</f>
        <v>0</v>
      </c>
      <c r="DB59" s="1">
        <f t="array" ref="DB59">IFERROR(INDEX(LCIA_Data,MATCH($AO$15&amp;DB$27,LCIA_Rows_B&amp;LCIA_Rows_C,0),MATCH(DB$26,LCIA_Columns,0)),0)*$AT59*$AK59*$BN$23</f>
        <v>0</v>
      </c>
      <c r="DC59" s="1">
        <f t="array" ref="DC59">IFERROR(INDEX(LCIA_Data,MATCH($AO$15&amp;DC$27,LCIA_Rows_B&amp;LCIA_Rows_C,0),MATCH(DC$26,LCIA_Columns,0)),0)*$AT59*$AK59*$BN$23</f>
        <v>0</v>
      </c>
      <c r="DD59" s="1">
        <f t="array" ref="DD59">IFERROR(INDEX(LCIA_Data,MATCH($AO$15&amp;DD$27,LCIA_Rows_B&amp;LCIA_Rows_C,0),MATCH(DD$26,LCIA_Columns,0)),0)*$AT59*$AK59*$BN$23</f>
        <v>0</v>
      </c>
      <c r="DE59" s="1">
        <f t="array" ref="DE59">IFERROR(INDEX(LCIA_Data,MATCH($AO$15&amp;DE$27,LCIA_Rows_B&amp;LCIA_Rows_C,0),MATCH(DE$26,LCIA_Columns,0)),0)*$AT59*$AK59*$BN$23</f>
        <v>0</v>
      </c>
      <c r="DF59" s="1">
        <f t="array" ref="DF59">IFERROR(INDEX(LCIA_Data,MATCH($AO$15&amp;DF$27,LCIA_Rows_B&amp;LCIA_Rows_C,0),MATCH(DF$26,LCIA_Columns,0)),0)*$AT59*$AK59*$BN$23</f>
        <v>0</v>
      </c>
      <c r="DG59" s="1">
        <f t="array" ref="DG59">IFERROR(INDEX(LCIA_Data,MATCH($AO$15&amp;DG$27,LCIA_Rows_B&amp;LCIA_Rows_C,0),MATCH(DG$26,LCIA_Columns,0)),0)*$AT59*$AK59*$BN$23</f>
        <v>0</v>
      </c>
      <c r="DH59" s="1">
        <f t="array" ref="DH59">IFERROR(INDEX(LCIA_Data,MATCH($AO$15&amp;DH$27,LCIA_Rows_B&amp;LCIA_Rows_C,0),MATCH(DH$26,LCIA_Columns,0)),0)*$AT59*$AK59*$BN$23</f>
        <v>0</v>
      </c>
      <c r="DI59" s="1">
        <f t="array" ref="DI59">IFERROR(INDEX(LCIA_Data,MATCH($AO$15&amp;DI$27,LCIA_Rows_B&amp;LCIA_Rows_C,0),MATCH(DI$26,LCIA_Columns,0)),0)*$AT59*$AK59*$BN$23</f>
        <v>0</v>
      </c>
      <c r="DJ59" s="1">
        <f t="array" ref="DJ59">IFERROR(INDEX(LCIA_Data,MATCH($AO$15&amp;DJ$27,LCIA_Rows_B&amp;LCIA_Rows_C,0),MATCH(DJ$26,LCIA_Columns,0)),0)*$AT59*$AK59*$BN$23</f>
        <v>0</v>
      </c>
      <c r="DK59" s="1">
        <f t="array" ref="DK59">IFERROR(INDEX(LCIA_Data,MATCH($AO$15&amp;DK$27,LCIA_Rows_B&amp;LCIA_Rows_C,0),MATCH(DK$26,LCIA_Columns,0)),0)*$AT59*$AK59*$BN$23</f>
        <v>0</v>
      </c>
      <c r="DL59" s="1">
        <f t="array" ref="DL59">IFERROR(INDEX(LCIA_Data,MATCH($AO$15&amp;DL$27,LCIA_Rows_B&amp;LCIA_Rows_C,0),MATCH(DL$26,LCIA_Columns,0)),0)*$AT59*$AK59*$BN$23</f>
        <v>0</v>
      </c>
      <c r="DM59" s="1">
        <f t="array" ref="DM59">IFERROR(INDEX(LCIA_Data,MATCH($AO$15&amp;DM$27,LCIA_Rows_B&amp;LCIA_Rows_C,0),MATCH(DM$26,LCIA_Columns,0)),0)*$AT59*$AK59*$BN$23</f>
        <v>0</v>
      </c>
      <c r="DN59" s="1">
        <f t="array" ref="DN59">IFERROR(INDEX(LCIA_Data,MATCH($AO$15&amp;DN$27,LCIA_Rows_B&amp;LCIA_Rows_C,0),MATCH(DN$26,LCIA_Columns,0)),0)*$AT59*$AK59*$BN$23</f>
        <v>0</v>
      </c>
      <c r="DO59">
        <f t="shared" si="41"/>
        <v>0</v>
      </c>
      <c r="DP59">
        <f t="shared" si="41"/>
        <v>0</v>
      </c>
      <c r="DQ59">
        <f t="shared" si="41"/>
        <v>0</v>
      </c>
      <c r="DR59">
        <f t="shared" si="41"/>
        <v>0</v>
      </c>
      <c r="DS59">
        <f t="shared" si="41"/>
        <v>0</v>
      </c>
      <c r="DT59">
        <f t="shared" si="41"/>
        <v>0</v>
      </c>
      <c r="DU59">
        <f t="shared" si="41"/>
        <v>0</v>
      </c>
      <c r="DV59">
        <f t="shared" si="41"/>
        <v>0</v>
      </c>
      <c r="DW59">
        <f t="shared" si="40"/>
        <v>0</v>
      </c>
      <c r="DX59">
        <f t="shared" si="40"/>
        <v>0</v>
      </c>
      <c r="DY59">
        <f t="shared" si="40"/>
        <v>0</v>
      </c>
      <c r="DZ59">
        <f t="shared" si="40"/>
        <v>0</v>
      </c>
      <c r="EA59">
        <f t="shared" si="40"/>
        <v>0</v>
      </c>
      <c r="EB59">
        <f t="shared" si="21"/>
        <v>0</v>
      </c>
      <c r="EC59"/>
      <c r="ED59"/>
      <c r="EE59"/>
      <c r="EF59"/>
      <c r="EG59"/>
    </row>
    <row r="60" spans="2:137" ht="15" customHeight="1">
      <c r="B60" s="53">
        <f t="shared" si="29"/>
        <v>0</v>
      </c>
      <c r="C60" s="233">
        <f t="shared" si="22"/>
        <v>31</v>
      </c>
      <c r="D60" s="244" t="str">
        <f>'Plant Inputs'!$D60</f>
        <v>Extruded Polystyrene</v>
      </c>
      <c r="E60" s="101"/>
      <c r="F60" s="248" t="s">
        <v>247</v>
      </c>
      <c r="G60" s="236">
        <f t="shared" si="26"/>
        <v>0</v>
      </c>
      <c r="H60" s="237" t="str">
        <f t="shared" si="7"/>
        <v>short ton</v>
      </c>
      <c r="I60" s="400">
        <f t="shared" si="8"/>
        <v>0</v>
      </c>
      <c r="J60"/>
      <c r="K60"/>
      <c r="L60"/>
      <c r="M60"/>
      <c r="N60"/>
      <c r="O60"/>
      <c r="P60"/>
      <c r="Q60"/>
      <c r="R60"/>
      <c r="S60"/>
      <c r="T60"/>
      <c r="X60" s="67">
        <f t="shared" si="30"/>
        <v>0</v>
      </c>
      <c r="Y60" s="216">
        <f>IF(AND($X60=1,'Plant Inputs'!$Y60=1),1,0)</f>
        <v>0</v>
      </c>
      <c r="Z60" s="216"/>
      <c r="AA60" s="216">
        <f>IF($Y60=0,0,IF('Plant Inputs'!J60="",0,'Plant Inputs'!J60))</f>
        <v>0</v>
      </c>
      <c r="AB60" s="216">
        <f>IF($Y60=0,0,IF('Plant Inputs'!K60="",0,'Plant Inputs'!K60))</f>
        <v>0</v>
      </c>
      <c r="AC60" s="216">
        <f>IF($Y60=0,0,IF('Plant Inputs'!L60="",0,'Plant Inputs'!L60))</f>
        <v>0</v>
      </c>
      <c r="AD60" s="216">
        <f>IF($Y60=0,0,IF('Plant Inputs'!M60="",0,'Plant Inputs'!M60))</f>
        <v>0</v>
      </c>
      <c r="AE60" s="217" t="str">
        <f>'Plant Inputs'!$O60</f>
        <v>mile</v>
      </c>
      <c r="AF60" s="217">
        <f t="shared" si="9"/>
        <v>1.6093473468862911</v>
      </c>
      <c r="AG60" s="216" t="str">
        <f t="shared" si="23"/>
        <v>km/mile</v>
      </c>
      <c r="AH60" s="216">
        <f t="shared" si="42"/>
        <v>0</v>
      </c>
      <c r="AI60" s="216">
        <f t="shared" si="42"/>
        <v>0</v>
      </c>
      <c r="AJ60" s="216">
        <f t="shared" si="42"/>
        <v>0</v>
      </c>
      <c r="AK60" s="216">
        <f t="shared" si="42"/>
        <v>0</v>
      </c>
      <c r="AL60" s="216"/>
      <c r="AM60" s="1" t="str">
        <f t="shared" si="32"/>
        <v>Extruded Polystyrene</v>
      </c>
      <c r="AN60" t="s">
        <v>128</v>
      </c>
      <c r="AO60">
        <f t="shared" si="33"/>
        <v>3.2000000000000001E-2</v>
      </c>
      <c r="AP60" s="1">
        <f t="shared" si="24"/>
        <v>0</v>
      </c>
      <c r="AQ60" s="1" t="str">
        <f t="shared" si="34"/>
        <v>board feet</v>
      </c>
      <c r="AR60" s="1">
        <f t="shared" si="14"/>
        <v>7.5511590911999998E-5</v>
      </c>
      <c r="AS60" s="87" t="str">
        <f t="shared" si="35"/>
        <v>tonne/board feet</v>
      </c>
      <c r="AT60" s="87">
        <f t="shared" si="36"/>
        <v>0</v>
      </c>
      <c r="AU60" s="87">
        <f t="shared" si="37"/>
        <v>0</v>
      </c>
      <c r="AV60" s="87">
        <f t="shared" si="18"/>
        <v>0</v>
      </c>
      <c r="AW60" t="str">
        <f t="shared" si="38"/>
        <v>Extruded Polystyrene</v>
      </c>
      <c r="AX60" s="148">
        <f t="array" ref="AX60">IFERROR(INDEX(LCIA_Data,MATCH($AO$15&amp;AX$27,LCIA_Rows_B&amp;LCIA_Rows_C,0),MATCH($D60,LCIA_Columns,0)),0)*$AU60</f>
        <v>0</v>
      </c>
      <c r="AY60" s="148">
        <f t="array" ref="AY60">IFERROR(INDEX(LCIA_Data,MATCH($AO$15&amp;AY$27,LCIA_Rows_B&amp;LCIA_Rows_C,0),MATCH($D60,LCIA_Columns,0)),0)*$AU60</f>
        <v>0</v>
      </c>
      <c r="AZ60" s="148">
        <f t="array" ref="AZ60">IFERROR(INDEX(LCIA_Data,MATCH($AO$15&amp;AZ$27,LCIA_Rows_B&amp;LCIA_Rows_C,0),MATCH($D60,LCIA_Columns,0)),0)*$AU60</f>
        <v>0</v>
      </c>
      <c r="BA60" s="148">
        <f t="array" ref="BA60">IFERROR(INDEX(LCIA_Data,MATCH($AO$15&amp;BA$27,LCIA_Rows_B&amp;LCIA_Rows_C,0),MATCH($D60,LCIA_Columns,0)),0)*$AU60</f>
        <v>0</v>
      </c>
      <c r="BB60" s="148">
        <f t="array" ref="BB60">IFERROR(INDEX(LCIA_Data,MATCH($AO$15&amp;BB$27,LCIA_Rows_B&amp;LCIA_Rows_C,0),MATCH($D60,LCIA_Columns,0)),0)*$AU60</f>
        <v>0</v>
      </c>
      <c r="BC60" s="148">
        <f t="array" ref="BC60">IFERROR(INDEX(LCIA_Data,MATCH($AO$15&amp;BC$27,LCIA_Rows_B&amp;LCIA_Rows_C,0),MATCH($D60,LCIA_Columns,0)),0)*$AU60</f>
        <v>0</v>
      </c>
      <c r="BD60" s="148">
        <f t="array" ref="BD60">IFERROR(INDEX(LCIA_Data,MATCH($AO$15&amp;BD$27,LCIA_Rows_B&amp;LCIA_Rows_C,0),MATCH($D60,LCIA_Columns,0)),0)*$AU60</f>
        <v>0</v>
      </c>
      <c r="BE60" s="148">
        <f t="array" ref="BE60">IFERROR(INDEX(LCIA_Data,MATCH($AO$15&amp;BE$27,LCIA_Rows_B&amp;LCIA_Rows_C,0),MATCH($D60,LCIA_Columns,0)),0)*$AU60</f>
        <v>0</v>
      </c>
      <c r="BF60" s="148">
        <f t="array" ref="BF60">IFERROR(INDEX(LCIA_Data,MATCH($AO$15&amp;BF$27,LCIA_Rows_B&amp;LCIA_Rows_C,0),MATCH($D60,LCIA_Columns,0)),0)*$AU60</f>
        <v>0</v>
      </c>
      <c r="BG60" s="148">
        <f t="array" ref="BG60">IFERROR(INDEX(LCIA_Data,MATCH($AO$15&amp;BG$27,LCIA_Rows_B&amp;LCIA_Rows_C,0),MATCH($D60,LCIA_Columns,0)),0)*$AU60</f>
        <v>0</v>
      </c>
      <c r="BH60" s="148">
        <f t="array" ref="BH60">IFERROR(INDEX(LCIA_Data,MATCH($AO$15&amp;BH$27,LCIA_Rows_B&amp;LCIA_Rows_C,0),MATCH($D60,LCIA_Columns,0)),0)*$AU60</f>
        <v>0</v>
      </c>
      <c r="BI60" s="148">
        <f t="array" ref="BI60">IFERROR(INDEX(LCIA_Data,MATCH($AO$15&amp;BI$27,LCIA_Rows_B&amp;LCIA_Rows_C,0),MATCH($D60,LCIA_Columns,0)),0)*$AU60</f>
        <v>0</v>
      </c>
      <c r="BJ60" s="148">
        <f t="array" ref="BJ60">IFERROR(INDEX(LCIA_Data,MATCH($AO$15&amp;BJ$27,LCIA_Rows_B&amp;LCIA_Rows_C,0),MATCH($D60,LCIA_Columns,0)),0)*$AU60</f>
        <v>0</v>
      </c>
      <c r="BK60" s="148">
        <f t="array" ref="BK60">IFERROR(INDEX(LCIA_Data,MATCH($AO$15&amp;BK$27,LCIA_Rows_B&amp;LCIA_Rows_C,0),MATCH($D60,LCIA_Columns,0)),0)*$AU60</f>
        <v>0</v>
      </c>
      <c r="BM60" s="1">
        <f t="array" ref="BM60">IFERROR(INDEX(LCIA_Data,MATCH($AO$15&amp;BM$27,LCIA_Rows_B&amp;LCIA_Rows_C,0),MATCH(BM$26,LCIA_Columns,0)),0)*$AT60*$AH60*$BN$23</f>
        <v>0</v>
      </c>
      <c r="BN60" s="1">
        <f t="array" ref="BN60">IFERROR(INDEX(LCIA_Data,MATCH($AO$15&amp;BN$27,LCIA_Rows_B&amp;LCIA_Rows_C,0),MATCH(BN$26,LCIA_Columns,0)),0)*$AT60*$AH60*$BN$23</f>
        <v>0</v>
      </c>
      <c r="BO60" s="1">
        <f t="array" ref="BO60">IFERROR(INDEX(LCIA_Data,MATCH($AO$15&amp;BO$27,LCIA_Rows_B&amp;LCIA_Rows_C,0),MATCH(BO$26,LCIA_Columns,0)),0)*$AT60*$AH60*$BN$23</f>
        <v>0</v>
      </c>
      <c r="BP60" s="1">
        <f t="array" ref="BP60">IFERROR(INDEX(LCIA_Data,MATCH($AO$15&amp;BP$27,LCIA_Rows_B&amp;LCIA_Rows_C,0),MATCH(BP$26,LCIA_Columns,0)),0)*$AT60*$AH60*$BN$23</f>
        <v>0</v>
      </c>
      <c r="BQ60" s="1">
        <f t="array" ref="BQ60">IFERROR(INDEX(LCIA_Data,MATCH($AO$15&amp;BQ$27,LCIA_Rows_B&amp;LCIA_Rows_C,0),MATCH(BQ$26,LCIA_Columns,0)),0)*$AT60*$AH60*$BN$23</f>
        <v>0</v>
      </c>
      <c r="BR60" s="1">
        <f t="array" ref="BR60">IFERROR(INDEX(LCIA_Data,MATCH($AO$15&amp;BR$27,LCIA_Rows_B&amp;LCIA_Rows_C,0),MATCH(BR$26,LCIA_Columns,0)),0)*$AT60*$AH60*$BN$23</f>
        <v>0</v>
      </c>
      <c r="BS60" s="1">
        <f t="array" ref="BS60">IFERROR(INDEX(LCIA_Data,MATCH($AO$15&amp;BS$27,LCIA_Rows_B&amp;LCIA_Rows_C,0),MATCH(BS$26,LCIA_Columns,0)),0)*$AT60*$AH60*$BN$23</f>
        <v>0</v>
      </c>
      <c r="BT60" s="1">
        <f t="array" ref="BT60">IFERROR(INDEX(LCIA_Data,MATCH($AO$15&amp;BT$27,LCIA_Rows_B&amp;LCIA_Rows_C,0),MATCH(BT$26,LCIA_Columns,0)),0)*$AT60*$AH60*$BN$23</f>
        <v>0</v>
      </c>
      <c r="BU60" s="1">
        <f t="array" ref="BU60">IFERROR(INDEX(LCIA_Data,MATCH($AO$15&amp;BU$27,LCIA_Rows_B&amp;LCIA_Rows_C,0),MATCH(BU$26,LCIA_Columns,0)),0)*$AT60*$AH60*$BN$23</f>
        <v>0</v>
      </c>
      <c r="BV60" s="1">
        <f t="array" ref="BV60">IFERROR(INDEX(LCIA_Data,MATCH($AO$15&amp;BV$27,LCIA_Rows_B&amp;LCIA_Rows_C,0),MATCH(BV$26,LCIA_Columns,0)),0)*$AT60*$AH60*$BN$23</f>
        <v>0</v>
      </c>
      <c r="BW60" s="1">
        <f t="array" ref="BW60">IFERROR(INDEX(LCIA_Data,MATCH($AO$15&amp;BW$27,LCIA_Rows_B&amp;LCIA_Rows_C,0),MATCH(BW$26,LCIA_Columns,0)),0)*$AT60*$AH60*$BN$23</f>
        <v>0</v>
      </c>
      <c r="BX60" s="1">
        <f t="array" ref="BX60">IFERROR(INDEX(LCIA_Data,MATCH($AO$15&amp;BX$27,LCIA_Rows_B&amp;LCIA_Rows_C,0),MATCH(BX$26,LCIA_Columns,0)),0)*$AT60*$AH60*$BN$23</f>
        <v>0</v>
      </c>
      <c r="BY60" s="1">
        <f t="array" ref="BY60">IFERROR(INDEX(LCIA_Data,MATCH($AO$15&amp;BY$27,LCIA_Rows_B&amp;LCIA_Rows_C,0),MATCH(BY$26,LCIA_Columns,0)),0)*$AT60*$AH60*$BN$23</f>
        <v>0</v>
      </c>
      <c r="BZ60" s="1">
        <f t="array" ref="BZ60">IFERROR(INDEX(LCIA_Data,MATCH($AO$15&amp;BZ$27,LCIA_Rows_B&amp;LCIA_Rows_C,0),MATCH(BZ$26,LCIA_Columns,0)),0)*$AT60*$AH60*$BN$23</f>
        <v>0</v>
      </c>
      <c r="CA60" s="1">
        <f t="array" ref="CA60">IFERROR(INDEX(LCIA_Data,MATCH($AO$15&amp;CA$27,LCIA_Rows_B&amp;LCIA_Rows_C,0),MATCH(CA$26,LCIA_Columns,0)),0)*$AT60*$AI60*$BN$23</f>
        <v>0</v>
      </c>
      <c r="CB60" s="1">
        <f t="array" ref="CB60">IFERROR(INDEX(LCIA_Data,MATCH($AO$15&amp;CB$27,LCIA_Rows_B&amp;LCIA_Rows_C,0),MATCH(CB$26,LCIA_Columns,0)),0)*$AT60*$AI60*$BN$23</f>
        <v>0</v>
      </c>
      <c r="CC60" s="1">
        <f t="array" ref="CC60">IFERROR(INDEX(LCIA_Data,MATCH($AO$15&amp;CC$27,LCIA_Rows_B&amp;LCIA_Rows_C,0),MATCH(CC$26,LCIA_Columns,0)),0)*$AT60*$AI60*$BN$23</f>
        <v>0</v>
      </c>
      <c r="CD60" s="1">
        <f t="array" ref="CD60">IFERROR(INDEX(LCIA_Data,MATCH($AO$15&amp;CD$27,LCIA_Rows_B&amp;LCIA_Rows_C,0),MATCH(CD$26,LCIA_Columns,0)),0)*$AT60*$AI60*$BN$23</f>
        <v>0</v>
      </c>
      <c r="CE60" s="1">
        <f t="array" ref="CE60">IFERROR(INDEX(LCIA_Data,MATCH($AO$15&amp;CE$27,LCIA_Rows_B&amp;LCIA_Rows_C,0),MATCH(CE$26,LCIA_Columns,0)),0)*$AT60*$AI60*$BN$23</f>
        <v>0</v>
      </c>
      <c r="CF60" s="1">
        <f t="array" ref="CF60">IFERROR(INDEX(LCIA_Data,MATCH($AO$15&amp;CF$27,LCIA_Rows_B&amp;LCIA_Rows_C,0),MATCH(CF$26,LCIA_Columns,0)),0)*$AT60*$AI60*$BN$23</f>
        <v>0</v>
      </c>
      <c r="CG60" s="1">
        <f t="array" ref="CG60">IFERROR(INDEX(LCIA_Data,MATCH($AO$15&amp;CG$27,LCIA_Rows_B&amp;LCIA_Rows_C,0),MATCH(CG$26,LCIA_Columns,0)),0)*$AT60*$AI60*$BN$23</f>
        <v>0</v>
      </c>
      <c r="CH60" s="1">
        <f t="array" ref="CH60">IFERROR(INDEX(LCIA_Data,MATCH($AO$15&amp;CH$27,LCIA_Rows_B&amp;LCIA_Rows_C,0),MATCH(CH$26,LCIA_Columns,0)),0)*$AT60*$AI60*$BN$23</f>
        <v>0</v>
      </c>
      <c r="CI60" s="1">
        <f t="array" ref="CI60">IFERROR(INDEX(LCIA_Data,MATCH($AO$15&amp;CI$27,LCIA_Rows_B&amp;LCIA_Rows_C,0),MATCH(CI$26,LCIA_Columns,0)),0)*$AT60*$AI60*$BN$23</f>
        <v>0</v>
      </c>
      <c r="CJ60" s="1">
        <f t="array" ref="CJ60">IFERROR(INDEX(LCIA_Data,MATCH($AO$15&amp;CJ$27,LCIA_Rows_B&amp;LCIA_Rows_C,0),MATCH(CJ$26,LCIA_Columns,0)),0)*$AT60*$AI60*$BN$23</f>
        <v>0</v>
      </c>
      <c r="CK60" s="1">
        <f t="array" ref="CK60">IFERROR(INDEX(LCIA_Data,MATCH($AO$15&amp;CK$27,LCIA_Rows_B&amp;LCIA_Rows_C,0),MATCH(CK$26,LCIA_Columns,0)),0)*$AT60*$AI60*$BN$23</f>
        <v>0</v>
      </c>
      <c r="CL60" s="1">
        <f t="array" ref="CL60">IFERROR(INDEX(LCIA_Data,MATCH($AO$15&amp;CL$27,LCIA_Rows_B&amp;LCIA_Rows_C,0),MATCH(CL$26,LCIA_Columns,0)),0)*$AT60*$AI60*$BN$23</f>
        <v>0</v>
      </c>
      <c r="CM60" s="1">
        <f t="array" ref="CM60">IFERROR(INDEX(LCIA_Data,MATCH($AO$15&amp;CM$27,LCIA_Rows_B&amp;LCIA_Rows_C,0),MATCH(CM$26,LCIA_Columns,0)),0)*$AT60*$AJ60*$BN$23</f>
        <v>0</v>
      </c>
      <c r="CN60" s="1">
        <f t="array" ref="CN60">IFERROR(INDEX(LCIA_Data,MATCH($AO$15&amp;CN$27,LCIA_Rows_B&amp;LCIA_Rows_C,0),MATCH(CN$26,LCIA_Columns,0)),0)*$AT60*$AJ60*$BN$23</f>
        <v>0</v>
      </c>
      <c r="CO60" s="1">
        <f t="array" ref="CO60">IFERROR(INDEX(LCIA_Data,MATCH($AO$15&amp;CO$27,LCIA_Rows_B&amp;LCIA_Rows_C,0),MATCH(CO$26,LCIA_Columns,0)),0)*$AT60*$AJ60*$BN$23</f>
        <v>0</v>
      </c>
      <c r="CP60" s="1">
        <f t="array" ref="CP60">IFERROR(INDEX(LCIA_Data,MATCH($AO$15&amp;CP$27,LCIA_Rows_B&amp;LCIA_Rows_C,0),MATCH(CP$26,LCIA_Columns,0)),0)*$AT60*$AJ60*$BN$23</f>
        <v>0</v>
      </c>
      <c r="CQ60" s="1">
        <f t="array" ref="CQ60">IFERROR(INDEX(LCIA_Data,MATCH($AO$15&amp;CQ$27,LCIA_Rows_B&amp;LCIA_Rows_C,0),MATCH(CQ$26,LCIA_Columns,0)),0)*$AT60*$AJ60*$BN$23</f>
        <v>0</v>
      </c>
      <c r="CR60" s="1">
        <f t="array" ref="CR60">IFERROR(INDEX(LCIA_Data,MATCH($AO$15&amp;CR$27,LCIA_Rows_B&amp;LCIA_Rows_C,0),MATCH(CR$26,LCIA_Columns,0)),0)*$AT60*$AJ60*$BN$23</f>
        <v>0</v>
      </c>
      <c r="CS60" s="1">
        <f t="array" ref="CS60">IFERROR(INDEX(LCIA_Data,MATCH($AO$15&amp;CS$27,LCIA_Rows_B&amp;LCIA_Rows_C,0),MATCH(CS$26,LCIA_Columns,0)),0)*$AT60*$AJ60*$BN$23</f>
        <v>0</v>
      </c>
      <c r="CT60" s="1">
        <f t="array" ref="CT60">IFERROR(INDEX(LCIA_Data,MATCH($AO$15&amp;CT$27,LCIA_Rows_B&amp;LCIA_Rows_C,0),MATCH(CT$26,LCIA_Columns,0)),0)*$AT60*$AJ60*$BN$23</f>
        <v>0</v>
      </c>
      <c r="CU60" s="1">
        <f t="array" ref="CU60">IFERROR(INDEX(LCIA_Data,MATCH($AO$15&amp;CU$27,LCIA_Rows_B&amp;LCIA_Rows_C,0),MATCH(CU$26,LCIA_Columns,0)),0)*$AT60*$AJ60*$BN$23</f>
        <v>0</v>
      </c>
      <c r="CV60" s="1">
        <f t="array" ref="CV60">IFERROR(INDEX(LCIA_Data,MATCH($AO$15&amp;CV$27,LCIA_Rows_B&amp;LCIA_Rows_C,0),MATCH(CV$26,LCIA_Columns,0)),0)*$AT60*$AJ60*$BN$23</f>
        <v>0</v>
      </c>
      <c r="CW60" s="1">
        <f t="array" ref="CW60">IFERROR(INDEX(LCIA_Data,MATCH($AO$15&amp;CW$27,LCIA_Rows_B&amp;LCIA_Rows_C,0),MATCH(CW$26,LCIA_Columns,0)),0)*$AT60*$AJ60*$BN$23</f>
        <v>0</v>
      </c>
      <c r="CX60" s="1">
        <f t="array" ref="CX60">IFERROR(INDEX(LCIA_Data,MATCH($AO$15&amp;CX$27,LCIA_Rows_B&amp;LCIA_Rows_C,0),MATCH(CX$26,LCIA_Columns,0)),0)*$AT60*$AJ60*$BN$23</f>
        <v>0</v>
      </c>
      <c r="CY60" s="1">
        <f t="array" ref="CY60">IFERROR(INDEX(LCIA_Data,MATCH($AO$15&amp;CY$27,LCIA_Rows_B&amp;LCIA_Rows_C,0),MATCH(CY$26,LCIA_Columns,0)),0)*$AT60*$AJ60*$BN$23</f>
        <v>0</v>
      </c>
      <c r="CZ60" s="1">
        <f t="array" ref="CZ60">IFERROR(INDEX(LCIA_Data,MATCH($AO$15&amp;CZ$27,LCIA_Rows_B&amp;LCIA_Rows_C,0),MATCH(CZ$26,LCIA_Columns,0)),0)*$AT60*$AJ60*$BN$23</f>
        <v>0</v>
      </c>
      <c r="DA60" s="1">
        <f t="array" ref="DA60">IFERROR(INDEX(LCIA_Data,MATCH($AO$15&amp;DA$27,LCIA_Rows_B&amp;LCIA_Rows_C,0),MATCH(DA$26,LCIA_Columns,0)),0)*$AT60*$AK60*$BN$23</f>
        <v>0</v>
      </c>
      <c r="DB60" s="1">
        <f t="array" ref="DB60">IFERROR(INDEX(LCIA_Data,MATCH($AO$15&amp;DB$27,LCIA_Rows_B&amp;LCIA_Rows_C,0),MATCH(DB$26,LCIA_Columns,0)),0)*$AT60*$AK60*$BN$23</f>
        <v>0</v>
      </c>
      <c r="DC60" s="1">
        <f t="array" ref="DC60">IFERROR(INDEX(LCIA_Data,MATCH($AO$15&amp;DC$27,LCIA_Rows_B&amp;LCIA_Rows_C,0),MATCH(DC$26,LCIA_Columns,0)),0)*$AT60*$AK60*$BN$23</f>
        <v>0</v>
      </c>
      <c r="DD60" s="1">
        <f t="array" ref="DD60">IFERROR(INDEX(LCIA_Data,MATCH($AO$15&amp;DD$27,LCIA_Rows_B&amp;LCIA_Rows_C,0),MATCH(DD$26,LCIA_Columns,0)),0)*$AT60*$AK60*$BN$23</f>
        <v>0</v>
      </c>
      <c r="DE60" s="1">
        <f t="array" ref="DE60">IFERROR(INDEX(LCIA_Data,MATCH($AO$15&amp;DE$27,LCIA_Rows_B&amp;LCIA_Rows_C,0),MATCH(DE$26,LCIA_Columns,0)),0)*$AT60*$AK60*$BN$23</f>
        <v>0</v>
      </c>
      <c r="DF60" s="1">
        <f t="array" ref="DF60">IFERROR(INDEX(LCIA_Data,MATCH($AO$15&amp;DF$27,LCIA_Rows_B&amp;LCIA_Rows_C,0),MATCH(DF$26,LCIA_Columns,0)),0)*$AT60*$AK60*$BN$23</f>
        <v>0</v>
      </c>
      <c r="DG60" s="1">
        <f t="array" ref="DG60">IFERROR(INDEX(LCIA_Data,MATCH($AO$15&amp;DG$27,LCIA_Rows_B&amp;LCIA_Rows_C,0),MATCH(DG$26,LCIA_Columns,0)),0)*$AT60*$AK60*$BN$23</f>
        <v>0</v>
      </c>
      <c r="DH60" s="1">
        <f t="array" ref="DH60">IFERROR(INDEX(LCIA_Data,MATCH($AO$15&amp;DH$27,LCIA_Rows_B&amp;LCIA_Rows_C,0),MATCH(DH$26,LCIA_Columns,0)),0)*$AT60*$AK60*$BN$23</f>
        <v>0</v>
      </c>
      <c r="DI60" s="1">
        <f t="array" ref="DI60">IFERROR(INDEX(LCIA_Data,MATCH($AO$15&amp;DI$27,LCIA_Rows_B&amp;LCIA_Rows_C,0),MATCH(DI$26,LCIA_Columns,0)),0)*$AT60*$AK60*$BN$23</f>
        <v>0</v>
      </c>
      <c r="DJ60" s="1">
        <f t="array" ref="DJ60">IFERROR(INDEX(LCIA_Data,MATCH($AO$15&amp;DJ$27,LCIA_Rows_B&amp;LCIA_Rows_C,0),MATCH(DJ$26,LCIA_Columns,0)),0)*$AT60*$AK60*$BN$23</f>
        <v>0</v>
      </c>
      <c r="DK60" s="1">
        <f t="array" ref="DK60">IFERROR(INDEX(LCIA_Data,MATCH($AO$15&amp;DK$27,LCIA_Rows_B&amp;LCIA_Rows_C,0),MATCH(DK$26,LCIA_Columns,0)),0)*$AT60*$AK60*$BN$23</f>
        <v>0</v>
      </c>
      <c r="DL60" s="1">
        <f t="array" ref="DL60">IFERROR(INDEX(LCIA_Data,MATCH($AO$15&amp;DL$27,LCIA_Rows_B&amp;LCIA_Rows_C,0),MATCH(DL$26,LCIA_Columns,0)),0)*$AT60*$AK60*$BN$23</f>
        <v>0</v>
      </c>
      <c r="DM60" s="1">
        <f t="array" ref="DM60">IFERROR(INDEX(LCIA_Data,MATCH($AO$15&amp;DM$27,LCIA_Rows_B&amp;LCIA_Rows_C,0),MATCH(DM$26,LCIA_Columns,0)),0)*$AT60*$AK60*$BN$23</f>
        <v>0</v>
      </c>
      <c r="DN60" s="1">
        <f t="array" ref="DN60">IFERROR(INDEX(LCIA_Data,MATCH($AO$15&amp;DN$27,LCIA_Rows_B&amp;LCIA_Rows_C,0),MATCH(DN$26,LCIA_Columns,0)),0)*$AT60*$AK60*$BN$23</f>
        <v>0</v>
      </c>
      <c r="DO60">
        <f t="shared" si="41"/>
        <v>0</v>
      </c>
      <c r="DP60">
        <f t="shared" si="41"/>
        <v>0</v>
      </c>
      <c r="DQ60">
        <f t="shared" si="41"/>
        <v>0</v>
      </c>
      <c r="DR60">
        <f t="shared" si="41"/>
        <v>0</v>
      </c>
      <c r="DS60">
        <f t="shared" si="41"/>
        <v>0</v>
      </c>
      <c r="DT60">
        <f t="shared" si="41"/>
        <v>0</v>
      </c>
      <c r="DU60">
        <f t="shared" si="41"/>
        <v>0</v>
      </c>
      <c r="DV60">
        <f t="shared" si="41"/>
        <v>0</v>
      </c>
      <c r="DW60">
        <f t="shared" si="40"/>
        <v>0</v>
      </c>
      <c r="DX60">
        <f t="shared" si="40"/>
        <v>0</v>
      </c>
      <c r="DY60">
        <f t="shared" si="40"/>
        <v>0</v>
      </c>
      <c r="DZ60">
        <f t="shared" si="40"/>
        <v>0</v>
      </c>
      <c r="EA60">
        <f t="shared" si="40"/>
        <v>0</v>
      </c>
      <c r="EB60">
        <f t="shared" si="21"/>
        <v>0</v>
      </c>
      <c r="EC60"/>
      <c r="ED60"/>
      <c r="EE60"/>
      <c r="EF60"/>
      <c r="EG60"/>
    </row>
    <row r="61" spans="2:137" ht="15" customHeight="1">
      <c r="B61" s="53">
        <f t="shared" si="29"/>
        <v>0</v>
      </c>
      <c r="C61" s="26">
        <f t="shared" si="22"/>
        <v>32</v>
      </c>
      <c r="D61" s="46" t="str">
        <f>'Plant Inputs'!$D61</f>
        <v>Brick</v>
      </c>
      <c r="E61" s="99"/>
      <c r="F61" s="119" t="str">
        <f>MassDisplayUnit</f>
        <v>short ton</v>
      </c>
      <c r="G61" s="158">
        <f t="shared" si="26"/>
        <v>0</v>
      </c>
      <c r="H61" s="204" t="str">
        <f t="shared" si="7"/>
        <v>short ton</v>
      </c>
      <c r="I61" s="399">
        <f t="shared" si="8"/>
        <v>0</v>
      </c>
      <c r="J61"/>
      <c r="K61"/>
      <c r="L61"/>
      <c r="M61"/>
      <c r="N61"/>
      <c r="O61"/>
      <c r="P61"/>
      <c r="Q61"/>
      <c r="R61"/>
      <c r="S61"/>
      <c r="T61"/>
      <c r="X61" s="67">
        <f t="shared" si="30"/>
        <v>0</v>
      </c>
      <c r="Y61" s="216">
        <f>IF(AND($X61=1,'Plant Inputs'!$Y61=1),1,0)</f>
        <v>0</v>
      </c>
      <c r="Z61" s="216"/>
      <c r="AA61" s="216">
        <f>IF($Y61=0,0,IF('Plant Inputs'!J61="",0,'Plant Inputs'!J61))</f>
        <v>0</v>
      </c>
      <c r="AB61" s="216">
        <f>IF($Y61=0,0,IF('Plant Inputs'!K61="",0,'Plant Inputs'!K61))</f>
        <v>0</v>
      </c>
      <c r="AC61" s="216">
        <f>IF($Y61=0,0,IF('Plant Inputs'!L61="",0,'Plant Inputs'!L61))</f>
        <v>0</v>
      </c>
      <c r="AD61" s="216">
        <f>IF($Y61=0,0,IF('Plant Inputs'!M61="",0,'Plant Inputs'!M61))</f>
        <v>0</v>
      </c>
      <c r="AE61" s="217" t="str">
        <f>'Plant Inputs'!$O61</f>
        <v>mile</v>
      </c>
      <c r="AF61" s="217">
        <f t="shared" si="9"/>
        <v>1.6093473468862911</v>
      </c>
      <c r="AG61" s="216" t="str">
        <f t="shared" si="23"/>
        <v>km/mile</v>
      </c>
      <c r="AH61" s="216">
        <f t="shared" si="42"/>
        <v>0</v>
      </c>
      <c r="AI61" s="216">
        <f t="shared" si="42"/>
        <v>0</v>
      </c>
      <c r="AJ61" s="216">
        <f t="shared" si="42"/>
        <v>0</v>
      </c>
      <c r="AK61" s="216">
        <f t="shared" si="42"/>
        <v>0</v>
      </c>
      <c r="AL61" s="216"/>
      <c r="AM61" s="1" t="str">
        <f t="shared" si="32"/>
        <v>Brick</v>
      </c>
      <c r="AN61" t="s">
        <v>127</v>
      </c>
      <c r="AO61">
        <f t="shared" si="33"/>
        <v>0</v>
      </c>
      <c r="AP61" s="1">
        <f t="shared" si="24"/>
        <v>0</v>
      </c>
      <c r="AQ61" s="1" t="str">
        <f t="shared" si="34"/>
        <v>short ton</v>
      </c>
      <c r="AR61" s="1">
        <f t="shared" si="14"/>
        <v>0.90718499588591606</v>
      </c>
      <c r="AS61" s="87" t="str">
        <f t="shared" si="35"/>
        <v>tonne/short ton</v>
      </c>
      <c r="AT61" s="87">
        <f t="shared" si="36"/>
        <v>0</v>
      </c>
      <c r="AU61" s="87">
        <f t="shared" si="37"/>
        <v>0</v>
      </c>
      <c r="AV61" s="87">
        <f t="shared" si="18"/>
        <v>0</v>
      </c>
      <c r="AW61" t="str">
        <f t="shared" si="38"/>
        <v>Brick</v>
      </c>
      <c r="AX61" s="148">
        <f t="array" ref="AX61">IFERROR(INDEX(LCIA_Data,MATCH($AO$15&amp;AX$27,LCIA_Rows_B&amp;LCIA_Rows_C,0),MATCH($D61,LCIA_Columns,0)),0)*$AU61</f>
        <v>0</v>
      </c>
      <c r="AY61" s="148">
        <f t="array" ref="AY61">IFERROR(INDEX(LCIA_Data,MATCH($AO$15&amp;AY$27,LCIA_Rows_B&amp;LCIA_Rows_C,0),MATCH($D61,LCIA_Columns,0)),0)*$AU61</f>
        <v>0</v>
      </c>
      <c r="AZ61" s="148">
        <f t="array" ref="AZ61">IFERROR(INDEX(LCIA_Data,MATCH($AO$15&amp;AZ$27,LCIA_Rows_B&amp;LCIA_Rows_C,0),MATCH($D61,LCIA_Columns,0)),0)*$AU61</f>
        <v>0</v>
      </c>
      <c r="BA61" s="148">
        <f t="array" ref="BA61">IFERROR(INDEX(LCIA_Data,MATCH($AO$15&amp;BA$27,LCIA_Rows_B&amp;LCIA_Rows_C,0),MATCH($D61,LCIA_Columns,0)),0)*$AU61</f>
        <v>0</v>
      </c>
      <c r="BB61" s="148">
        <f t="array" ref="BB61">IFERROR(INDEX(LCIA_Data,MATCH($AO$15&amp;BB$27,LCIA_Rows_B&amp;LCIA_Rows_C,0),MATCH($D61,LCIA_Columns,0)),0)*$AU61</f>
        <v>0</v>
      </c>
      <c r="BC61" s="148">
        <f t="array" ref="BC61">IFERROR(INDEX(LCIA_Data,MATCH($AO$15&amp;BC$27,LCIA_Rows_B&amp;LCIA_Rows_C,0),MATCH($D61,LCIA_Columns,0)),0)*$AU61</f>
        <v>0</v>
      </c>
      <c r="BD61" s="148">
        <f t="array" ref="BD61">IFERROR(INDEX(LCIA_Data,MATCH($AO$15&amp;BD$27,LCIA_Rows_B&amp;LCIA_Rows_C,0),MATCH($D61,LCIA_Columns,0)),0)*$AU61</f>
        <v>0</v>
      </c>
      <c r="BE61" s="148">
        <f t="array" ref="BE61">IFERROR(INDEX(LCIA_Data,MATCH($AO$15&amp;BE$27,LCIA_Rows_B&amp;LCIA_Rows_C,0),MATCH($D61,LCIA_Columns,0)),0)*$AU61</f>
        <v>0</v>
      </c>
      <c r="BF61" s="148">
        <f t="array" ref="BF61">IFERROR(INDEX(LCIA_Data,MATCH($AO$15&amp;BF$27,LCIA_Rows_B&amp;LCIA_Rows_C,0),MATCH($D61,LCIA_Columns,0)),0)*$AU61</f>
        <v>0</v>
      </c>
      <c r="BG61" s="148">
        <f t="array" ref="BG61">IFERROR(INDEX(LCIA_Data,MATCH($AO$15&amp;BG$27,LCIA_Rows_B&amp;LCIA_Rows_C,0),MATCH($D61,LCIA_Columns,0)),0)*$AU61</f>
        <v>0</v>
      </c>
      <c r="BH61" s="148">
        <f t="array" ref="BH61">IFERROR(INDEX(LCIA_Data,MATCH($AO$15&amp;BH$27,LCIA_Rows_B&amp;LCIA_Rows_C,0),MATCH($D61,LCIA_Columns,0)),0)*$AU61</f>
        <v>0</v>
      </c>
      <c r="BI61" s="148">
        <f t="array" ref="BI61">IFERROR(INDEX(LCIA_Data,MATCH($AO$15&amp;BI$27,LCIA_Rows_B&amp;LCIA_Rows_C,0),MATCH($D61,LCIA_Columns,0)),0)*$AU61</f>
        <v>0</v>
      </c>
      <c r="BJ61" s="148">
        <f t="array" ref="BJ61">IFERROR(INDEX(LCIA_Data,MATCH($AO$15&amp;BJ$27,LCIA_Rows_B&amp;LCIA_Rows_C,0),MATCH($D61,LCIA_Columns,0)),0)*$AU61</f>
        <v>0</v>
      </c>
      <c r="BK61" s="148">
        <f t="array" ref="BK61">IFERROR(INDEX(LCIA_Data,MATCH($AO$15&amp;BK$27,LCIA_Rows_B&amp;LCIA_Rows_C,0),MATCH($D61,LCIA_Columns,0)),0)*$AU61</f>
        <v>0</v>
      </c>
      <c r="BM61" s="1">
        <f t="array" ref="BM61">IFERROR(INDEX(LCIA_Data,MATCH($AO$15&amp;BM$27,LCIA_Rows_B&amp;LCIA_Rows_C,0),MATCH(BM$26,LCIA_Columns,0)),0)*$AT61*$AH61*$BN$23</f>
        <v>0</v>
      </c>
      <c r="BN61" s="1">
        <f t="array" ref="BN61">IFERROR(INDEX(LCIA_Data,MATCH($AO$15&amp;BN$27,LCIA_Rows_B&amp;LCIA_Rows_C,0),MATCH(BN$26,LCIA_Columns,0)),0)*$AT61*$AH61*$BN$23</f>
        <v>0</v>
      </c>
      <c r="BO61" s="1">
        <f t="array" ref="BO61">IFERROR(INDEX(LCIA_Data,MATCH($AO$15&amp;BO$27,LCIA_Rows_B&amp;LCIA_Rows_C,0),MATCH(BO$26,LCIA_Columns,0)),0)*$AT61*$AH61*$BN$23</f>
        <v>0</v>
      </c>
      <c r="BP61" s="1">
        <f t="array" ref="BP61">IFERROR(INDEX(LCIA_Data,MATCH($AO$15&amp;BP$27,LCIA_Rows_B&amp;LCIA_Rows_C,0),MATCH(BP$26,LCIA_Columns,0)),0)*$AT61*$AH61*$BN$23</f>
        <v>0</v>
      </c>
      <c r="BQ61" s="1">
        <f t="array" ref="BQ61">IFERROR(INDEX(LCIA_Data,MATCH($AO$15&amp;BQ$27,LCIA_Rows_B&amp;LCIA_Rows_C,0),MATCH(BQ$26,LCIA_Columns,0)),0)*$AT61*$AH61*$BN$23</f>
        <v>0</v>
      </c>
      <c r="BR61" s="1">
        <f t="array" ref="BR61">IFERROR(INDEX(LCIA_Data,MATCH($AO$15&amp;BR$27,LCIA_Rows_B&amp;LCIA_Rows_C,0),MATCH(BR$26,LCIA_Columns,0)),0)*$AT61*$AH61*$BN$23</f>
        <v>0</v>
      </c>
      <c r="BS61" s="1">
        <f t="array" ref="BS61">IFERROR(INDEX(LCIA_Data,MATCH($AO$15&amp;BS$27,LCIA_Rows_B&amp;LCIA_Rows_C,0),MATCH(BS$26,LCIA_Columns,0)),0)*$AT61*$AH61*$BN$23</f>
        <v>0</v>
      </c>
      <c r="BT61" s="1">
        <f t="array" ref="BT61">IFERROR(INDEX(LCIA_Data,MATCH($AO$15&amp;BT$27,LCIA_Rows_B&amp;LCIA_Rows_C,0),MATCH(BT$26,LCIA_Columns,0)),0)*$AT61*$AH61*$BN$23</f>
        <v>0</v>
      </c>
      <c r="BU61" s="1">
        <f t="array" ref="BU61">IFERROR(INDEX(LCIA_Data,MATCH($AO$15&amp;BU$27,LCIA_Rows_B&amp;LCIA_Rows_C,0),MATCH(BU$26,LCIA_Columns,0)),0)*$AT61*$AH61*$BN$23</f>
        <v>0</v>
      </c>
      <c r="BV61" s="1">
        <f t="array" ref="BV61">IFERROR(INDEX(LCIA_Data,MATCH($AO$15&amp;BV$27,LCIA_Rows_B&amp;LCIA_Rows_C,0),MATCH(BV$26,LCIA_Columns,0)),0)*$AT61*$AH61*$BN$23</f>
        <v>0</v>
      </c>
      <c r="BW61" s="1">
        <f t="array" ref="BW61">IFERROR(INDEX(LCIA_Data,MATCH($AO$15&amp;BW$27,LCIA_Rows_B&amp;LCIA_Rows_C,0),MATCH(BW$26,LCIA_Columns,0)),0)*$AT61*$AH61*$BN$23</f>
        <v>0</v>
      </c>
      <c r="BX61" s="1">
        <f t="array" ref="BX61">IFERROR(INDEX(LCIA_Data,MATCH($AO$15&amp;BX$27,LCIA_Rows_B&amp;LCIA_Rows_C,0),MATCH(BX$26,LCIA_Columns,0)),0)*$AT61*$AH61*$BN$23</f>
        <v>0</v>
      </c>
      <c r="BY61" s="1">
        <f t="array" ref="BY61">IFERROR(INDEX(LCIA_Data,MATCH($AO$15&amp;BY$27,LCIA_Rows_B&amp;LCIA_Rows_C,0),MATCH(BY$26,LCIA_Columns,0)),0)*$AT61*$AH61*$BN$23</f>
        <v>0</v>
      </c>
      <c r="BZ61" s="1">
        <f t="array" ref="BZ61">IFERROR(INDEX(LCIA_Data,MATCH($AO$15&amp;BZ$27,LCIA_Rows_B&amp;LCIA_Rows_C,0),MATCH(BZ$26,LCIA_Columns,0)),0)*$AT61*$AH61*$BN$23</f>
        <v>0</v>
      </c>
      <c r="CA61" s="1">
        <f t="array" ref="CA61">IFERROR(INDEX(LCIA_Data,MATCH($AO$15&amp;CA$27,LCIA_Rows_B&amp;LCIA_Rows_C,0),MATCH(CA$26,LCIA_Columns,0)),0)*$AT61*$AI61*$BN$23</f>
        <v>0</v>
      </c>
      <c r="CB61" s="1">
        <f t="array" ref="CB61">IFERROR(INDEX(LCIA_Data,MATCH($AO$15&amp;CB$27,LCIA_Rows_B&amp;LCIA_Rows_C,0),MATCH(CB$26,LCIA_Columns,0)),0)*$AT61*$AI61*$BN$23</f>
        <v>0</v>
      </c>
      <c r="CC61" s="1">
        <f t="array" ref="CC61">IFERROR(INDEX(LCIA_Data,MATCH($AO$15&amp;CC$27,LCIA_Rows_B&amp;LCIA_Rows_C,0),MATCH(CC$26,LCIA_Columns,0)),0)*$AT61*$AI61*$BN$23</f>
        <v>0</v>
      </c>
      <c r="CD61" s="1">
        <f t="array" ref="CD61">IFERROR(INDEX(LCIA_Data,MATCH($AO$15&amp;CD$27,LCIA_Rows_B&amp;LCIA_Rows_C,0),MATCH(CD$26,LCIA_Columns,0)),0)*$AT61*$AI61*$BN$23</f>
        <v>0</v>
      </c>
      <c r="CE61" s="1">
        <f t="array" ref="CE61">IFERROR(INDEX(LCIA_Data,MATCH($AO$15&amp;CE$27,LCIA_Rows_B&amp;LCIA_Rows_C,0),MATCH(CE$26,LCIA_Columns,0)),0)*$AT61*$AI61*$BN$23</f>
        <v>0</v>
      </c>
      <c r="CF61" s="1">
        <f t="array" ref="CF61">IFERROR(INDEX(LCIA_Data,MATCH($AO$15&amp;CF$27,LCIA_Rows_B&amp;LCIA_Rows_C,0),MATCH(CF$26,LCIA_Columns,0)),0)*$AT61*$AI61*$BN$23</f>
        <v>0</v>
      </c>
      <c r="CG61" s="1">
        <f t="array" ref="CG61">IFERROR(INDEX(LCIA_Data,MATCH($AO$15&amp;CG$27,LCIA_Rows_B&amp;LCIA_Rows_C,0),MATCH(CG$26,LCIA_Columns,0)),0)*$AT61*$AI61*$BN$23</f>
        <v>0</v>
      </c>
      <c r="CH61" s="1">
        <f t="array" ref="CH61">IFERROR(INDEX(LCIA_Data,MATCH($AO$15&amp;CH$27,LCIA_Rows_B&amp;LCIA_Rows_C,0),MATCH(CH$26,LCIA_Columns,0)),0)*$AT61*$AI61*$BN$23</f>
        <v>0</v>
      </c>
      <c r="CI61" s="1">
        <f t="array" ref="CI61">IFERROR(INDEX(LCIA_Data,MATCH($AO$15&amp;CI$27,LCIA_Rows_B&amp;LCIA_Rows_C,0),MATCH(CI$26,LCIA_Columns,0)),0)*$AT61*$AI61*$BN$23</f>
        <v>0</v>
      </c>
      <c r="CJ61" s="1">
        <f t="array" ref="CJ61">IFERROR(INDEX(LCIA_Data,MATCH($AO$15&amp;CJ$27,LCIA_Rows_B&amp;LCIA_Rows_C,0),MATCH(CJ$26,LCIA_Columns,0)),0)*$AT61*$AI61*$BN$23</f>
        <v>0</v>
      </c>
      <c r="CK61" s="1">
        <f t="array" ref="CK61">IFERROR(INDEX(LCIA_Data,MATCH($AO$15&amp;CK$27,LCIA_Rows_B&amp;LCIA_Rows_C,0),MATCH(CK$26,LCIA_Columns,0)),0)*$AT61*$AI61*$BN$23</f>
        <v>0</v>
      </c>
      <c r="CL61" s="1">
        <f t="array" ref="CL61">IFERROR(INDEX(LCIA_Data,MATCH($AO$15&amp;CL$27,LCIA_Rows_B&amp;LCIA_Rows_C,0),MATCH(CL$26,LCIA_Columns,0)),0)*$AT61*$AI61*$BN$23</f>
        <v>0</v>
      </c>
      <c r="CM61" s="1">
        <f t="array" ref="CM61">IFERROR(INDEX(LCIA_Data,MATCH($AO$15&amp;CM$27,LCIA_Rows_B&amp;LCIA_Rows_C,0),MATCH(CM$26,LCIA_Columns,0)),0)*$AT61*$AJ61*$BN$23</f>
        <v>0</v>
      </c>
      <c r="CN61" s="1">
        <f t="array" ref="CN61">IFERROR(INDEX(LCIA_Data,MATCH($AO$15&amp;CN$27,LCIA_Rows_B&amp;LCIA_Rows_C,0),MATCH(CN$26,LCIA_Columns,0)),0)*$AT61*$AJ61*$BN$23</f>
        <v>0</v>
      </c>
      <c r="CO61" s="1">
        <f t="array" ref="CO61">IFERROR(INDEX(LCIA_Data,MATCH($AO$15&amp;CO$27,LCIA_Rows_B&amp;LCIA_Rows_C,0),MATCH(CO$26,LCIA_Columns,0)),0)*$AT61*$AJ61*$BN$23</f>
        <v>0</v>
      </c>
      <c r="CP61" s="1">
        <f t="array" ref="CP61">IFERROR(INDEX(LCIA_Data,MATCH($AO$15&amp;CP$27,LCIA_Rows_B&amp;LCIA_Rows_C,0),MATCH(CP$26,LCIA_Columns,0)),0)*$AT61*$AJ61*$BN$23</f>
        <v>0</v>
      </c>
      <c r="CQ61" s="1">
        <f t="array" ref="CQ61">IFERROR(INDEX(LCIA_Data,MATCH($AO$15&amp;CQ$27,LCIA_Rows_B&amp;LCIA_Rows_C,0),MATCH(CQ$26,LCIA_Columns,0)),0)*$AT61*$AJ61*$BN$23</f>
        <v>0</v>
      </c>
      <c r="CR61" s="1">
        <f t="array" ref="CR61">IFERROR(INDEX(LCIA_Data,MATCH($AO$15&amp;CR$27,LCIA_Rows_B&amp;LCIA_Rows_C,0),MATCH(CR$26,LCIA_Columns,0)),0)*$AT61*$AJ61*$BN$23</f>
        <v>0</v>
      </c>
      <c r="CS61" s="1">
        <f t="array" ref="CS61">IFERROR(INDEX(LCIA_Data,MATCH($AO$15&amp;CS$27,LCIA_Rows_B&amp;LCIA_Rows_C,0),MATCH(CS$26,LCIA_Columns,0)),0)*$AT61*$AJ61*$BN$23</f>
        <v>0</v>
      </c>
      <c r="CT61" s="1">
        <f t="array" ref="CT61">IFERROR(INDEX(LCIA_Data,MATCH($AO$15&amp;CT$27,LCIA_Rows_B&amp;LCIA_Rows_C,0),MATCH(CT$26,LCIA_Columns,0)),0)*$AT61*$AJ61*$BN$23</f>
        <v>0</v>
      </c>
      <c r="CU61" s="1">
        <f t="array" ref="CU61">IFERROR(INDEX(LCIA_Data,MATCH($AO$15&amp;CU$27,LCIA_Rows_B&amp;LCIA_Rows_C,0),MATCH(CU$26,LCIA_Columns,0)),0)*$AT61*$AJ61*$BN$23</f>
        <v>0</v>
      </c>
      <c r="CV61" s="1">
        <f t="array" ref="CV61">IFERROR(INDEX(LCIA_Data,MATCH($AO$15&amp;CV$27,LCIA_Rows_B&amp;LCIA_Rows_C,0),MATCH(CV$26,LCIA_Columns,0)),0)*$AT61*$AJ61*$BN$23</f>
        <v>0</v>
      </c>
      <c r="CW61" s="1">
        <f t="array" ref="CW61">IFERROR(INDEX(LCIA_Data,MATCH($AO$15&amp;CW$27,LCIA_Rows_B&amp;LCIA_Rows_C,0),MATCH(CW$26,LCIA_Columns,0)),0)*$AT61*$AJ61*$BN$23</f>
        <v>0</v>
      </c>
      <c r="CX61" s="1">
        <f t="array" ref="CX61">IFERROR(INDEX(LCIA_Data,MATCH($AO$15&amp;CX$27,LCIA_Rows_B&amp;LCIA_Rows_C,0),MATCH(CX$26,LCIA_Columns,0)),0)*$AT61*$AJ61*$BN$23</f>
        <v>0</v>
      </c>
      <c r="CY61" s="1">
        <f t="array" ref="CY61">IFERROR(INDEX(LCIA_Data,MATCH($AO$15&amp;CY$27,LCIA_Rows_B&amp;LCIA_Rows_C,0),MATCH(CY$26,LCIA_Columns,0)),0)*$AT61*$AJ61*$BN$23</f>
        <v>0</v>
      </c>
      <c r="CZ61" s="1">
        <f t="array" ref="CZ61">IFERROR(INDEX(LCIA_Data,MATCH($AO$15&amp;CZ$27,LCIA_Rows_B&amp;LCIA_Rows_C,0),MATCH(CZ$26,LCIA_Columns,0)),0)*$AT61*$AJ61*$BN$23</f>
        <v>0</v>
      </c>
      <c r="DA61" s="1">
        <f t="array" ref="DA61">IFERROR(INDEX(LCIA_Data,MATCH($AO$15&amp;DA$27,LCIA_Rows_B&amp;LCIA_Rows_C,0),MATCH(DA$26,LCIA_Columns,0)),0)*$AT61*$AK61*$BN$23</f>
        <v>0</v>
      </c>
      <c r="DB61" s="1">
        <f t="array" ref="DB61">IFERROR(INDEX(LCIA_Data,MATCH($AO$15&amp;DB$27,LCIA_Rows_B&amp;LCIA_Rows_C,0),MATCH(DB$26,LCIA_Columns,0)),0)*$AT61*$AK61*$BN$23</f>
        <v>0</v>
      </c>
      <c r="DC61" s="1">
        <f t="array" ref="DC61">IFERROR(INDEX(LCIA_Data,MATCH($AO$15&amp;DC$27,LCIA_Rows_B&amp;LCIA_Rows_C,0),MATCH(DC$26,LCIA_Columns,0)),0)*$AT61*$AK61*$BN$23</f>
        <v>0</v>
      </c>
      <c r="DD61" s="1">
        <f t="array" ref="DD61">IFERROR(INDEX(LCIA_Data,MATCH($AO$15&amp;DD$27,LCIA_Rows_B&amp;LCIA_Rows_C,0),MATCH(DD$26,LCIA_Columns,0)),0)*$AT61*$AK61*$BN$23</f>
        <v>0</v>
      </c>
      <c r="DE61" s="1">
        <f t="array" ref="DE61">IFERROR(INDEX(LCIA_Data,MATCH($AO$15&amp;DE$27,LCIA_Rows_B&amp;LCIA_Rows_C,0),MATCH(DE$26,LCIA_Columns,0)),0)*$AT61*$AK61*$BN$23</f>
        <v>0</v>
      </c>
      <c r="DF61" s="1">
        <f t="array" ref="DF61">IFERROR(INDEX(LCIA_Data,MATCH($AO$15&amp;DF$27,LCIA_Rows_B&amp;LCIA_Rows_C,0),MATCH(DF$26,LCIA_Columns,0)),0)*$AT61*$AK61*$BN$23</f>
        <v>0</v>
      </c>
      <c r="DG61" s="1">
        <f t="array" ref="DG61">IFERROR(INDEX(LCIA_Data,MATCH($AO$15&amp;DG$27,LCIA_Rows_B&amp;LCIA_Rows_C,0),MATCH(DG$26,LCIA_Columns,0)),0)*$AT61*$AK61*$BN$23</f>
        <v>0</v>
      </c>
      <c r="DH61" s="1">
        <f t="array" ref="DH61">IFERROR(INDEX(LCIA_Data,MATCH($AO$15&amp;DH$27,LCIA_Rows_B&amp;LCIA_Rows_C,0),MATCH(DH$26,LCIA_Columns,0)),0)*$AT61*$AK61*$BN$23</f>
        <v>0</v>
      </c>
      <c r="DI61" s="1">
        <f t="array" ref="DI61">IFERROR(INDEX(LCIA_Data,MATCH($AO$15&amp;DI$27,LCIA_Rows_B&amp;LCIA_Rows_C,0),MATCH(DI$26,LCIA_Columns,0)),0)*$AT61*$AK61*$BN$23</f>
        <v>0</v>
      </c>
      <c r="DJ61" s="1">
        <f t="array" ref="DJ61">IFERROR(INDEX(LCIA_Data,MATCH($AO$15&amp;DJ$27,LCIA_Rows_B&amp;LCIA_Rows_C,0),MATCH(DJ$26,LCIA_Columns,0)),0)*$AT61*$AK61*$BN$23</f>
        <v>0</v>
      </c>
      <c r="DK61" s="1">
        <f t="array" ref="DK61">IFERROR(INDEX(LCIA_Data,MATCH($AO$15&amp;DK$27,LCIA_Rows_B&amp;LCIA_Rows_C,0),MATCH(DK$26,LCIA_Columns,0)),0)*$AT61*$AK61*$BN$23</f>
        <v>0</v>
      </c>
      <c r="DL61" s="1">
        <f t="array" ref="DL61">IFERROR(INDEX(LCIA_Data,MATCH($AO$15&amp;DL$27,LCIA_Rows_B&amp;LCIA_Rows_C,0),MATCH(DL$26,LCIA_Columns,0)),0)*$AT61*$AK61*$BN$23</f>
        <v>0</v>
      </c>
      <c r="DM61" s="1">
        <f t="array" ref="DM61">IFERROR(INDEX(LCIA_Data,MATCH($AO$15&amp;DM$27,LCIA_Rows_B&amp;LCIA_Rows_C,0),MATCH(DM$26,LCIA_Columns,0)),0)*$AT61*$AK61*$BN$23</f>
        <v>0</v>
      </c>
      <c r="DN61" s="1">
        <f t="array" ref="DN61">IFERROR(INDEX(LCIA_Data,MATCH($AO$15&amp;DN$27,LCIA_Rows_B&amp;LCIA_Rows_C,0),MATCH(DN$26,LCIA_Columns,0)),0)*$AT61*$AK61*$BN$23</f>
        <v>0</v>
      </c>
      <c r="DO61">
        <f t="shared" si="41"/>
        <v>0</v>
      </c>
      <c r="DP61">
        <f t="shared" si="41"/>
        <v>0</v>
      </c>
      <c r="DQ61">
        <f t="shared" si="41"/>
        <v>0</v>
      </c>
      <c r="DR61">
        <f t="shared" si="41"/>
        <v>0</v>
      </c>
      <c r="DS61">
        <f t="shared" si="41"/>
        <v>0</v>
      </c>
      <c r="DT61">
        <f t="shared" si="41"/>
        <v>0</v>
      </c>
      <c r="DU61">
        <f t="shared" si="41"/>
        <v>0</v>
      </c>
      <c r="DV61">
        <f t="shared" si="41"/>
        <v>0</v>
      </c>
      <c r="DW61">
        <f t="shared" si="40"/>
        <v>0</v>
      </c>
      <c r="DX61">
        <f t="shared" si="40"/>
        <v>0</v>
      </c>
      <c r="DY61">
        <f t="shared" si="40"/>
        <v>0</v>
      </c>
      <c r="DZ61">
        <f t="shared" si="40"/>
        <v>0</v>
      </c>
      <c r="EA61">
        <f t="shared" si="40"/>
        <v>0</v>
      </c>
      <c r="EB61">
        <f t="shared" si="21"/>
        <v>0</v>
      </c>
      <c r="EC61"/>
      <c r="ED61"/>
      <c r="EE61"/>
      <c r="EF61"/>
      <c r="EG61"/>
    </row>
    <row r="62" spans="2:137" ht="15" customHeight="1">
      <c r="B62" s="53">
        <f t="shared" si="29"/>
        <v>0</v>
      </c>
      <c r="C62" s="26">
        <f t="shared" si="22"/>
        <v>33</v>
      </c>
      <c r="D62" s="46" t="str">
        <f>'Plant Inputs'!$D62</f>
        <v>Natural Stone</v>
      </c>
      <c r="E62" s="99"/>
      <c r="F62" s="119" t="str">
        <f>MassDisplayUnit</f>
        <v>short ton</v>
      </c>
      <c r="G62" s="158">
        <f t="shared" si="26"/>
        <v>0</v>
      </c>
      <c r="H62" s="204" t="str">
        <f t="shared" si="7"/>
        <v>short ton</v>
      </c>
      <c r="I62" s="156">
        <f t="shared" si="8"/>
        <v>0</v>
      </c>
      <c r="J62"/>
      <c r="K62"/>
      <c r="L62"/>
      <c r="M62"/>
      <c r="N62"/>
      <c r="O62"/>
      <c r="P62"/>
      <c r="Q62"/>
      <c r="R62"/>
      <c r="S62"/>
      <c r="T62"/>
      <c r="X62" s="67">
        <f t="shared" si="30"/>
        <v>0</v>
      </c>
      <c r="Y62" s="216">
        <f>IF(AND($X62=1,'Plant Inputs'!$Y62=1),1,0)</f>
        <v>0</v>
      </c>
      <c r="Z62" s="216"/>
      <c r="AA62" s="216">
        <f>IF($Y62=0,0,IF('Plant Inputs'!J62="",0,'Plant Inputs'!J62))</f>
        <v>0</v>
      </c>
      <c r="AB62" s="216">
        <f>IF($Y62=0,0,IF('Plant Inputs'!K62="",0,'Plant Inputs'!K62))</f>
        <v>0</v>
      </c>
      <c r="AC62" s="216">
        <f>IF($Y62=0,0,IF('Plant Inputs'!L62="",0,'Plant Inputs'!L62))</f>
        <v>0</v>
      </c>
      <c r="AD62" s="216">
        <f>IF($Y62=0,0,IF('Plant Inputs'!M62="",0,'Plant Inputs'!M62))</f>
        <v>0</v>
      </c>
      <c r="AE62" s="217" t="str">
        <f>'Plant Inputs'!$O62</f>
        <v>mile</v>
      </c>
      <c r="AF62" s="217">
        <f t="shared" si="9"/>
        <v>1.6093473468862911</v>
      </c>
      <c r="AG62" s="216" t="str">
        <f t="shared" si="23"/>
        <v>km/mile</v>
      </c>
      <c r="AH62" s="216">
        <f t="shared" si="42"/>
        <v>0</v>
      </c>
      <c r="AI62" s="216">
        <f t="shared" si="42"/>
        <v>0</v>
      </c>
      <c r="AJ62" s="216">
        <f t="shared" si="42"/>
        <v>0</v>
      </c>
      <c r="AK62" s="216">
        <f t="shared" si="42"/>
        <v>0</v>
      </c>
      <c r="AL62" s="216"/>
      <c r="AM62" s="1" t="str">
        <f t="shared" si="32"/>
        <v>Natural Stone</v>
      </c>
      <c r="AN62" t="s">
        <v>127</v>
      </c>
      <c r="AO62">
        <f t="shared" si="33"/>
        <v>0</v>
      </c>
      <c r="AP62" s="1">
        <f t="shared" si="24"/>
        <v>0</v>
      </c>
      <c r="AQ62" s="1" t="str">
        <f t="shared" si="34"/>
        <v>short ton</v>
      </c>
      <c r="AR62" s="1">
        <f t="shared" si="14"/>
        <v>0.90718499588591606</v>
      </c>
      <c r="AS62" s="87" t="str">
        <f t="shared" si="35"/>
        <v>tonne/short ton</v>
      </c>
      <c r="AT62" s="87">
        <f t="shared" si="36"/>
        <v>0</v>
      </c>
      <c r="AU62" s="87">
        <f t="shared" si="37"/>
        <v>0</v>
      </c>
      <c r="AV62" s="87">
        <f t="shared" si="18"/>
        <v>0</v>
      </c>
      <c r="AW62" t="str">
        <f t="shared" si="38"/>
        <v>Natural Stone</v>
      </c>
      <c r="AX62" s="148">
        <f t="array" ref="AX62">IFERROR(INDEX(LCIA_Data,MATCH($AO$15&amp;AX$27,LCIA_Rows_B&amp;LCIA_Rows_C,0),MATCH($D62,LCIA_Columns,0)),0)*$AU62</f>
        <v>0</v>
      </c>
      <c r="AY62" s="148">
        <f t="array" ref="AY62">IFERROR(INDEX(LCIA_Data,MATCH($AO$15&amp;AY$27,LCIA_Rows_B&amp;LCIA_Rows_C,0),MATCH($D62,LCIA_Columns,0)),0)*$AU62</f>
        <v>0</v>
      </c>
      <c r="AZ62" s="148">
        <f t="array" ref="AZ62">IFERROR(INDEX(LCIA_Data,MATCH($AO$15&amp;AZ$27,LCIA_Rows_B&amp;LCIA_Rows_C,0),MATCH($D62,LCIA_Columns,0)),0)*$AU62</f>
        <v>0</v>
      </c>
      <c r="BA62" s="148">
        <f t="array" ref="BA62">IFERROR(INDEX(LCIA_Data,MATCH($AO$15&amp;BA$27,LCIA_Rows_B&amp;LCIA_Rows_C,0),MATCH($D62,LCIA_Columns,0)),0)*$AU62</f>
        <v>0</v>
      </c>
      <c r="BB62" s="148">
        <f t="array" ref="BB62">IFERROR(INDEX(LCIA_Data,MATCH($AO$15&amp;BB$27,LCIA_Rows_B&amp;LCIA_Rows_C,0),MATCH($D62,LCIA_Columns,0)),0)*$AU62</f>
        <v>0</v>
      </c>
      <c r="BC62" s="148">
        <f t="array" ref="BC62">IFERROR(INDEX(LCIA_Data,MATCH($AO$15&amp;BC$27,LCIA_Rows_B&amp;LCIA_Rows_C,0),MATCH($D62,LCIA_Columns,0)),0)*$AU62</f>
        <v>0</v>
      </c>
      <c r="BD62" s="148">
        <f t="array" ref="BD62">IFERROR(INDEX(LCIA_Data,MATCH($AO$15&amp;BD$27,LCIA_Rows_B&amp;LCIA_Rows_C,0),MATCH($D62,LCIA_Columns,0)),0)*$AU62</f>
        <v>0</v>
      </c>
      <c r="BE62" s="148">
        <f t="array" ref="BE62">IFERROR(INDEX(LCIA_Data,MATCH($AO$15&amp;BE$27,LCIA_Rows_B&amp;LCIA_Rows_C,0),MATCH($D62,LCIA_Columns,0)),0)*$AU62</f>
        <v>0</v>
      </c>
      <c r="BF62" s="148">
        <f t="array" ref="BF62">IFERROR(INDEX(LCIA_Data,MATCH($AO$15&amp;BF$27,LCIA_Rows_B&amp;LCIA_Rows_C,0),MATCH($D62,LCIA_Columns,0)),0)*$AU62</f>
        <v>0</v>
      </c>
      <c r="BG62" s="148">
        <f t="array" ref="BG62">IFERROR(INDEX(LCIA_Data,MATCH($AO$15&amp;BG$27,LCIA_Rows_B&amp;LCIA_Rows_C,0),MATCH($D62,LCIA_Columns,0)),0)*$AU62</f>
        <v>0</v>
      </c>
      <c r="BH62" s="148">
        <f t="array" ref="BH62">IFERROR(INDEX(LCIA_Data,MATCH($AO$15&amp;BH$27,LCIA_Rows_B&amp;LCIA_Rows_C,0),MATCH($D62,LCIA_Columns,0)),0)*$AU62</f>
        <v>0</v>
      </c>
      <c r="BI62" s="148">
        <f t="array" ref="BI62">IFERROR(INDEX(LCIA_Data,MATCH($AO$15&amp;BI$27,LCIA_Rows_B&amp;LCIA_Rows_C,0),MATCH($D62,LCIA_Columns,0)),0)*$AU62</f>
        <v>0</v>
      </c>
      <c r="BJ62" s="148">
        <f t="array" ref="BJ62">IFERROR(INDEX(LCIA_Data,MATCH($AO$15&amp;BJ$27,LCIA_Rows_B&amp;LCIA_Rows_C,0),MATCH($D62,LCIA_Columns,0)),0)*$AU62</f>
        <v>0</v>
      </c>
      <c r="BK62" s="148">
        <f t="array" ref="BK62">IFERROR(INDEX(LCIA_Data,MATCH($AO$15&amp;BK$27,LCIA_Rows_B&amp;LCIA_Rows_C,0),MATCH($D62,LCIA_Columns,0)),0)*$AU62</f>
        <v>0</v>
      </c>
      <c r="BM62" s="1">
        <f t="array" ref="BM62">IFERROR(INDEX(LCIA_Data,MATCH($AO$15&amp;BM$27,LCIA_Rows_B&amp;LCIA_Rows_C,0),MATCH(BM$26,LCIA_Columns,0)),0)*$AT62*$AH62*$BN$23</f>
        <v>0</v>
      </c>
      <c r="BN62" s="1">
        <f t="array" ref="BN62">IFERROR(INDEX(LCIA_Data,MATCH($AO$15&amp;BN$27,LCIA_Rows_B&amp;LCIA_Rows_C,0),MATCH(BN$26,LCIA_Columns,0)),0)*$AT62*$AH62*$BN$23</f>
        <v>0</v>
      </c>
      <c r="BO62" s="1">
        <f t="array" ref="BO62">IFERROR(INDEX(LCIA_Data,MATCH($AO$15&amp;BO$27,LCIA_Rows_B&amp;LCIA_Rows_C,0),MATCH(BO$26,LCIA_Columns,0)),0)*$AT62*$AH62*$BN$23</f>
        <v>0</v>
      </c>
      <c r="BP62" s="1">
        <f t="array" ref="BP62">IFERROR(INDEX(LCIA_Data,MATCH($AO$15&amp;BP$27,LCIA_Rows_B&amp;LCIA_Rows_C,0),MATCH(BP$26,LCIA_Columns,0)),0)*$AT62*$AH62*$BN$23</f>
        <v>0</v>
      </c>
      <c r="BQ62" s="1">
        <f t="array" ref="BQ62">IFERROR(INDEX(LCIA_Data,MATCH($AO$15&amp;BQ$27,LCIA_Rows_B&amp;LCIA_Rows_C,0),MATCH(BQ$26,LCIA_Columns,0)),0)*$AT62*$AH62*$BN$23</f>
        <v>0</v>
      </c>
      <c r="BR62" s="1">
        <f t="array" ref="BR62">IFERROR(INDEX(LCIA_Data,MATCH($AO$15&amp;BR$27,LCIA_Rows_B&amp;LCIA_Rows_C,0),MATCH(BR$26,LCIA_Columns,0)),0)*$AT62*$AH62*$BN$23</f>
        <v>0</v>
      </c>
      <c r="BS62" s="1">
        <f t="array" ref="BS62">IFERROR(INDEX(LCIA_Data,MATCH($AO$15&amp;BS$27,LCIA_Rows_B&amp;LCIA_Rows_C,0),MATCH(BS$26,LCIA_Columns,0)),0)*$AT62*$AH62*$BN$23</f>
        <v>0</v>
      </c>
      <c r="BT62" s="1">
        <f t="array" ref="BT62">IFERROR(INDEX(LCIA_Data,MATCH($AO$15&amp;BT$27,LCIA_Rows_B&amp;LCIA_Rows_C,0),MATCH(BT$26,LCIA_Columns,0)),0)*$AT62*$AH62*$BN$23</f>
        <v>0</v>
      </c>
      <c r="BU62" s="1">
        <f t="array" ref="BU62">IFERROR(INDEX(LCIA_Data,MATCH($AO$15&amp;BU$27,LCIA_Rows_B&amp;LCIA_Rows_C,0),MATCH(BU$26,LCIA_Columns,0)),0)*$AT62*$AH62*$BN$23</f>
        <v>0</v>
      </c>
      <c r="BV62" s="1">
        <f t="array" ref="BV62">IFERROR(INDEX(LCIA_Data,MATCH($AO$15&amp;BV$27,LCIA_Rows_B&amp;LCIA_Rows_C,0),MATCH(BV$26,LCIA_Columns,0)),0)*$AT62*$AH62*$BN$23</f>
        <v>0</v>
      </c>
      <c r="BW62" s="1">
        <f t="array" ref="BW62">IFERROR(INDEX(LCIA_Data,MATCH($AO$15&amp;BW$27,LCIA_Rows_B&amp;LCIA_Rows_C,0),MATCH(BW$26,LCIA_Columns,0)),0)*$AT62*$AH62*$BN$23</f>
        <v>0</v>
      </c>
      <c r="BX62" s="1">
        <f t="array" ref="BX62">IFERROR(INDEX(LCIA_Data,MATCH($AO$15&amp;BX$27,LCIA_Rows_B&amp;LCIA_Rows_C,0),MATCH(BX$26,LCIA_Columns,0)),0)*$AT62*$AH62*$BN$23</f>
        <v>0</v>
      </c>
      <c r="BY62" s="1">
        <f t="array" ref="BY62">IFERROR(INDEX(LCIA_Data,MATCH($AO$15&amp;BY$27,LCIA_Rows_B&amp;LCIA_Rows_C,0),MATCH(BY$26,LCIA_Columns,0)),0)*$AT62*$AH62*$BN$23</f>
        <v>0</v>
      </c>
      <c r="BZ62" s="1">
        <f t="array" ref="BZ62">IFERROR(INDEX(LCIA_Data,MATCH($AO$15&amp;BZ$27,LCIA_Rows_B&amp;LCIA_Rows_C,0),MATCH(BZ$26,LCIA_Columns,0)),0)*$AT62*$AH62*$BN$23</f>
        <v>0</v>
      </c>
      <c r="CA62" s="1">
        <f t="array" ref="CA62">IFERROR(INDEX(LCIA_Data,MATCH($AO$15&amp;CA$27,LCIA_Rows_B&amp;LCIA_Rows_C,0),MATCH(CA$26,LCIA_Columns,0)),0)*$AT62*$AI62*$BN$23</f>
        <v>0</v>
      </c>
      <c r="CB62" s="1">
        <f t="array" ref="CB62">IFERROR(INDEX(LCIA_Data,MATCH($AO$15&amp;CB$27,LCIA_Rows_B&amp;LCIA_Rows_C,0),MATCH(CB$26,LCIA_Columns,0)),0)*$AT62*$AI62*$BN$23</f>
        <v>0</v>
      </c>
      <c r="CC62" s="1">
        <f t="array" ref="CC62">IFERROR(INDEX(LCIA_Data,MATCH($AO$15&amp;CC$27,LCIA_Rows_B&amp;LCIA_Rows_C,0),MATCH(CC$26,LCIA_Columns,0)),0)*$AT62*$AI62*$BN$23</f>
        <v>0</v>
      </c>
      <c r="CD62" s="1">
        <f t="array" ref="CD62">IFERROR(INDEX(LCIA_Data,MATCH($AO$15&amp;CD$27,LCIA_Rows_B&amp;LCIA_Rows_C,0),MATCH(CD$26,LCIA_Columns,0)),0)*$AT62*$AI62*$BN$23</f>
        <v>0</v>
      </c>
      <c r="CE62" s="1">
        <f t="array" ref="CE62">IFERROR(INDEX(LCIA_Data,MATCH($AO$15&amp;CE$27,LCIA_Rows_B&amp;LCIA_Rows_C,0),MATCH(CE$26,LCIA_Columns,0)),0)*$AT62*$AI62*$BN$23</f>
        <v>0</v>
      </c>
      <c r="CF62" s="1">
        <f t="array" ref="CF62">IFERROR(INDEX(LCIA_Data,MATCH($AO$15&amp;CF$27,LCIA_Rows_B&amp;LCIA_Rows_C,0),MATCH(CF$26,LCIA_Columns,0)),0)*$AT62*$AI62*$BN$23</f>
        <v>0</v>
      </c>
      <c r="CG62" s="1">
        <f t="array" ref="CG62">IFERROR(INDEX(LCIA_Data,MATCH($AO$15&amp;CG$27,LCIA_Rows_B&amp;LCIA_Rows_C,0),MATCH(CG$26,LCIA_Columns,0)),0)*$AT62*$AI62*$BN$23</f>
        <v>0</v>
      </c>
      <c r="CH62" s="1">
        <f t="array" ref="CH62">IFERROR(INDEX(LCIA_Data,MATCH($AO$15&amp;CH$27,LCIA_Rows_B&amp;LCIA_Rows_C,0),MATCH(CH$26,LCIA_Columns,0)),0)*$AT62*$AI62*$BN$23</f>
        <v>0</v>
      </c>
      <c r="CI62" s="1">
        <f t="array" ref="CI62">IFERROR(INDEX(LCIA_Data,MATCH($AO$15&amp;CI$27,LCIA_Rows_B&amp;LCIA_Rows_C,0),MATCH(CI$26,LCIA_Columns,0)),0)*$AT62*$AI62*$BN$23</f>
        <v>0</v>
      </c>
      <c r="CJ62" s="1">
        <f t="array" ref="CJ62">IFERROR(INDEX(LCIA_Data,MATCH($AO$15&amp;CJ$27,LCIA_Rows_B&amp;LCIA_Rows_C,0),MATCH(CJ$26,LCIA_Columns,0)),0)*$AT62*$AI62*$BN$23</f>
        <v>0</v>
      </c>
      <c r="CK62" s="1">
        <f t="array" ref="CK62">IFERROR(INDEX(LCIA_Data,MATCH($AO$15&amp;CK$27,LCIA_Rows_B&amp;LCIA_Rows_C,0),MATCH(CK$26,LCIA_Columns,0)),0)*$AT62*$AI62*$BN$23</f>
        <v>0</v>
      </c>
      <c r="CL62" s="1">
        <f t="array" ref="CL62">IFERROR(INDEX(LCIA_Data,MATCH($AO$15&amp;CL$27,LCIA_Rows_B&amp;LCIA_Rows_C,0),MATCH(CL$26,LCIA_Columns,0)),0)*$AT62*$AI62*$BN$23</f>
        <v>0</v>
      </c>
      <c r="CM62" s="1">
        <f t="array" ref="CM62">IFERROR(INDEX(LCIA_Data,MATCH($AO$15&amp;CM$27,LCIA_Rows_B&amp;LCIA_Rows_C,0),MATCH(CM$26,LCIA_Columns,0)),0)*$AT62*$AJ62*$BN$23</f>
        <v>0</v>
      </c>
      <c r="CN62" s="1">
        <f t="array" ref="CN62">IFERROR(INDEX(LCIA_Data,MATCH($AO$15&amp;CN$27,LCIA_Rows_B&amp;LCIA_Rows_C,0),MATCH(CN$26,LCIA_Columns,0)),0)*$AT62*$AJ62*$BN$23</f>
        <v>0</v>
      </c>
      <c r="CO62" s="1">
        <f t="array" ref="CO62">IFERROR(INDEX(LCIA_Data,MATCH($AO$15&amp;CO$27,LCIA_Rows_B&amp;LCIA_Rows_C,0),MATCH(CO$26,LCIA_Columns,0)),0)*$AT62*$AJ62*$BN$23</f>
        <v>0</v>
      </c>
      <c r="CP62" s="1">
        <f t="array" ref="CP62">IFERROR(INDEX(LCIA_Data,MATCH($AO$15&amp;CP$27,LCIA_Rows_B&amp;LCIA_Rows_C,0),MATCH(CP$26,LCIA_Columns,0)),0)*$AT62*$AJ62*$BN$23</f>
        <v>0</v>
      </c>
      <c r="CQ62" s="1">
        <f t="array" ref="CQ62">IFERROR(INDEX(LCIA_Data,MATCH($AO$15&amp;CQ$27,LCIA_Rows_B&amp;LCIA_Rows_C,0),MATCH(CQ$26,LCIA_Columns,0)),0)*$AT62*$AJ62*$BN$23</f>
        <v>0</v>
      </c>
      <c r="CR62" s="1">
        <f t="array" ref="CR62">IFERROR(INDEX(LCIA_Data,MATCH($AO$15&amp;CR$27,LCIA_Rows_B&amp;LCIA_Rows_C,0),MATCH(CR$26,LCIA_Columns,0)),0)*$AT62*$AJ62*$BN$23</f>
        <v>0</v>
      </c>
      <c r="CS62" s="1">
        <f t="array" ref="CS62">IFERROR(INDEX(LCIA_Data,MATCH($AO$15&amp;CS$27,LCIA_Rows_B&amp;LCIA_Rows_C,0),MATCH(CS$26,LCIA_Columns,0)),0)*$AT62*$AJ62*$BN$23</f>
        <v>0</v>
      </c>
      <c r="CT62" s="1">
        <f t="array" ref="CT62">IFERROR(INDEX(LCIA_Data,MATCH($AO$15&amp;CT$27,LCIA_Rows_B&amp;LCIA_Rows_C,0),MATCH(CT$26,LCIA_Columns,0)),0)*$AT62*$AJ62*$BN$23</f>
        <v>0</v>
      </c>
      <c r="CU62" s="1">
        <f t="array" ref="CU62">IFERROR(INDEX(LCIA_Data,MATCH($AO$15&amp;CU$27,LCIA_Rows_B&amp;LCIA_Rows_C,0),MATCH(CU$26,LCIA_Columns,0)),0)*$AT62*$AJ62*$BN$23</f>
        <v>0</v>
      </c>
      <c r="CV62" s="1">
        <f t="array" ref="CV62">IFERROR(INDEX(LCIA_Data,MATCH($AO$15&amp;CV$27,LCIA_Rows_B&amp;LCIA_Rows_C,0),MATCH(CV$26,LCIA_Columns,0)),0)*$AT62*$AJ62*$BN$23</f>
        <v>0</v>
      </c>
      <c r="CW62" s="1">
        <f t="array" ref="CW62">IFERROR(INDEX(LCIA_Data,MATCH($AO$15&amp;CW$27,LCIA_Rows_B&amp;LCIA_Rows_C,0),MATCH(CW$26,LCIA_Columns,0)),0)*$AT62*$AJ62*$BN$23</f>
        <v>0</v>
      </c>
      <c r="CX62" s="1">
        <f t="array" ref="CX62">IFERROR(INDEX(LCIA_Data,MATCH($AO$15&amp;CX$27,LCIA_Rows_B&amp;LCIA_Rows_C,0),MATCH(CX$26,LCIA_Columns,0)),0)*$AT62*$AJ62*$BN$23</f>
        <v>0</v>
      </c>
      <c r="CY62" s="1">
        <f t="array" ref="CY62">IFERROR(INDEX(LCIA_Data,MATCH($AO$15&amp;CY$27,LCIA_Rows_B&amp;LCIA_Rows_C,0),MATCH(CY$26,LCIA_Columns,0)),0)*$AT62*$AJ62*$BN$23</f>
        <v>0</v>
      </c>
      <c r="CZ62" s="1">
        <f t="array" ref="CZ62">IFERROR(INDEX(LCIA_Data,MATCH($AO$15&amp;CZ$27,LCIA_Rows_B&amp;LCIA_Rows_C,0),MATCH(CZ$26,LCIA_Columns,0)),0)*$AT62*$AJ62*$BN$23</f>
        <v>0</v>
      </c>
      <c r="DA62" s="1">
        <f t="array" ref="DA62">IFERROR(INDEX(LCIA_Data,MATCH($AO$15&amp;DA$27,LCIA_Rows_B&amp;LCIA_Rows_C,0),MATCH(DA$26,LCIA_Columns,0)),0)*$AT62*$AK62*$BN$23</f>
        <v>0</v>
      </c>
      <c r="DB62" s="1">
        <f t="array" ref="DB62">IFERROR(INDEX(LCIA_Data,MATCH($AO$15&amp;DB$27,LCIA_Rows_B&amp;LCIA_Rows_C,0),MATCH(DB$26,LCIA_Columns,0)),0)*$AT62*$AK62*$BN$23</f>
        <v>0</v>
      </c>
      <c r="DC62" s="1">
        <f t="array" ref="DC62">IFERROR(INDEX(LCIA_Data,MATCH($AO$15&amp;DC$27,LCIA_Rows_B&amp;LCIA_Rows_C,0),MATCH(DC$26,LCIA_Columns,0)),0)*$AT62*$AK62*$BN$23</f>
        <v>0</v>
      </c>
      <c r="DD62" s="1">
        <f t="array" ref="DD62">IFERROR(INDEX(LCIA_Data,MATCH($AO$15&amp;DD$27,LCIA_Rows_B&amp;LCIA_Rows_C,0),MATCH(DD$26,LCIA_Columns,0)),0)*$AT62*$AK62*$BN$23</f>
        <v>0</v>
      </c>
      <c r="DE62" s="1">
        <f t="array" ref="DE62">IFERROR(INDEX(LCIA_Data,MATCH($AO$15&amp;DE$27,LCIA_Rows_B&amp;LCIA_Rows_C,0),MATCH(DE$26,LCIA_Columns,0)),0)*$AT62*$AK62*$BN$23</f>
        <v>0</v>
      </c>
      <c r="DF62" s="1">
        <f t="array" ref="DF62">IFERROR(INDEX(LCIA_Data,MATCH($AO$15&amp;DF$27,LCIA_Rows_B&amp;LCIA_Rows_C,0),MATCH(DF$26,LCIA_Columns,0)),0)*$AT62*$AK62*$BN$23</f>
        <v>0</v>
      </c>
      <c r="DG62" s="1">
        <f t="array" ref="DG62">IFERROR(INDEX(LCIA_Data,MATCH($AO$15&amp;DG$27,LCIA_Rows_B&amp;LCIA_Rows_C,0),MATCH(DG$26,LCIA_Columns,0)),0)*$AT62*$AK62*$BN$23</f>
        <v>0</v>
      </c>
      <c r="DH62" s="1">
        <f t="array" ref="DH62">IFERROR(INDEX(LCIA_Data,MATCH($AO$15&amp;DH$27,LCIA_Rows_B&amp;LCIA_Rows_C,0),MATCH(DH$26,LCIA_Columns,0)),0)*$AT62*$AK62*$BN$23</f>
        <v>0</v>
      </c>
      <c r="DI62" s="1">
        <f t="array" ref="DI62">IFERROR(INDEX(LCIA_Data,MATCH($AO$15&amp;DI$27,LCIA_Rows_B&amp;LCIA_Rows_C,0),MATCH(DI$26,LCIA_Columns,0)),0)*$AT62*$AK62*$BN$23</f>
        <v>0</v>
      </c>
      <c r="DJ62" s="1">
        <f t="array" ref="DJ62">IFERROR(INDEX(LCIA_Data,MATCH($AO$15&amp;DJ$27,LCIA_Rows_B&amp;LCIA_Rows_C,0),MATCH(DJ$26,LCIA_Columns,0)),0)*$AT62*$AK62*$BN$23</f>
        <v>0</v>
      </c>
      <c r="DK62" s="1">
        <f t="array" ref="DK62">IFERROR(INDEX(LCIA_Data,MATCH($AO$15&amp;DK$27,LCIA_Rows_B&amp;LCIA_Rows_C,0),MATCH(DK$26,LCIA_Columns,0)),0)*$AT62*$AK62*$BN$23</f>
        <v>0</v>
      </c>
      <c r="DL62" s="1">
        <f t="array" ref="DL62">IFERROR(INDEX(LCIA_Data,MATCH($AO$15&amp;DL$27,LCIA_Rows_B&amp;LCIA_Rows_C,0),MATCH(DL$26,LCIA_Columns,0)),0)*$AT62*$AK62*$BN$23</f>
        <v>0</v>
      </c>
      <c r="DM62" s="1">
        <f t="array" ref="DM62">IFERROR(INDEX(LCIA_Data,MATCH($AO$15&amp;DM$27,LCIA_Rows_B&amp;LCIA_Rows_C,0),MATCH(DM$26,LCIA_Columns,0)),0)*$AT62*$AK62*$BN$23</f>
        <v>0</v>
      </c>
      <c r="DN62" s="1">
        <f t="array" ref="DN62">IFERROR(INDEX(LCIA_Data,MATCH($AO$15&amp;DN$27,LCIA_Rows_B&amp;LCIA_Rows_C,0),MATCH(DN$26,LCIA_Columns,0)),0)*$AT62*$AK62*$BN$23</f>
        <v>0</v>
      </c>
      <c r="DO62">
        <f t="shared" si="41"/>
        <v>0</v>
      </c>
      <c r="DP62">
        <f t="shared" si="41"/>
        <v>0</v>
      </c>
      <c r="DQ62">
        <f t="shared" si="41"/>
        <v>0</v>
      </c>
      <c r="DR62">
        <f t="shared" si="41"/>
        <v>0</v>
      </c>
      <c r="DS62">
        <f t="shared" si="41"/>
        <v>0</v>
      </c>
      <c r="DT62">
        <f t="shared" si="41"/>
        <v>0</v>
      </c>
      <c r="DU62">
        <f t="shared" si="41"/>
        <v>0</v>
      </c>
      <c r="DV62">
        <f t="shared" si="41"/>
        <v>0</v>
      </c>
      <c r="DW62">
        <f t="shared" si="40"/>
        <v>0</v>
      </c>
      <c r="DX62">
        <f t="shared" si="40"/>
        <v>0</v>
      </c>
      <c r="DY62">
        <f t="shared" si="40"/>
        <v>0</v>
      </c>
      <c r="DZ62">
        <f t="shared" si="40"/>
        <v>0</v>
      </c>
      <c r="EA62">
        <f t="shared" si="40"/>
        <v>0</v>
      </c>
      <c r="EB62">
        <f t="shared" si="21"/>
        <v>0</v>
      </c>
      <c r="EC62"/>
      <c r="ED62"/>
      <c r="EE62"/>
      <c r="EF62"/>
      <c r="EG62"/>
    </row>
    <row r="63" spans="2:137" ht="15" customHeight="1" thickBot="1">
      <c r="B63" s="53">
        <f t="shared" si="29"/>
        <v>0</v>
      </c>
      <c r="C63" s="32">
        <f t="shared" si="22"/>
        <v>34</v>
      </c>
      <c r="D63" s="47" t="str">
        <f>'Plant Inputs'!$D63</f>
        <v>Pigments</v>
      </c>
      <c r="E63" s="102"/>
      <c r="F63" s="231" t="str">
        <f>MassDisplayUnit</f>
        <v>short ton</v>
      </c>
      <c r="G63" s="228">
        <f t="shared" si="26"/>
        <v>0</v>
      </c>
      <c r="H63" s="227" t="str">
        <f t="shared" si="7"/>
        <v>short ton</v>
      </c>
      <c r="I63" s="157">
        <f t="shared" si="8"/>
        <v>0</v>
      </c>
      <c r="J63"/>
      <c r="K63"/>
      <c r="L63"/>
      <c r="M63"/>
      <c r="N63"/>
      <c r="O63"/>
      <c r="P63"/>
      <c r="Q63"/>
      <c r="R63"/>
      <c r="S63"/>
      <c r="T63"/>
      <c r="X63" s="67">
        <f t="shared" si="30"/>
        <v>0</v>
      </c>
      <c r="Y63" s="216">
        <f>IF(AND($X63=1,'Plant Inputs'!$Y63=1),1,0)</f>
        <v>0</v>
      </c>
      <c r="Z63" s="216"/>
      <c r="AA63" s="216">
        <f>IF($Y63=0,0,IF('Plant Inputs'!J63="",0,'Plant Inputs'!J63))</f>
        <v>0</v>
      </c>
      <c r="AB63" s="216">
        <f>IF($Y63=0,0,IF('Plant Inputs'!K63="",0,'Plant Inputs'!K63))</f>
        <v>0</v>
      </c>
      <c r="AC63" s="216">
        <f>IF($Y63=0,0,IF('Plant Inputs'!L63="",0,'Plant Inputs'!L63))</f>
        <v>0</v>
      </c>
      <c r="AD63" s="216">
        <f>IF($Y63=0,0,IF('Plant Inputs'!M63="",0,'Plant Inputs'!M63))</f>
        <v>0</v>
      </c>
      <c r="AE63" s="217" t="str">
        <f>'Plant Inputs'!$O63</f>
        <v>mile</v>
      </c>
      <c r="AF63" s="217">
        <f t="shared" si="9"/>
        <v>1.6093473468862911</v>
      </c>
      <c r="AG63" s="216" t="str">
        <f t="shared" si="23"/>
        <v>km/mile</v>
      </c>
      <c r="AH63" s="216">
        <f t="shared" si="42"/>
        <v>0</v>
      </c>
      <c r="AI63" s="216">
        <f t="shared" si="42"/>
        <v>0</v>
      </c>
      <c r="AJ63" s="216">
        <f t="shared" si="42"/>
        <v>0</v>
      </c>
      <c r="AK63" s="216">
        <f t="shared" si="42"/>
        <v>0</v>
      </c>
      <c r="AL63" s="216"/>
      <c r="AM63" s="1" t="str">
        <f t="shared" si="32"/>
        <v>Pigments</v>
      </c>
      <c r="AN63" t="s">
        <v>127</v>
      </c>
      <c r="AO63">
        <f t="shared" si="33"/>
        <v>0</v>
      </c>
      <c r="AP63" s="1">
        <f t="shared" si="24"/>
        <v>0</v>
      </c>
      <c r="AQ63" s="1" t="str">
        <f t="shared" si="34"/>
        <v>short ton</v>
      </c>
      <c r="AR63" s="1">
        <f t="shared" si="14"/>
        <v>0.90718499588591606</v>
      </c>
      <c r="AS63" s="87" t="str">
        <f t="shared" si="35"/>
        <v>tonne/short ton</v>
      </c>
      <c r="AT63" s="87">
        <f t="shared" si="36"/>
        <v>0</v>
      </c>
      <c r="AU63" s="87">
        <f t="shared" si="37"/>
        <v>0</v>
      </c>
      <c r="AV63" s="87">
        <f t="shared" si="18"/>
        <v>0</v>
      </c>
      <c r="AW63" t="str">
        <f t="shared" si="38"/>
        <v>Pigments</v>
      </c>
      <c r="AX63" s="148">
        <f t="array" ref="AX63">IFERROR(INDEX(LCIA_Data,MATCH($AO$15&amp;AX$27,LCIA_Rows_B&amp;LCIA_Rows_C,0),MATCH($D63,LCIA_Columns,0)),0)*$AU63</f>
        <v>0</v>
      </c>
      <c r="AY63" s="148">
        <f t="array" ref="AY63">IFERROR(INDEX(LCIA_Data,MATCH($AO$15&amp;AY$27,LCIA_Rows_B&amp;LCIA_Rows_C,0),MATCH($D63,LCIA_Columns,0)),0)*$AU63</f>
        <v>0</v>
      </c>
      <c r="AZ63" s="148">
        <f t="array" ref="AZ63">IFERROR(INDEX(LCIA_Data,MATCH($AO$15&amp;AZ$27,LCIA_Rows_B&amp;LCIA_Rows_C,0),MATCH($D63,LCIA_Columns,0)),0)*$AU63</f>
        <v>0</v>
      </c>
      <c r="BA63" s="148">
        <f t="array" ref="BA63">IFERROR(INDEX(LCIA_Data,MATCH($AO$15&amp;BA$27,LCIA_Rows_B&amp;LCIA_Rows_C,0),MATCH($D63,LCIA_Columns,0)),0)*$AU63</f>
        <v>0</v>
      </c>
      <c r="BB63" s="148">
        <f t="array" ref="BB63">IFERROR(INDEX(LCIA_Data,MATCH($AO$15&amp;BB$27,LCIA_Rows_B&amp;LCIA_Rows_C,0),MATCH($D63,LCIA_Columns,0)),0)*$AU63</f>
        <v>0</v>
      </c>
      <c r="BC63" s="148">
        <f t="array" ref="BC63">IFERROR(INDEX(LCIA_Data,MATCH($AO$15&amp;BC$27,LCIA_Rows_B&amp;LCIA_Rows_C,0),MATCH($D63,LCIA_Columns,0)),0)*$AU63</f>
        <v>0</v>
      </c>
      <c r="BD63" s="148">
        <f t="array" ref="BD63">IFERROR(INDEX(LCIA_Data,MATCH($AO$15&amp;BD$27,LCIA_Rows_B&amp;LCIA_Rows_C,0),MATCH($D63,LCIA_Columns,0)),0)*$AU63</f>
        <v>0</v>
      </c>
      <c r="BE63" s="148">
        <f t="array" ref="BE63">IFERROR(INDEX(LCIA_Data,MATCH($AO$15&amp;BE$27,LCIA_Rows_B&amp;LCIA_Rows_C,0),MATCH($D63,LCIA_Columns,0)),0)*$AU63</f>
        <v>0</v>
      </c>
      <c r="BF63" s="148">
        <f t="array" ref="BF63">IFERROR(INDEX(LCIA_Data,MATCH($AO$15&amp;BF$27,LCIA_Rows_B&amp;LCIA_Rows_C,0),MATCH($D63,LCIA_Columns,0)),0)*$AU63</f>
        <v>0</v>
      </c>
      <c r="BG63" s="148">
        <f t="array" ref="BG63">IFERROR(INDEX(LCIA_Data,MATCH($AO$15&amp;BG$27,LCIA_Rows_B&amp;LCIA_Rows_C,0),MATCH($D63,LCIA_Columns,0)),0)*$AU63</f>
        <v>0</v>
      </c>
      <c r="BH63" s="148">
        <f t="array" ref="BH63">IFERROR(INDEX(LCIA_Data,MATCH($AO$15&amp;BH$27,LCIA_Rows_B&amp;LCIA_Rows_C,0),MATCH($D63,LCIA_Columns,0)),0)*$AU63</f>
        <v>0</v>
      </c>
      <c r="BI63" s="148">
        <f t="array" ref="BI63">IFERROR(INDEX(LCIA_Data,MATCH($AO$15&amp;BI$27,LCIA_Rows_B&amp;LCIA_Rows_C,0),MATCH($D63,LCIA_Columns,0)),0)*$AU63</f>
        <v>0</v>
      </c>
      <c r="BJ63" s="148">
        <f t="array" ref="BJ63">IFERROR(INDEX(LCIA_Data,MATCH($AO$15&amp;BJ$27,LCIA_Rows_B&amp;LCIA_Rows_C,0),MATCH($D63,LCIA_Columns,0)),0)*$AU63</f>
        <v>0</v>
      </c>
      <c r="BK63" s="148">
        <f t="array" ref="BK63">IFERROR(INDEX(LCIA_Data,MATCH($AO$15&amp;BK$27,LCIA_Rows_B&amp;LCIA_Rows_C,0),MATCH($D63,LCIA_Columns,0)),0)*$AU63</f>
        <v>0</v>
      </c>
      <c r="BM63" s="1">
        <f t="array" ref="BM63">IFERROR(INDEX(LCIA_Data,MATCH($AO$15&amp;BM$27,LCIA_Rows_B&amp;LCIA_Rows_C,0),MATCH(BM$26,LCIA_Columns,0)),0)*$AT63*$AH63*$BN$23</f>
        <v>0</v>
      </c>
      <c r="BN63" s="1">
        <f t="array" ref="BN63">IFERROR(INDEX(LCIA_Data,MATCH($AO$15&amp;BN$27,LCIA_Rows_B&amp;LCIA_Rows_C,0),MATCH(BN$26,LCIA_Columns,0)),0)*$AT63*$AH63*$BN$23</f>
        <v>0</v>
      </c>
      <c r="BO63" s="1">
        <f t="array" ref="BO63">IFERROR(INDEX(LCIA_Data,MATCH($AO$15&amp;BO$27,LCIA_Rows_B&amp;LCIA_Rows_C,0),MATCH(BO$26,LCIA_Columns,0)),0)*$AT63*$AH63*$BN$23</f>
        <v>0</v>
      </c>
      <c r="BP63" s="1">
        <f t="array" ref="BP63">IFERROR(INDEX(LCIA_Data,MATCH($AO$15&amp;BP$27,LCIA_Rows_B&amp;LCIA_Rows_C,0),MATCH(BP$26,LCIA_Columns,0)),0)*$AT63*$AH63*$BN$23</f>
        <v>0</v>
      </c>
      <c r="BQ63" s="1">
        <f t="array" ref="BQ63">IFERROR(INDEX(LCIA_Data,MATCH($AO$15&amp;BQ$27,LCIA_Rows_B&amp;LCIA_Rows_C,0),MATCH(BQ$26,LCIA_Columns,0)),0)*$AT63*$AH63*$BN$23</f>
        <v>0</v>
      </c>
      <c r="BR63" s="1">
        <f t="array" ref="BR63">IFERROR(INDEX(LCIA_Data,MATCH($AO$15&amp;BR$27,LCIA_Rows_B&amp;LCIA_Rows_C,0),MATCH(BR$26,LCIA_Columns,0)),0)*$AT63*$AH63*$BN$23</f>
        <v>0</v>
      </c>
      <c r="BS63" s="1">
        <f t="array" ref="BS63">IFERROR(INDEX(LCIA_Data,MATCH($AO$15&amp;BS$27,LCIA_Rows_B&amp;LCIA_Rows_C,0),MATCH(BS$26,LCIA_Columns,0)),0)*$AT63*$AH63*$BN$23</f>
        <v>0</v>
      </c>
      <c r="BT63" s="1">
        <f t="array" ref="BT63">IFERROR(INDEX(LCIA_Data,MATCH($AO$15&amp;BT$27,LCIA_Rows_B&amp;LCIA_Rows_C,0),MATCH(BT$26,LCIA_Columns,0)),0)*$AT63*$AH63*$BN$23</f>
        <v>0</v>
      </c>
      <c r="BU63" s="1">
        <f t="array" ref="BU63">IFERROR(INDEX(LCIA_Data,MATCH($AO$15&amp;BU$27,LCIA_Rows_B&amp;LCIA_Rows_C,0),MATCH(BU$26,LCIA_Columns,0)),0)*$AT63*$AH63*$BN$23</f>
        <v>0</v>
      </c>
      <c r="BV63" s="1">
        <f t="array" ref="BV63">IFERROR(INDEX(LCIA_Data,MATCH($AO$15&amp;BV$27,LCIA_Rows_B&amp;LCIA_Rows_C,0),MATCH(BV$26,LCIA_Columns,0)),0)*$AT63*$AH63*$BN$23</f>
        <v>0</v>
      </c>
      <c r="BW63" s="1">
        <f t="array" ref="BW63">IFERROR(INDEX(LCIA_Data,MATCH($AO$15&amp;BW$27,LCIA_Rows_B&amp;LCIA_Rows_C,0),MATCH(BW$26,LCIA_Columns,0)),0)*$AT63*$AH63*$BN$23</f>
        <v>0</v>
      </c>
      <c r="BX63" s="1">
        <f t="array" ref="BX63">IFERROR(INDEX(LCIA_Data,MATCH($AO$15&amp;BX$27,LCIA_Rows_B&amp;LCIA_Rows_C,0),MATCH(BX$26,LCIA_Columns,0)),0)*$AT63*$AH63*$BN$23</f>
        <v>0</v>
      </c>
      <c r="BY63" s="1">
        <f t="array" ref="BY63">IFERROR(INDEX(LCIA_Data,MATCH($AO$15&amp;BY$27,LCIA_Rows_B&amp;LCIA_Rows_C,0),MATCH(BY$26,LCIA_Columns,0)),0)*$AT63*$AH63*$BN$23</f>
        <v>0</v>
      </c>
      <c r="BZ63" s="1">
        <f t="array" ref="BZ63">IFERROR(INDEX(LCIA_Data,MATCH($AO$15&amp;BZ$27,LCIA_Rows_B&amp;LCIA_Rows_C,0),MATCH(BZ$26,LCIA_Columns,0)),0)*$AT63*$AH63*$BN$23</f>
        <v>0</v>
      </c>
      <c r="CA63" s="1">
        <f t="array" ref="CA63">IFERROR(INDEX(LCIA_Data,MATCH($AO$15&amp;CA$27,LCIA_Rows_B&amp;LCIA_Rows_C,0),MATCH(CA$26,LCIA_Columns,0)),0)*$AT63*$AI63*$BN$23</f>
        <v>0</v>
      </c>
      <c r="CB63" s="1">
        <f t="array" ref="CB63">IFERROR(INDEX(LCIA_Data,MATCH($AO$15&amp;CB$27,LCIA_Rows_B&amp;LCIA_Rows_C,0),MATCH(CB$26,LCIA_Columns,0)),0)*$AT63*$AI63*$BN$23</f>
        <v>0</v>
      </c>
      <c r="CC63" s="1">
        <f t="array" ref="CC63">IFERROR(INDEX(LCIA_Data,MATCH($AO$15&amp;CC$27,LCIA_Rows_B&amp;LCIA_Rows_C,0),MATCH(CC$26,LCIA_Columns,0)),0)*$AT63*$AI63*$BN$23</f>
        <v>0</v>
      </c>
      <c r="CD63" s="1">
        <f t="array" ref="CD63">IFERROR(INDEX(LCIA_Data,MATCH($AO$15&amp;CD$27,LCIA_Rows_B&amp;LCIA_Rows_C,0),MATCH(CD$26,LCIA_Columns,0)),0)*$AT63*$AI63*$BN$23</f>
        <v>0</v>
      </c>
      <c r="CE63" s="1">
        <f t="array" ref="CE63">IFERROR(INDEX(LCIA_Data,MATCH($AO$15&amp;CE$27,LCIA_Rows_B&amp;LCIA_Rows_C,0),MATCH(CE$26,LCIA_Columns,0)),0)*$AT63*$AI63*$BN$23</f>
        <v>0</v>
      </c>
      <c r="CF63" s="1">
        <f t="array" ref="CF63">IFERROR(INDEX(LCIA_Data,MATCH($AO$15&amp;CF$27,LCIA_Rows_B&amp;LCIA_Rows_C,0),MATCH(CF$26,LCIA_Columns,0)),0)*$AT63*$AI63*$BN$23</f>
        <v>0</v>
      </c>
      <c r="CG63" s="1">
        <f t="array" ref="CG63">IFERROR(INDEX(LCIA_Data,MATCH($AO$15&amp;CG$27,LCIA_Rows_B&amp;LCIA_Rows_C,0),MATCH(CG$26,LCIA_Columns,0)),0)*$AT63*$AI63*$BN$23</f>
        <v>0</v>
      </c>
      <c r="CH63" s="1">
        <f t="array" ref="CH63">IFERROR(INDEX(LCIA_Data,MATCH($AO$15&amp;CH$27,LCIA_Rows_B&amp;LCIA_Rows_C,0),MATCH(CH$26,LCIA_Columns,0)),0)*$AT63*$AI63*$BN$23</f>
        <v>0</v>
      </c>
      <c r="CI63" s="1">
        <f t="array" ref="CI63">IFERROR(INDEX(LCIA_Data,MATCH($AO$15&amp;CI$27,LCIA_Rows_B&amp;LCIA_Rows_C,0),MATCH(CI$26,LCIA_Columns,0)),0)*$AT63*$AI63*$BN$23</f>
        <v>0</v>
      </c>
      <c r="CJ63" s="1">
        <f t="array" ref="CJ63">IFERROR(INDEX(LCIA_Data,MATCH($AO$15&amp;CJ$27,LCIA_Rows_B&amp;LCIA_Rows_C,0),MATCH(CJ$26,LCIA_Columns,0)),0)*$AT63*$AI63*$BN$23</f>
        <v>0</v>
      </c>
      <c r="CK63" s="1">
        <f t="array" ref="CK63">IFERROR(INDEX(LCIA_Data,MATCH($AO$15&amp;CK$27,LCIA_Rows_B&amp;LCIA_Rows_C,0),MATCH(CK$26,LCIA_Columns,0)),0)*$AT63*$AI63*$BN$23</f>
        <v>0</v>
      </c>
      <c r="CL63" s="1">
        <f t="array" ref="CL63">IFERROR(INDEX(LCIA_Data,MATCH($AO$15&amp;CL$27,LCIA_Rows_B&amp;LCIA_Rows_C,0),MATCH(CL$26,LCIA_Columns,0)),0)*$AT63*$AI63*$BN$23</f>
        <v>0</v>
      </c>
      <c r="CM63" s="1">
        <f t="array" ref="CM63">IFERROR(INDEX(LCIA_Data,MATCH($AO$15&amp;CM$27,LCIA_Rows_B&amp;LCIA_Rows_C,0),MATCH(CM$26,LCIA_Columns,0)),0)*$AT63*$AJ63*$BN$23</f>
        <v>0</v>
      </c>
      <c r="CN63" s="1">
        <f t="array" ref="CN63">IFERROR(INDEX(LCIA_Data,MATCH($AO$15&amp;CN$27,LCIA_Rows_B&amp;LCIA_Rows_C,0),MATCH(CN$26,LCIA_Columns,0)),0)*$AT63*$AJ63*$BN$23</f>
        <v>0</v>
      </c>
      <c r="CO63" s="1">
        <f t="array" ref="CO63">IFERROR(INDEX(LCIA_Data,MATCH($AO$15&amp;CO$27,LCIA_Rows_B&amp;LCIA_Rows_C,0),MATCH(CO$26,LCIA_Columns,0)),0)*$AT63*$AJ63*$BN$23</f>
        <v>0</v>
      </c>
      <c r="CP63" s="1">
        <f t="array" ref="CP63">IFERROR(INDEX(LCIA_Data,MATCH($AO$15&amp;CP$27,LCIA_Rows_B&amp;LCIA_Rows_C,0),MATCH(CP$26,LCIA_Columns,0)),0)*$AT63*$AJ63*$BN$23</f>
        <v>0</v>
      </c>
      <c r="CQ63" s="1">
        <f t="array" ref="CQ63">IFERROR(INDEX(LCIA_Data,MATCH($AO$15&amp;CQ$27,LCIA_Rows_B&amp;LCIA_Rows_C,0),MATCH(CQ$26,LCIA_Columns,0)),0)*$AT63*$AJ63*$BN$23</f>
        <v>0</v>
      </c>
      <c r="CR63" s="1">
        <f t="array" ref="CR63">IFERROR(INDEX(LCIA_Data,MATCH($AO$15&amp;CR$27,LCIA_Rows_B&amp;LCIA_Rows_C,0),MATCH(CR$26,LCIA_Columns,0)),0)*$AT63*$AJ63*$BN$23</f>
        <v>0</v>
      </c>
      <c r="CS63" s="1">
        <f t="array" ref="CS63">IFERROR(INDEX(LCIA_Data,MATCH($AO$15&amp;CS$27,LCIA_Rows_B&amp;LCIA_Rows_C,0),MATCH(CS$26,LCIA_Columns,0)),0)*$AT63*$AJ63*$BN$23</f>
        <v>0</v>
      </c>
      <c r="CT63" s="1">
        <f t="array" ref="CT63">IFERROR(INDEX(LCIA_Data,MATCH($AO$15&amp;CT$27,LCIA_Rows_B&amp;LCIA_Rows_C,0),MATCH(CT$26,LCIA_Columns,0)),0)*$AT63*$AJ63*$BN$23</f>
        <v>0</v>
      </c>
      <c r="CU63" s="1">
        <f t="array" ref="CU63">IFERROR(INDEX(LCIA_Data,MATCH($AO$15&amp;CU$27,LCIA_Rows_B&amp;LCIA_Rows_C,0),MATCH(CU$26,LCIA_Columns,0)),0)*$AT63*$AJ63*$BN$23</f>
        <v>0</v>
      </c>
      <c r="CV63" s="1">
        <f t="array" ref="CV63">IFERROR(INDEX(LCIA_Data,MATCH($AO$15&amp;CV$27,LCIA_Rows_B&amp;LCIA_Rows_C,0),MATCH(CV$26,LCIA_Columns,0)),0)*$AT63*$AJ63*$BN$23</f>
        <v>0</v>
      </c>
      <c r="CW63" s="1">
        <f t="array" ref="CW63">IFERROR(INDEX(LCIA_Data,MATCH($AO$15&amp;CW$27,LCIA_Rows_B&amp;LCIA_Rows_C,0),MATCH(CW$26,LCIA_Columns,0)),0)*$AT63*$AJ63*$BN$23</f>
        <v>0</v>
      </c>
      <c r="CX63" s="1">
        <f t="array" ref="CX63">IFERROR(INDEX(LCIA_Data,MATCH($AO$15&amp;CX$27,LCIA_Rows_B&amp;LCIA_Rows_C,0),MATCH(CX$26,LCIA_Columns,0)),0)*$AT63*$AJ63*$BN$23</f>
        <v>0</v>
      </c>
      <c r="CY63" s="1">
        <f t="array" ref="CY63">IFERROR(INDEX(LCIA_Data,MATCH($AO$15&amp;CY$27,LCIA_Rows_B&amp;LCIA_Rows_C,0),MATCH(CY$26,LCIA_Columns,0)),0)*$AT63*$AJ63*$BN$23</f>
        <v>0</v>
      </c>
      <c r="CZ63" s="1">
        <f t="array" ref="CZ63">IFERROR(INDEX(LCIA_Data,MATCH($AO$15&amp;CZ$27,LCIA_Rows_B&amp;LCIA_Rows_C,0),MATCH(CZ$26,LCIA_Columns,0)),0)*$AT63*$AJ63*$BN$23</f>
        <v>0</v>
      </c>
      <c r="DA63" s="1">
        <f t="array" ref="DA63">IFERROR(INDEX(LCIA_Data,MATCH($AO$15&amp;DA$27,LCIA_Rows_B&amp;LCIA_Rows_C,0),MATCH(DA$26,LCIA_Columns,0)),0)*$AT63*$AK63*$BN$23</f>
        <v>0</v>
      </c>
      <c r="DB63" s="1">
        <f t="array" ref="DB63">IFERROR(INDEX(LCIA_Data,MATCH($AO$15&amp;DB$27,LCIA_Rows_B&amp;LCIA_Rows_C,0),MATCH(DB$26,LCIA_Columns,0)),0)*$AT63*$AK63*$BN$23</f>
        <v>0</v>
      </c>
      <c r="DC63" s="1">
        <f t="array" ref="DC63">IFERROR(INDEX(LCIA_Data,MATCH($AO$15&amp;DC$27,LCIA_Rows_B&amp;LCIA_Rows_C,0),MATCH(DC$26,LCIA_Columns,0)),0)*$AT63*$AK63*$BN$23</f>
        <v>0</v>
      </c>
      <c r="DD63" s="1">
        <f t="array" ref="DD63">IFERROR(INDEX(LCIA_Data,MATCH($AO$15&amp;DD$27,LCIA_Rows_B&amp;LCIA_Rows_C,0),MATCH(DD$26,LCIA_Columns,0)),0)*$AT63*$AK63*$BN$23</f>
        <v>0</v>
      </c>
      <c r="DE63" s="1">
        <f t="array" ref="DE63">IFERROR(INDEX(LCIA_Data,MATCH($AO$15&amp;DE$27,LCIA_Rows_B&amp;LCIA_Rows_C,0),MATCH(DE$26,LCIA_Columns,0)),0)*$AT63*$AK63*$BN$23</f>
        <v>0</v>
      </c>
      <c r="DF63" s="1">
        <f t="array" ref="DF63">IFERROR(INDEX(LCIA_Data,MATCH($AO$15&amp;DF$27,LCIA_Rows_B&amp;LCIA_Rows_C,0),MATCH(DF$26,LCIA_Columns,0)),0)*$AT63*$AK63*$BN$23</f>
        <v>0</v>
      </c>
      <c r="DG63" s="1">
        <f t="array" ref="DG63">IFERROR(INDEX(LCIA_Data,MATCH($AO$15&amp;DG$27,LCIA_Rows_B&amp;LCIA_Rows_C,0),MATCH(DG$26,LCIA_Columns,0)),0)*$AT63*$AK63*$BN$23</f>
        <v>0</v>
      </c>
      <c r="DH63" s="1">
        <f t="array" ref="DH63">IFERROR(INDEX(LCIA_Data,MATCH($AO$15&amp;DH$27,LCIA_Rows_B&amp;LCIA_Rows_C,0),MATCH(DH$26,LCIA_Columns,0)),0)*$AT63*$AK63*$BN$23</f>
        <v>0</v>
      </c>
      <c r="DI63" s="1">
        <f t="array" ref="DI63">IFERROR(INDEX(LCIA_Data,MATCH($AO$15&amp;DI$27,LCIA_Rows_B&amp;LCIA_Rows_C,0),MATCH(DI$26,LCIA_Columns,0)),0)*$AT63*$AK63*$BN$23</f>
        <v>0</v>
      </c>
      <c r="DJ63" s="1">
        <f t="array" ref="DJ63">IFERROR(INDEX(LCIA_Data,MATCH($AO$15&amp;DJ$27,LCIA_Rows_B&amp;LCIA_Rows_C,0),MATCH(DJ$26,LCIA_Columns,0)),0)*$AT63*$AK63*$BN$23</f>
        <v>0</v>
      </c>
      <c r="DK63" s="1">
        <f t="array" ref="DK63">IFERROR(INDEX(LCIA_Data,MATCH($AO$15&amp;DK$27,LCIA_Rows_B&amp;LCIA_Rows_C,0),MATCH(DK$26,LCIA_Columns,0)),0)*$AT63*$AK63*$BN$23</f>
        <v>0</v>
      </c>
      <c r="DL63" s="1">
        <f t="array" ref="DL63">IFERROR(INDEX(LCIA_Data,MATCH($AO$15&amp;DL$27,LCIA_Rows_B&amp;LCIA_Rows_C,0),MATCH(DL$26,LCIA_Columns,0)),0)*$AT63*$AK63*$BN$23</f>
        <v>0</v>
      </c>
      <c r="DM63" s="1">
        <f t="array" ref="DM63">IFERROR(INDEX(LCIA_Data,MATCH($AO$15&amp;DM$27,LCIA_Rows_B&amp;LCIA_Rows_C,0),MATCH(DM$26,LCIA_Columns,0)),0)*$AT63*$AK63*$BN$23</f>
        <v>0</v>
      </c>
      <c r="DN63" s="1">
        <f t="array" ref="DN63">IFERROR(INDEX(LCIA_Data,MATCH($AO$15&amp;DN$27,LCIA_Rows_B&amp;LCIA_Rows_C,0),MATCH(DN$26,LCIA_Columns,0)),0)*$AT63*$AK63*$BN$23</f>
        <v>0</v>
      </c>
      <c r="DO63">
        <f t="shared" si="41"/>
        <v>0</v>
      </c>
      <c r="DP63">
        <f t="shared" si="41"/>
        <v>0</v>
      </c>
      <c r="DQ63">
        <f t="shared" si="41"/>
        <v>0</v>
      </c>
      <c r="DR63">
        <f t="shared" si="41"/>
        <v>0</v>
      </c>
      <c r="DS63">
        <f t="shared" si="41"/>
        <v>0</v>
      </c>
      <c r="DT63">
        <f t="shared" si="41"/>
        <v>0</v>
      </c>
      <c r="DU63">
        <f t="shared" si="41"/>
        <v>0</v>
      </c>
      <c r="DV63">
        <f t="shared" si="41"/>
        <v>0</v>
      </c>
      <c r="DW63">
        <f t="shared" si="40"/>
        <v>0</v>
      </c>
      <c r="DX63">
        <f t="shared" si="40"/>
        <v>0</v>
      </c>
      <c r="DY63">
        <f t="shared" si="40"/>
        <v>0</v>
      </c>
      <c r="DZ63">
        <f t="shared" si="40"/>
        <v>0</v>
      </c>
      <c r="EA63">
        <f t="shared" si="40"/>
        <v>0</v>
      </c>
      <c r="EB63">
        <f t="shared" si="21"/>
        <v>0</v>
      </c>
      <c r="EC63"/>
      <c r="ED63"/>
      <c r="EE63"/>
      <c r="EF63"/>
      <c r="EG63"/>
    </row>
    <row r="64" spans="2:137" ht="15" customHeight="1" thickBot="1">
      <c r="B64" s="53">
        <f t="shared" si="29"/>
        <v>0</v>
      </c>
      <c r="C64" s="345">
        <f t="shared" si="22"/>
        <v>35</v>
      </c>
      <c r="D64" s="346" t="str">
        <f>'Plant Inputs'!$D64</f>
        <v>Net Consumables</v>
      </c>
      <c r="E64" s="347"/>
      <c r="F64" s="348" t="str">
        <f>VolumeDisplayUnit</f>
        <v>gallon</v>
      </c>
      <c r="G64" s="349">
        <f t="shared" si="26"/>
        <v>0</v>
      </c>
      <c r="H64" s="350" t="str">
        <f t="shared" si="7"/>
        <v>short ton</v>
      </c>
      <c r="I64" s="401">
        <f t="shared" si="8"/>
        <v>0</v>
      </c>
      <c r="J64"/>
      <c r="K64"/>
      <c r="L64"/>
      <c r="M64"/>
      <c r="N64"/>
      <c r="O64"/>
      <c r="P64"/>
      <c r="Q64"/>
      <c r="R64"/>
      <c r="S64"/>
      <c r="T64"/>
      <c r="X64" s="67">
        <f t="shared" si="30"/>
        <v>0</v>
      </c>
      <c r="Y64" s="216">
        <f>IF(AND($X64=1,'Plant Inputs'!$Y64=1),1,0)</f>
        <v>0</v>
      </c>
      <c r="Z64" s="216"/>
      <c r="AA64" s="216">
        <f>IF($Y64=0,0,IF('Plant Inputs'!J64="",0,'Plant Inputs'!J64))</f>
        <v>0</v>
      </c>
      <c r="AB64" s="216">
        <f>IF($Y64=0,0,IF('Plant Inputs'!K64="",0,'Plant Inputs'!K64))</f>
        <v>0</v>
      </c>
      <c r="AC64" s="216">
        <f>IF($Y64=0,0,IF('Plant Inputs'!L64="",0,'Plant Inputs'!L64))</f>
        <v>0</v>
      </c>
      <c r="AD64" s="216">
        <f>IF($Y64=0,0,IF('Plant Inputs'!M64="",0,'Plant Inputs'!M64))</f>
        <v>0</v>
      </c>
      <c r="AE64" s="217" t="str">
        <f>'Plant Inputs'!$O64</f>
        <v>mile</v>
      </c>
      <c r="AF64" s="217">
        <f t="shared" si="9"/>
        <v>1.6093473468862911</v>
      </c>
      <c r="AG64" s="216" t="str">
        <f t="shared" si="23"/>
        <v>km/mile</v>
      </c>
      <c r="AH64" s="216">
        <f t="shared" si="42"/>
        <v>0</v>
      </c>
      <c r="AI64" s="216">
        <f t="shared" si="42"/>
        <v>0</v>
      </c>
      <c r="AJ64" s="216">
        <f t="shared" si="42"/>
        <v>0</v>
      </c>
      <c r="AK64" s="216">
        <f t="shared" si="42"/>
        <v>0</v>
      </c>
      <c r="AL64" s="216"/>
      <c r="AM64" s="1" t="str">
        <f t="shared" si="32"/>
        <v>Net Consumables</v>
      </c>
      <c r="AN64" t="s">
        <v>128</v>
      </c>
      <c r="AO64">
        <f t="shared" si="33"/>
        <v>0.9</v>
      </c>
      <c r="AP64" s="1">
        <f t="shared" si="24"/>
        <v>0</v>
      </c>
      <c r="AQ64" s="1" t="str">
        <f t="shared" si="34"/>
        <v>gallon</v>
      </c>
      <c r="AR64" s="1">
        <f t="shared" si="14"/>
        <v>3.4068708000000005E-3</v>
      </c>
      <c r="AS64" s="87" t="str">
        <f t="shared" si="35"/>
        <v>tonne/gallon</v>
      </c>
      <c r="AT64" s="87">
        <f t="shared" si="36"/>
        <v>0</v>
      </c>
      <c r="AU64" s="87">
        <f t="shared" si="37"/>
        <v>0</v>
      </c>
      <c r="AV64" s="87">
        <f t="shared" si="18"/>
        <v>0</v>
      </c>
      <c r="AW64" t="str">
        <f t="shared" si="38"/>
        <v>Net Consumables</v>
      </c>
      <c r="AX64" s="148">
        <f t="array" ref="AX64">IFERROR(INDEX(LCIA_Data,MATCH($AO$15&amp;AX$27,LCIA_Rows_B&amp;LCIA_Rows_C,0),MATCH($D64,LCIA_Columns,0)),0)*$AU64</f>
        <v>0</v>
      </c>
      <c r="AY64" s="148">
        <f t="array" ref="AY64">IFERROR(INDEX(LCIA_Data,MATCH($AO$15&amp;AY$27,LCIA_Rows_B&amp;LCIA_Rows_C,0),MATCH($D64,LCIA_Columns,0)),0)*$AU64</f>
        <v>0</v>
      </c>
      <c r="AZ64" s="148">
        <f t="array" ref="AZ64">IFERROR(INDEX(LCIA_Data,MATCH($AO$15&amp;AZ$27,LCIA_Rows_B&amp;LCIA_Rows_C,0),MATCH($D64,LCIA_Columns,0)),0)*$AU64</f>
        <v>0</v>
      </c>
      <c r="BA64" s="148">
        <f t="array" ref="BA64">IFERROR(INDEX(LCIA_Data,MATCH($AO$15&amp;BA$27,LCIA_Rows_B&amp;LCIA_Rows_C,0),MATCH($D64,LCIA_Columns,0)),0)*$AU64</f>
        <v>0</v>
      </c>
      <c r="BB64" s="148">
        <f t="array" ref="BB64">IFERROR(INDEX(LCIA_Data,MATCH($AO$15&amp;BB$27,LCIA_Rows_B&amp;LCIA_Rows_C,0),MATCH($D64,LCIA_Columns,0)),0)*$AU64</f>
        <v>0</v>
      </c>
      <c r="BC64" s="148">
        <f t="array" ref="BC64">IFERROR(INDEX(LCIA_Data,MATCH($AO$15&amp;BC$27,LCIA_Rows_B&amp;LCIA_Rows_C,0),MATCH($D64,LCIA_Columns,0)),0)*$AU64</f>
        <v>0</v>
      </c>
      <c r="BD64" s="148">
        <f t="array" ref="BD64">IFERROR(INDEX(LCIA_Data,MATCH($AO$15&amp;BD$27,LCIA_Rows_B&amp;LCIA_Rows_C,0),MATCH($D64,LCIA_Columns,0)),0)*$AU64</f>
        <v>0</v>
      </c>
      <c r="BE64" s="148">
        <f t="array" ref="BE64">IFERROR(INDEX(LCIA_Data,MATCH($AO$15&amp;BE$27,LCIA_Rows_B&amp;LCIA_Rows_C,0),MATCH($D64,LCIA_Columns,0)),0)*$AU64</f>
        <v>0</v>
      </c>
      <c r="BF64" s="148">
        <f t="array" ref="BF64">IFERROR(INDEX(LCIA_Data,MATCH($AO$15&amp;BF$27,LCIA_Rows_B&amp;LCIA_Rows_C,0),MATCH($D64,LCIA_Columns,0)),0)*$AU64</f>
        <v>0</v>
      </c>
      <c r="BG64" s="148">
        <f t="array" ref="BG64">IFERROR(INDEX(LCIA_Data,MATCH($AO$15&amp;BG$27,LCIA_Rows_B&amp;LCIA_Rows_C,0),MATCH($D64,LCIA_Columns,0)),0)*$AU64</f>
        <v>0</v>
      </c>
      <c r="BH64" s="148">
        <f t="array" ref="BH64">IFERROR(INDEX(LCIA_Data,MATCH($AO$15&amp;BH$27,LCIA_Rows_B&amp;LCIA_Rows_C,0),MATCH($D64,LCIA_Columns,0)),0)*$AU64</f>
        <v>0</v>
      </c>
      <c r="BI64" s="148">
        <f t="array" ref="BI64">IFERROR(INDEX(LCIA_Data,MATCH($AO$15&amp;BI$27,LCIA_Rows_B&amp;LCIA_Rows_C,0),MATCH($D64,LCIA_Columns,0)),0)*$AU64</f>
        <v>0</v>
      </c>
      <c r="BJ64" s="148">
        <f t="array" ref="BJ64">IFERROR(INDEX(LCIA_Data,MATCH($AO$15&amp;BJ$27,LCIA_Rows_B&amp;LCIA_Rows_C,0),MATCH($D64,LCIA_Columns,0)),0)*$AU64</f>
        <v>0</v>
      </c>
      <c r="BK64" s="148">
        <f t="array" ref="BK64">IFERROR(INDEX(LCIA_Data,MATCH($AO$15&amp;BK$27,LCIA_Rows_B&amp;LCIA_Rows_C,0),MATCH($D64,LCIA_Columns,0)),0)*$AU64</f>
        <v>0</v>
      </c>
      <c r="BM64" s="1">
        <f t="array" ref="BM64">IFERROR(INDEX(LCIA_Data,MATCH($AO$15&amp;BM$27,LCIA_Rows_B&amp;LCIA_Rows_C,0),MATCH(BM$26,LCIA_Columns,0)),0)*$AT64*$AH64*$BN$23</f>
        <v>0</v>
      </c>
      <c r="BN64" s="1">
        <f t="array" ref="BN64">IFERROR(INDEX(LCIA_Data,MATCH($AO$15&amp;BN$27,LCIA_Rows_B&amp;LCIA_Rows_C,0),MATCH(BN$26,LCIA_Columns,0)),0)*$AT64*$AH64*$BN$23</f>
        <v>0</v>
      </c>
      <c r="BO64" s="1">
        <f t="array" ref="BO64">IFERROR(INDEX(LCIA_Data,MATCH($AO$15&amp;BO$27,LCIA_Rows_B&amp;LCIA_Rows_C,0),MATCH(BO$26,LCIA_Columns,0)),0)*$AT64*$AH64*$BN$23</f>
        <v>0</v>
      </c>
      <c r="BP64" s="1">
        <f t="array" ref="BP64">IFERROR(INDEX(LCIA_Data,MATCH($AO$15&amp;BP$27,LCIA_Rows_B&amp;LCIA_Rows_C,0),MATCH(BP$26,LCIA_Columns,0)),0)*$AT64*$AH64*$BN$23</f>
        <v>0</v>
      </c>
      <c r="BQ64" s="1">
        <f t="array" ref="BQ64">IFERROR(INDEX(LCIA_Data,MATCH($AO$15&amp;BQ$27,LCIA_Rows_B&amp;LCIA_Rows_C,0),MATCH(BQ$26,LCIA_Columns,0)),0)*$AT64*$AH64*$BN$23</f>
        <v>0</v>
      </c>
      <c r="BR64" s="1">
        <f t="array" ref="BR64">IFERROR(INDEX(LCIA_Data,MATCH($AO$15&amp;BR$27,LCIA_Rows_B&amp;LCIA_Rows_C,0),MATCH(BR$26,LCIA_Columns,0)),0)*$AT64*$AH64*$BN$23</f>
        <v>0</v>
      </c>
      <c r="BS64" s="1">
        <f t="array" ref="BS64">IFERROR(INDEX(LCIA_Data,MATCH($AO$15&amp;BS$27,LCIA_Rows_B&amp;LCIA_Rows_C,0),MATCH(BS$26,LCIA_Columns,0)),0)*$AT64*$AH64*$BN$23</f>
        <v>0</v>
      </c>
      <c r="BT64" s="1">
        <f t="array" ref="BT64">IFERROR(INDEX(LCIA_Data,MATCH($AO$15&amp;BT$27,LCIA_Rows_B&amp;LCIA_Rows_C,0),MATCH(BT$26,LCIA_Columns,0)),0)*$AT64*$AH64*$BN$23</f>
        <v>0</v>
      </c>
      <c r="BU64" s="1">
        <f t="array" ref="BU64">IFERROR(INDEX(LCIA_Data,MATCH($AO$15&amp;BU$27,LCIA_Rows_B&amp;LCIA_Rows_C,0),MATCH(BU$26,LCIA_Columns,0)),0)*$AT64*$AH64*$BN$23</f>
        <v>0</v>
      </c>
      <c r="BV64" s="1">
        <f t="array" ref="BV64">IFERROR(INDEX(LCIA_Data,MATCH($AO$15&amp;BV$27,LCIA_Rows_B&amp;LCIA_Rows_C,0),MATCH(BV$26,LCIA_Columns,0)),0)*$AT64*$AH64*$BN$23</f>
        <v>0</v>
      </c>
      <c r="BW64" s="1">
        <f t="array" ref="BW64">IFERROR(INDEX(LCIA_Data,MATCH($AO$15&amp;BW$27,LCIA_Rows_B&amp;LCIA_Rows_C,0),MATCH(BW$26,LCIA_Columns,0)),0)*$AT64*$AH64*$BN$23</f>
        <v>0</v>
      </c>
      <c r="BX64" s="1">
        <f t="array" ref="BX64">IFERROR(INDEX(LCIA_Data,MATCH($AO$15&amp;BX$27,LCIA_Rows_B&amp;LCIA_Rows_C,0),MATCH(BX$26,LCIA_Columns,0)),0)*$AT64*$AH64*$BN$23</f>
        <v>0</v>
      </c>
      <c r="BY64" s="1">
        <f t="array" ref="BY64">IFERROR(INDEX(LCIA_Data,MATCH($AO$15&amp;BY$27,LCIA_Rows_B&amp;LCIA_Rows_C,0),MATCH(BY$26,LCIA_Columns,0)),0)*$AT64*$AH64*$BN$23</f>
        <v>0</v>
      </c>
      <c r="BZ64" s="1">
        <f t="array" ref="BZ64">IFERROR(INDEX(LCIA_Data,MATCH($AO$15&amp;BZ$27,LCIA_Rows_B&amp;LCIA_Rows_C,0),MATCH(BZ$26,LCIA_Columns,0)),0)*$AT64*$AH64*$BN$23</f>
        <v>0</v>
      </c>
      <c r="CA64" s="1">
        <f t="array" ref="CA64">IFERROR(INDEX(LCIA_Data,MATCH($AO$15&amp;CA$27,LCIA_Rows_B&amp;LCIA_Rows_C,0),MATCH(CA$26,LCIA_Columns,0)),0)*$AT64*$AI64*$BN$23</f>
        <v>0</v>
      </c>
      <c r="CB64" s="1">
        <f t="array" ref="CB64">IFERROR(INDEX(LCIA_Data,MATCH($AO$15&amp;CB$27,LCIA_Rows_B&amp;LCIA_Rows_C,0),MATCH(CB$26,LCIA_Columns,0)),0)*$AT64*$AI64*$BN$23</f>
        <v>0</v>
      </c>
      <c r="CC64" s="1">
        <f t="array" ref="CC64">IFERROR(INDEX(LCIA_Data,MATCH($AO$15&amp;CC$27,LCIA_Rows_B&amp;LCIA_Rows_C,0),MATCH(CC$26,LCIA_Columns,0)),0)*$AT64*$AI64*$BN$23</f>
        <v>0</v>
      </c>
      <c r="CD64" s="1">
        <f t="array" ref="CD64">IFERROR(INDEX(LCIA_Data,MATCH($AO$15&amp;CD$27,LCIA_Rows_B&amp;LCIA_Rows_C,0),MATCH(CD$26,LCIA_Columns,0)),0)*$AT64*$AI64*$BN$23</f>
        <v>0</v>
      </c>
      <c r="CE64" s="1">
        <f t="array" ref="CE64">IFERROR(INDEX(LCIA_Data,MATCH($AO$15&amp;CE$27,LCIA_Rows_B&amp;LCIA_Rows_C,0),MATCH(CE$26,LCIA_Columns,0)),0)*$AT64*$AI64*$BN$23</f>
        <v>0</v>
      </c>
      <c r="CF64" s="1">
        <f t="array" ref="CF64">IFERROR(INDEX(LCIA_Data,MATCH($AO$15&amp;CF$27,LCIA_Rows_B&amp;LCIA_Rows_C,0),MATCH(CF$26,LCIA_Columns,0)),0)*$AT64*$AI64*$BN$23</f>
        <v>0</v>
      </c>
      <c r="CG64" s="1">
        <f t="array" ref="CG64">IFERROR(INDEX(LCIA_Data,MATCH($AO$15&amp;CG$27,LCIA_Rows_B&amp;LCIA_Rows_C,0),MATCH(CG$26,LCIA_Columns,0)),0)*$AT64*$AI64*$BN$23</f>
        <v>0</v>
      </c>
      <c r="CH64" s="1">
        <f t="array" ref="CH64">IFERROR(INDEX(LCIA_Data,MATCH($AO$15&amp;CH$27,LCIA_Rows_B&amp;LCIA_Rows_C,0),MATCH(CH$26,LCIA_Columns,0)),0)*$AT64*$AI64*$BN$23</f>
        <v>0</v>
      </c>
      <c r="CI64" s="1">
        <f t="array" ref="CI64">IFERROR(INDEX(LCIA_Data,MATCH($AO$15&amp;CI$27,LCIA_Rows_B&amp;LCIA_Rows_C,0),MATCH(CI$26,LCIA_Columns,0)),0)*$AT64*$AI64*$BN$23</f>
        <v>0</v>
      </c>
      <c r="CJ64" s="1">
        <f t="array" ref="CJ64">IFERROR(INDEX(LCIA_Data,MATCH($AO$15&amp;CJ$27,LCIA_Rows_B&amp;LCIA_Rows_C,0),MATCH(CJ$26,LCIA_Columns,0)),0)*$AT64*$AI64*$BN$23</f>
        <v>0</v>
      </c>
      <c r="CK64" s="1">
        <f t="array" ref="CK64">IFERROR(INDEX(LCIA_Data,MATCH($AO$15&amp;CK$27,LCIA_Rows_B&amp;LCIA_Rows_C,0),MATCH(CK$26,LCIA_Columns,0)),0)*$AT64*$AI64*$BN$23</f>
        <v>0</v>
      </c>
      <c r="CL64" s="1">
        <f t="array" ref="CL64">IFERROR(INDEX(LCIA_Data,MATCH($AO$15&amp;CL$27,LCIA_Rows_B&amp;LCIA_Rows_C,0),MATCH(CL$26,LCIA_Columns,0)),0)*$AT64*$AI64*$BN$23</f>
        <v>0</v>
      </c>
      <c r="CM64" s="1">
        <f t="array" ref="CM64">IFERROR(INDEX(LCIA_Data,MATCH($AO$15&amp;CM$27,LCIA_Rows_B&amp;LCIA_Rows_C,0),MATCH(CM$26,LCIA_Columns,0)),0)*$AT64*$AJ64*$BN$23</f>
        <v>0</v>
      </c>
      <c r="CN64" s="1">
        <f t="array" ref="CN64">IFERROR(INDEX(LCIA_Data,MATCH($AO$15&amp;CN$27,LCIA_Rows_B&amp;LCIA_Rows_C,0),MATCH(CN$26,LCIA_Columns,0)),0)*$AT64*$AJ64*$BN$23</f>
        <v>0</v>
      </c>
      <c r="CO64" s="1">
        <f t="array" ref="CO64">IFERROR(INDEX(LCIA_Data,MATCH($AO$15&amp;CO$27,LCIA_Rows_B&amp;LCIA_Rows_C,0),MATCH(CO$26,LCIA_Columns,0)),0)*$AT64*$AJ64*$BN$23</f>
        <v>0</v>
      </c>
      <c r="CP64" s="1">
        <f t="array" ref="CP64">IFERROR(INDEX(LCIA_Data,MATCH($AO$15&amp;CP$27,LCIA_Rows_B&amp;LCIA_Rows_C,0),MATCH(CP$26,LCIA_Columns,0)),0)*$AT64*$AJ64*$BN$23</f>
        <v>0</v>
      </c>
      <c r="CQ64" s="1">
        <f t="array" ref="CQ64">IFERROR(INDEX(LCIA_Data,MATCH($AO$15&amp;CQ$27,LCIA_Rows_B&amp;LCIA_Rows_C,0),MATCH(CQ$26,LCIA_Columns,0)),0)*$AT64*$AJ64*$BN$23</f>
        <v>0</v>
      </c>
      <c r="CR64" s="1">
        <f t="array" ref="CR64">IFERROR(INDEX(LCIA_Data,MATCH($AO$15&amp;CR$27,LCIA_Rows_B&amp;LCIA_Rows_C,0),MATCH(CR$26,LCIA_Columns,0)),0)*$AT64*$AJ64*$BN$23</f>
        <v>0</v>
      </c>
      <c r="CS64" s="1">
        <f t="array" ref="CS64">IFERROR(INDEX(LCIA_Data,MATCH($AO$15&amp;CS$27,LCIA_Rows_B&amp;LCIA_Rows_C,0),MATCH(CS$26,LCIA_Columns,0)),0)*$AT64*$AJ64*$BN$23</f>
        <v>0</v>
      </c>
      <c r="CT64" s="1">
        <f t="array" ref="CT64">IFERROR(INDEX(LCIA_Data,MATCH($AO$15&amp;CT$27,LCIA_Rows_B&amp;LCIA_Rows_C,0),MATCH(CT$26,LCIA_Columns,0)),0)*$AT64*$AJ64*$BN$23</f>
        <v>0</v>
      </c>
      <c r="CU64" s="1">
        <f t="array" ref="CU64">IFERROR(INDEX(LCIA_Data,MATCH($AO$15&amp;CU$27,LCIA_Rows_B&amp;LCIA_Rows_C,0),MATCH(CU$26,LCIA_Columns,0)),0)*$AT64*$AJ64*$BN$23</f>
        <v>0</v>
      </c>
      <c r="CV64" s="1">
        <f t="array" ref="CV64">IFERROR(INDEX(LCIA_Data,MATCH($AO$15&amp;CV$27,LCIA_Rows_B&amp;LCIA_Rows_C,0),MATCH(CV$26,LCIA_Columns,0)),0)*$AT64*$AJ64*$BN$23</f>
        <v>0</v>
      </c>
      <c r="CW64" s="1">
        <f t="array" ref="CW64">IFERROR(INDEX(LCIA_Data,MATCH($AO$15&amp;CW$27,LCIA_Rows_B&amp;LCIA_Rows_C,0),MATCH(CW$26,LCIA_Columns,0)),0)*$AT64*$AJ64*$BN$23</f>
        <v>0</v>
      </c>
      <c r="CX64" s="1">
        <f t="array" ref="CX64">IFERROR(INDEX(LCIA_Data,MATCH($AO$15&amp;CX$27,LCIA_Rows_B&amp;LCIA_Rows_C,0),MATCH(CX$26,LCIA_Columns,0)),0)*$AT64*$AJ64*$BN$23</f>
        <v>0</v>
      </c>
      <c r="CY64" s="1">
        <f t="array" ref="CY64">IFERROR(INDEX(LCIA_Data,MATCH($AO$15&amp;CY$27,LCIA_Rows_B&amp;LCIA_Rows_C,0),MATCH(CY$26,LCIA_Columns,0)),0)*$AT64*$AJ64*$BN$23</f>
        <v>0</v>
      </c>
      <c r="CZ64" s="1">
        <f t="array" ref="CZ64">IFERROR(INDEX(LCIA_Data,MATCH($AO$15&amp;CZ$27,LCIA_Rows_B&amp;LCIA_Rows_C,0),MATCH(CZ$26,LCIA_Columns,0)),0)*$AT64*$AJ64*$BN$23</f>
        <v>0</v>
      </c>
      <c r="DA64" s="1">
        <f t="array" ref="DA64">IFERROR(INDEX(LCIA_Data,MATCH($AO$15&amp;DA$27,LCIA_Rows_B&amp;LCIA_Rows_C,0),MATCH(DA$26,LCIA_Columns,0)),0)*$AT64*$AK64*$BN$23</f>
        <v>0</v>
      </c>
      <c r="DB64" s="1">
        <f t="array" ref="DB64">IFERROR(INDEX(LCIA_Data,MATCH($AO$15&amp;DB$27,LCIA_Rows_B&amp;LCIA_Rows_C,0),MATCH(DB$26,LCIA_Columns,0)),0)*$AT64*$AK64*$BN$23</f>
        <v>0</v>
      </c>
      <c r="DC64" s="1">
        <f t="array" ref="DC64">IFERROR(INDEX(LCIA_Data,MATCH($AO$15&amp;DC$27,LCIA_Rows_B&amp;LCIA_Rows_C,0),MATCH(DC$26,LCIA_Columns,0)),0)*$AT64*$AK64*$BN$23</f>
        <v>0</v>
      </c>
      <c r="DD64" s="1">
        <f t="array" ref="DD64">IFERROR(INDEX(LCIA_Data,MATCH($AO$15&amp;DD$27,LCIA_Rows_B&amp;LCIA_Rows_C,0),MATCH(DD$26,LCIA_Columns,0)),0)*$AT64*$AK64*$BN$23</f>
        <v>0</v>
      </c>
      <c r="DE64" s="1">
        <f t="array" ref="DE64">IFERROR(INDEX(LCIA_Data,MATCH($AO$15&amp;DE$27,LCIA_Rows_B&amp;LCIA_Rows_C,0),MATCH(DE$26,LCIA_Columns,0)),0)*$AT64*$AK64*$BN$23</f>
        <v>0</v>
      </c>
      <c r="DF64" s="1">
        <f t="array" ref="DF64">IFERROR(INDEX(LCIA_Data,MATCH($AO$15&amp;DF$27,LCIA_Rows_B&amp;LCIA_Rows_C,0),MATCH(DF$26,LCIA_Columns,0)),0)*$AT64*$AK64*$BN$23</f>
        <v>0</v>
      </c>
      <c r="DG64" s="1">
        <f t="array" ref="DG64">IFERROR(INDEX(LCIA_Data,MATCH($AO$15&amp;DG$27,LCIA_Rows_B&amp;LCIA_Rows_C,0),MATCH(DG$26,LCIA_Columns,0)),0)*$AT64*$AK64*$BN$23</f>
        <v>0</v>
      </c>
      <c r="DH64" s="1">
        <f t="array" ref="DH64">IFERROR(INDEX(LCIA_Data,MATCH($AO$15&amp;DH$27,LCIA_Rows_B&amp;LCIA_Rows_C,0),MATCH(DH$26,LCIA_Columns,0)),0)*$AT64*$AK64*$BN$23</f>
        <v>0</v>
      </c>
      <c r="DI64" s="1">
        <f t="array" ref="DI64">IFERROR(INDEX(LCIA_Data,MATCH($AO$15&amp;DI$27,LCIA_Rows_B&amp;LCIA_Rows_C,0),MATCH(DI$26,LCIA_Columns,0)),0)*$AT64*$AK64*$BN$23</f>
        <v>0</v>
      </c>
      <c r="DJ64" s="1">
        <f t="array" ref="DJ64">IFERROR(INDEX(LCIA_Data,MATCH($AO$15&amp;DJ$27,LCIA_Rows_B&amp;LCIA_Rows_C,0),MATCH(DJ$26,LCIA_Columns,0)),0)*$AT64*$AK64*$BN$23</f>
        <v>0</v>
      </c>
      <c r="DK64" s="1">
        <f t="array" ref="DK64">IFERROR(INDEX(LCIA_Data,MATCH($AO$15&amp;DK$27,LCIA_Rows_B&amp;LCIA_Rows_C,0),MATCH(DK$26,LCIA_Columns,0)),0)*$AT64*$AK64*$BN$23</f>
        <v>0</v>
      </c>
      <c r="DL64" s="1">
        <f t="array" ref="DL64">IFERROR(INDEX(LCIA_Data,MATCH($AO$15&amp;DL$27,LCIA_Rows_B&amp;LCIA_Rows_C,0),MATCH(DL$26,LCIA_Columns,0)),0)*$AT64*$AK64*$BN$23</f>
        <v>0</v>
      </c>
      <c r="DM64" s="1">
        <f t="array" ref="DM64">IFERROR(INDEX(LCIA_Data,MATCH($AO$15&amp;DM$27,LCIA_Rows_B&amp;LCIA_Rows_C,0),MATCH(DM$26,LCIA_Columns,0)),0)*$AT64*$AK64*$BN$23</f>
        <v>0</v>
      </c>
      <c r="DN64" s="1">
        <f t="array" ref="DN64">IFERROR(INDEX(LCIA_Data,MATCH($AO$15&amp;DN$27,LCIA_Rows_B&amp;LCIA_Rows_C,0),MATCH(DN$26,LCIA_Columns,0)),0)*$AT64*$AK64*$BN$23</f>
        <v>0</v>
      </c>
      <c r="DO64">
        <f t="shared" si="41"/>
        <v>0</v>
      </c>
      <c r="DP64">
        <f t="shared" si="41"/>
        <v>0</v>
      </c>
      <c r="DQ64">
        <f t="shared" si="41"/>
        <v>0</v>
      </c>
      <c r="DR64">
        <f t="shared" si="41"/>
        <v>0</v>
      </c>
      <c r="DS64">
        <f t="shared" si="41"/>
        <v>0</v>
      </c>
      <c r="DT64">
        <f t="shared" si="41"/>
        <v>0</v>
      </c>
      <c r="DU64">
        <f t="shared" si="41"/>
        <v>0</v>
      </c>
      <c r="DV64">
        <f t="shared" si="41"/>
        <v>0</v>
      </c>
      <c r="DW64">
        <f t="shared" si="40"/>
        <v>0</v>
      </c>
      <c r="DX64">
        <f t="shared" si="40"/>
        <v>0</v>
      </c>
      <c r="DY64">
        <f t="shared" si="40"/>
        <v>0</v>
      </c>
      <c r="DZ64">
        <f t="shared" si="40"/>
        <v>0</v>
      </c>
      <c r="EA64">
        <f t="shared" si="40"/>
        <v>0</v>
      </c>
      <c r="EB64">
        <f t="shared" si="21"/>
        <v>0</v>
      </c>
      <c r="EC64"/>
      <c r="ED64"/>
      <c r="EE64"/>
      <c r="EF64"/>
      <c r="EG64"/>
    </row>
    <row r="65" spans="2:137" ht="15" customHeight="1" thickBot="1">
      <c r="B65" s="53">
        <f>X65</f>
        <v>0</v>
      </c>
      <c r="C65" s="221">
        <f t="shared" si="22"/>
        <v>36</v>
      </c>
      <c r="D65" s="222" t="str">
        <f>'Plant Inputs'!$D65</f>
        <v>Total Batch Water Use</v>
      </c>
      <c r="E65" s="343"/>
      <c r="F65" s="240" t="str">
        <f>WaterTotalDisplayUnit</f>
        <v>kgal</v>
      </c>
      <c r="G65" s="224">
        <f t="shared" si="26"/>
        <v>0</v>
      </c>
      <c r="H65" s="225" t="str">
        <f t="shared" si="7"/>
        <v>short ton</v>
      </c>
      <c r="I65" s="344">
        <f t="shared" si="8"/>
        <v>0</v>
      </c>
      <c r="J65"/>
      <c r="K65"/>
      <c r="L65"/>
      <c r="M65" s="50"/>
      <c r="N65" s="50"/>
      <c r="O65" s="50"/>
      <c r="P65" s="50"/>
      <c r="Q65" s="50"/>
      <c r="R65" s="50"/>
      <c r="S65" s="50"/>
      <c r="T65"/>
      <c r="X65" s="67">
        <f t="shared" si="30"/>
        <v>0</v>
      </c>
      <c r="Y65" s="216">
        <f>IF(AND($X65=1,'Plant Inputs'!$Y65=1),1,0)</f>
        <v>0</v>
      </c>
      <c r="Z65" s="216"/>
      <c r="AA65" s="216"/>
      <c r="AB65" s="216"/>
      <c r="AC65" s="216"/>
      <c r="AD65" s="216"/>
      <c r="AE65" s="217"/>
      <c r="AF65" s="217"/>
      <c r="AG65" s="216"/>
      <c r="AH65" s="216"/>
      <c r="AI65" s="216"/>
      <c r="AJ65" s="216"/>
      <c r="AK65" s="216"/>
      <c r="AL65" s="216"/>
      <c r="AM65" s="1" t="str">
        <f>D65</f>
        <v>Total Batch Water Use</v>
      </c>
      <c r="AN65" t="s">
        <v>128</v>
      </c>
      <c r="AO65">
        <f t="shared" si="33"/>
        <v>1</v>
      </c>
      <c r="AP65" s="1">
        <f t="shared" si="24"/>
        <v>0</v>
      </c>
      <c r="AQ65" s="1" t="str">
        <f t="shared" si="34"/>
        <v>kgal</v>
      </c>
      <c r="AR65" s="1">
        <f t="shared" si="14"/>
        <v>3.7854120000000004</v>
      </c>
      <c r="AS65" s="87" t="str">
        <f t="shared" si="35"/>
        <v>tonne/kgal</v>
      </c>
      <c r="AT65" s="87">
        <f t="shared" si="36"/>
        <v>0</v>
      </c>
      <c r="AU65" s="87">
        <f t="shared" si="37"/>
        <v>0</v>
      </c>
      <c r="AV65" s="87">
        <f t="shared" si="18"/>
        <v>0</v>
      </c>
      <c r="AW65" t="str">
        <f t="shared" si="38"/>
        <v>Total Batch Water Use</v>
      </c>
      <c r="AX65" s="148">
        <f t="array" ref="AX65">IFERROR(INDEX(LCIA_Data,MATCH($AO$15&amp;AX$27,LCIA_Rows_B&amp;LCIA_Rows_C,0),MATCH($D65,LCIA_Columns,0)),0)*$AU65</f>
        <v>0</v>
      </c>
      <c r="AY65" s="148">
        <f t="array" ref="AY65">IFERROR(INDEX(LCIA_Data,MATCH($AO$15&amp;AY$27,LCIA_Rows_B&amp;LCIA_Rows_C,0),MATCH($D65,LCIA_Columns,0)),0)*$AU65</f>
        <v>0</v>
      </c>
      <c r="AZ65" s="148">
        <f t="array" ref="AZ65">IFERROR(INDEX(LCIA_Data,MATCH($AO$15&amp;AZ$27,LCIA_Rows_B&amp;LCIA_Rows_C,0),MATCH($D65,LCIA_Columns,0)),0)*$AU65</f>
        <v>0</v>
      </c>
      <c r="BA65" s="148">
        <f t="array" ref="BA65">IFERROR(INDEX(LCIA_Data,MATCH($AO$15&amp;BA$27,LCIA_Rows_B&amp;LCIA_Rows_C,0),MATCH($D65,LCIA_Columns,0)),0)*$AU65</f>
        <v>0</v>
      </c>
      <c r="BB65" s="148">
        <f t="array" ref="BB65">IFERROR(INDEX(LCIA_Data,MATCH($AO$15&amp;BB$27,LCIA_Rows_B&amp;LCIA_Rows_C,0),MATCH($D65,LCIA_Columns,0)),0)*$AU65</f>
        <v>0</v>
      </c>
      <c r="BC65" s="148">
        <f t="array" ref="BC65">IFERROR(INDEX(LCIA_Data,MATCH($AO$15&amp;BC$27,LCIA_Rows_B&amp;LCIA_Rows_C,0),MATCH($D65,LCIA_Columns,0)),0)*$AU65</f>
        <v>0</v>
      </c>
      <c r="BD65" s="148">
        <f t="array" ref="BD65">IFERROR(INDEX(LCIA_Data,MATCH($AO$15&amp;BD$27,LCIA_Rows_B&amp;LCIA_Rows_C,0),MATCH($D65,LCIA_Columns,0)),0)*$AU65</f>
        <v>0</v>
      </c>
      <c r="BE65" s="148">
        <f t="array" ref="BE65">IFERROR(INDEX(LCIA_Data,MATCH($AO$15&amp;BE$27,LCIA_Rows_B&amp;LCIA_Rows_C,0),MATCH($D65,LCIA_Columns,0)),0)*$AU65</f>
        <v>0</v>
      </c>
      <c r="BF65" s="148">
        <f t="array" ref="BF65">IFERROR(INDEX(LCIA_Data,MATCH($AO$15&amp;BF$27,LCIA_Rows_B&amp;LCIA_Rows_C,0),MATCH($D65,LCIA_Columns,0)),0)*$AU65</f>
        <v>0</v>
      </c>
      <c r="BG65" s="148">
        <f t="array" ref="BG65">IFERROR(INDEX(LCIA_Data,MATCH($AO$15&amp;BG$27,LCIA_Rows_B&amp;LCIA_Rows_C,0),MATCH($D65,LCIA_Columns,0)),0)*$AU65</f>
        <v>0</v>
      </c>
      <c r="BH65" s="148">
        <f t="array" ref="BH65">IFERROR(INDEX(LCIA_Data,MATCH($AO$15&amp;BH$27,LCIA_Rows_B&amp;LCIA_Rows_C,0),MATCH($D65,LCIA_Columns,0)),0)*$AU65</f>
        <v>0</v>
      </c>
      <c r="BI65" s="148">
        <f t="array" ref="BI65">IFERROR(INDEX(LCIA_Data,MATCH($AO$15&amp;BI$27,LCIA_Rows_B&amp;LCIA_Rows_C,0),MATCH($D65,LCIA_Columns,0)),0)*$AU65</f>
        <v>0</v>
      </c>
      <c r="BJ65" s="148">
        <f t="array" ref="BJ65">IFERROR(INDEX(LCIA_Data,MATCH($AO$15&amp;BJ$27,LCIA_Rows_B&amp;LCIA_Rows_C,0),MATCH($D65,LCIA_Columns,0)),0)*$AU65</f>
        <v>0</v>
      </c>
      <c r="BK65" s="148">
        <f t="array" ref="BK65">IFERROR(INDEX(LCIA_Data,MATCH($AO$15&amp;BK$27,LCIA_Rows_B&amp;LCIA_Rows_C,0),MATCH($D65,LCIA_Columns,0)),0)*$AU65</f>
        <v>0</v>
      </c>
      <c r="BM65" s="1"/>
      <c r="BN65" s="1"/>
      <c r="BO65" s="1"/>
      <c r="BP65" s="1"/>
      <c r="BQ65" s="1"/>
      <c r="BR65" s="1"/>
      <c r="BS65" s="1"/>
      <c r="BT65" s="1"/>
      <c r="BU65" s="1"/>
      <c r="BV65" s="1"/>
      <c r="BW65" s="1"/>
      <c r="BX65" s="1"/>
      <c r="BY65" s="1"/>
      <c r="BZ65" s="1"/>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row>
    <row r="66" spans="2:137" ht="15" customHeight="1">
      <c r="B66" s="53">
        <f>X66</f>
        <v>0</v>
      </c>
      <c r="C66" s="26">
        <f t="shared" si="22"/>
        <v>37</v>
      </c>
      <c r="D66" s="46" t="str">
        <f>'Plant Inputs'!$D66</f>
        <v>Total Plant Water Use</v>
      </c>
      <c r="E66" s="422">
        <f>'Plant Inputs'!$AY$12*$AR$18*INDEX(Conversion_Table,MATCH(WaterCalcUnit,Conversion_Rows,0),MATCH($F$66,Conversion_Columns,0))</f>
        <v>0</v>
      </c>
      <c r="F66" s="204" t="str">
        <f>'Plant Inputs'!F66</f>
        <v>kgal</v>
      </c>
      <c r="G66" s="158">
        <f t="shared" si="26"/>
        <v>0</v>
      </c>
      <c r="H66" s="213" t="str">
        <f t="shared" si="7"/>
        <v>short ton</v>
      </c>
      <c r="I66" s="219"/>
      <c r="J66"/>
      <c r="K66"/>
      <c r="L66"/>
      <c r="M66" s="50"/>
      <c r="N66" s="50"/>
      <c r="O66" s="50"/>
      <c r="P66" s="50"/>
      <c r="Q66" s="50"/>
      <c r="R66" s="50"/>
      <c r="S66" s="50"/>
      <c r="T66" s="51"/>
      <c r="X66" s="67">
        <f>'Plant Inputs'!X66</f>
        <v>0</v>
      </c>
      <c r="Y66" s="216">
        <f>IF(AND($X66=1,'Plant Inputs'!$Y66=1),1,0)</f>
        <v>0</v>
      </c>
      <c r="Z66" s="216"/>
      <c r="AA66" s="216"/>
      <c r="AB66" s="216"/>
      <c r="AC66" s="216"/>
      <c r="AD66" s="216"/>
      <c r="AE66" s="217"/>
      <c r="AF66" s="217"/>
      <c r="AG66" s="216"/>
      <c r="AH66" s="216"/>
      <c r="AI66" s="216"/>
      <c r="AJ66" s="216"/>
      <c r="AK66" s="216"/>
      <c r="AL66" s="216"/>
      <c r="AM66" s="1" t="str">
        <f>D66</f>
        <v>Total Plant Water Use</v>
      </c>
      <c r="AN66" t="s">
        <v>128</v>
      </c>
      <c r="AO66">
        <f>VLOOKUP(AM66,Material_Densities,2,FALSE)</f>
        <v>1</v>
      </c>
      <c r="AP66" s="1">
        <f t="shared" si="24"/>
        <v>0</v>
      </c>
      <c r="AQ66" s="1" t="str">
        <f>F66</f>
        <v>kgal</v>
      </c>
      <c r="AR66" s="1">
        <f t="shared" si="14"/>
        <v>3.7854120000000004</v>
      </c>
      <c r="AS66" s="87" t="str">
        <f>$AT$29&amp;"/"&amp;AQ66</f>
        <v>tonne/kgal</v>
      </c>
      <c r="AT66" s="87">
        <f>AP66*AR66</f>
        <v>0</v>
      </c>
      <c r="AU66" s="87">
        <f>INDEX(Conversion_Table,MATCH($AT$29,Conversion_Rows,0),MATCH($AU$29,Conversion_Columns,0))*AT66</f>
        <v>0</v>
      </c>
      <c r="AV66" s="87">
        <f t="shared" si="18"/>
        <v>0</v>
      </c>
      <c r="AW66" t="str">
        <f>AM66</f>
        <v>Total Plant Water Use</v>
      </c>
      <c r="AX66" s="148">
        <f t="array" ref="AX66">IFERROR(INDEX(LCIA_Data,MATCH($AO$15&amp;AX$27,LCIA_Rows_B&amp;LCIA_Rows_C,0),MATCH($D66,LCIA_Columns,0)),0)*$AU66</f>
        <v>0</v>
      </c>
      <c r="AY66" s="148">
        <f t="array" ref="AY66">IFERROR(INDEX(LCIA_Data,MATCH($AO$15&amp;AY$27,LCIA_Rows_B&amp;LCIA_Rows_C,0),MATCH($D66,LCIA_Columns,0)),0)*$AU66</f>
        <v>0</v>
      </c>
      <c r="AZ66" s="148">
        <f t="array" ref="AZ66">IFERROR(INDEX(LCIA_Data,MATCH($AO$15&amp;AZ$27,LCIA_Rows_B&amp;LCIA_Rows_C,0),MATCH($D66,LCIA_Columns,0)),0)*$AU66</f>
        <v>0</v>
      </c>
      <c r="BA66" s="148">
        <f t="array" ref="BA66">IFERROR(INDEX(LCIA_Data,MATCH($AO$15&amp;BA$27,LCIA_Rows_B&amp;LCIA_Rows_C,0),MATCH($D66,LCIA_Columns,0)),0)*$AU66</f>
        <v>0</v>
      </c>
      <c r="BB66" s="148">
        <f t="array" ref="BB66">IFERROR(INDEX(LCIA_Data,MATCH($AO$15&amp;BB$27,LCIA_Rows_B&amp;LCIA_Rows_C,0),MATCH($D66,LCIA_Columns,0)),0)*$AU66</f>
        <v>0</v>
      </c>
      <c r="BC66" s="148">
        <f t="array" ref="BC66">IFERROR(INDEX(LCIA_Data,MATCH($AO$15&amp;BC$27,LCIA_Rows_B&amp;LCIA_Rows_C,0),MATCH($D66,LCIA_Columns,0)),0)*$AU66</f>
        <v>0</v>
      </c>
      <c r="BD66" s="148">
        <f t="array" ref="BD66">IFERROR(INDEX(LCIA_Data,MATCH($AO$15&amp;BD$27,LCIA_Rows_B&amp;LCIA_Rows_C,0),MATCH($D66,LCIA_Columns,0)),0)*$AU66</f>
        <v>0</v>
      </c>
      <c r="BE66" s="148">
        <f t="array" ref="BE66">IFERROR(INDEX(LCIA_Data,MATCH($AO$15&amp;BE$27,LCIA_Rows_B&amp;LCIA_Rows_C,0),MATCH($D66,LCIA_Columns,0)),0)*$AU66</f>
        <v>0</v>
      </c>
      <c r="BF66" s="148">
        <f t="array" ref="BF66">IFERROR(INDEX(LCIA_Data,MATCH($AO$15&amp;BF$27,LCIA_Rows_B&amp;LCIA_Rows_C,0),MATCH($D66,LCIA_Columns,0)),0)*$AU66</f>
        <v>0</v>
      </c>
      <c r="BG66" s="148">
        <f t="array" ref="BG66">IFERROR(INDEX(LCIA_Data,MATCH($AO$15&amp;BG$27,LCIA_Rows_B&amp;LCIA_Rows_C,0),MATCH($D66,LCIA_Columns,0)),0)*$AU66</f>
        <v>0</v>
      </c>
      <c r="BH66" s="148">
        <f t="array" ref="BH66">IFERROR(INDEX(LCIA_Data,MATCH($AO$15&amp;BH$27,LCIA_Rows_B&amp;LCIA_Rows_C,0),MATCH($D66,LCIA_Columns,0)),0)*$AU66</f>
        <v>0</v>
      </c>
      <c r="BI66" s="148">
        <f t="array" ref="BI66">IFERROR(INDEX(LCIA_Data,MATCH($AO$15&amp;BI$27,LCIA_Rows_B&amp;LCIA_Rows_C,0),MATCH($D66,LCIA_Columns,0)),0)*$AU66</f>
        <v>0</v>
      </c>
      <c r="BJ66" s="148">
        <f t="array" ref="BJ66">IFERROR(INDEX(LCIA_Data,MATCH($AO$15&amp;BJ$27,LCIA_Rows_B&amp;LCIA_Rows_C,0),MATCH($D66,LCIA_Columns,0)),0)*$AU66</f>
        <v>0</v>
      </c>
      <c r="BK66" s="148">
        <f t="array" ref="BK66">IFERROR(INDEX(LCIA_Data,MATCH($AO$15&amp;BK$27,LCIA_Rows_B&amp;LCIA_Rows_C,0),MATCH($D66,LCIA_Columns,0)),0)*$AU66</f>
        <v>0</v>
      </c>
      <c r="BM66" s="1"/>
      <c r="BN66" s="1"/>
      <c r="BO66" s="1"/>
      <c r="BP66" s="1"/>
      <c r="BQ66" s="1"/>
      <c r="BR66" s="1"/>
      <c r="BS66" s="1"/>
      <c r="BT66" s="1"/>
      <c r="BU66" s="1"/>
      <c r="BV66" s="1"/>
      <c r="BW66" s="1"/>
      <c r="BX66" s="1"/>
      <c r="BY66" s="1"/>
      <c r="BZ66" s="1"/>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row>
    <row r="67" spans="2:137" ht="15" customHeight="1" thickBot="1">
      <c r="B67" s="53">
        <f>X67</f>
        <v>0</v>
      </c>
      <c r="C67" s="32">
        <f t="shared" si="22"/>
        <v>38</v>
      </c>
      <c r="D67" s="47" t="str">
        <f>'Plant Inputs'!$D67</f>
        <v>Percentage of Batch Water that is Recycled Water</v>
      </c>
      <c r="E67" s="423">
        <f>'Plant Inputs'!E67</f>
        <v>0</v>
      </c>
      <c r="F67" s="204" t="s">
        <v>153</v>
      </c>
      <c r="G67" s="158"/>
      <c r="H67" s="213"/>
      <c r="I67" s="218"/>
      <c r="J67"/>
      <c r="K67"/>
      <c r="L67"/>
      <c r="M67" s="50"/>
      <c r="N67" s="50"/>
      <c r="O67" s="50"/>
      <c r="P67" s="50"/>
      <c r="Q67" s="50"/>
      <c r="R67" s="50"/>
      <c r="S67" s="50"/>
      <c r="T67" s="51"/>
      <c r="X67" s="67">
        <f>'Plant Inputs'!X67</f>
        <v>0</v>
      </c>
      <c r="Y67" s="216">
        <f>IF(AND($X67=1,'Plant Inputs'!$Y67=1),1,0)</f>
        <v>0</v>
      </c>
      <c r="Z67" s="216"/>
      <c r="AA67" s="216"/>
      <c r="AB67" s="216"/>
      <c r="AC67" s="216"/>
      <c r="AD67" s="216"/>
      <c r="AE67" s="217"/>
      <c r="AF67" s="217"/>
      <c r="AG67" s="216"/>
      <c r="AH67" s="216"/>
      <c r="AI67" s="216"/>
      <c r="AJ67" s="216"/>
      <c r="AK67" s="216"/>
      <c r="AL67" s="216"/>
      <c r="AM67" s="89" t="str">
        <f>D67</f>
        <v>Percentage of Batch Water that is Recycled Water</v>
      </c>
      <c r="AN67" s="90" t="s">
        <v>128</v>
      </c>
      <c r="AO67" s="90">
        <f>VLOOKUP(AM67,Material_Densities,2,FALSE)</f>
        <v>0</v>
      </c>
      <c r="AP67" s="89">
        <f t="shared" si="24"/>
        <v>0</v>
      </c>
      <c r="AQ67" s="89" t="str">
        <f>F67</f>
        <v>%</v>
      </c>
      <c r="AR67" s="89">
        <f>IFERROR(IF($AN67="M",INDEX(Conversion_Table,MATCH($AQ67,Conversion_Rows,0),MATCH($AT$29,Conversion_Columns,0)),IF($AN67="V",INDEX(Conversion_Table,MATCH($AQ67,Conversion_Rows,0),MATCH("m3",Conversion_Columns,0))*$AO67)),0)</f>
        <v>0</v>
      </c>
      <c r="AS67" s="91" t="str">
        <f>$AT$29&amp;"/"&amp;AQ67</f>
        <v>tonne/%</v>
      </c>
      <c r="AT67" s="91">
        <f>AP67*AR67</f>
        <v>0</v>
      </c>
      <c r="AU67" s="91">
        <f>INDEX(Conversion_Table,MATCH($AT$29,Conversion_Rows,0),MATCH($AU$29,Conversion_Columns,0))*AT67</f>
        <v>0</v>
      </c>
      <c r="AV67" s="91"/>
      <c r="AW67" s="90" t="str">
        <f>AM67</f>
        <v>Percentage of Batch Water that is Recycled Water</v>
      </c>
      <c r="AX67" s="149">
        <f t="array" ref="AX67">IFERROR(INDEX(LCIA_Data,MATCH($AO$16&amp;AX$27,LCIA_Rows_B&amp;LCIA_Rows_C,0),MATCH($D67,LCIA_Columns,0)),0)*$AU67</f>
        <v>0</v>
      </c>
      <c r="AY67" s="149">
        <f t="array" ref="AY67">IFERROR(INDEX(LCIA_Data,MATCH($AO$16&amp;AY$27,LCIA_Rows_B&amp;LCIA_Rows_C,0),MATCH($D67,LCIA_Columns,0)),0)*$AU67</f>
        <v>0</v>
      </c>
      <c r="AZ67" s="149">
        <f t="array" ref="AZ67">IFERROR(INDEX(LCIA_Data,MATCH($AO$16&amp;AZ$27,LCIA_Rows_B&amp;LCIA_Rows_C,0),MATCH($D67,LCIA_Columns,0)),0)*$AU67</f>
        <v>0</v>
      </c>
      <c r="BA67" s="149">
        <f t="array" ref="BA67">IFERROR(INDEX(LCIA_Data,MATCH($AO$16&amp;BA$27,LCIA_Rows_B&amp;LCIA_Rows_C,0),MATCH($D67,LCIA_Columns,0)),0)*$AU67</f>
        <v>0</v>
      </c>
      <c r="BB67" s="149">
        <f t="array" ref="BB67">IFERROR(INDEX(LCIA_Data,MATCH($AO$16&amp;BB$27,LCIA_Rows_B&amp;LCIA_Rows_C,0),MATCH($D67,LCIA_Columns,0)),0)*$AU67</f>
        <v>0</v>
      </c>
      <c r="BC67" s="149">
        <f t="array" ref="BC67">IFERROR(INDEX(LCIA_Data,MATCH($AO$16&amp;BC$27,LCIA_Rows_B&amp;LCIA_Rows_C,0),MATCH($D67,LCIA_Columns,0)),0)*$AU67</f>
        <v>0</v>
      </c>
      <c r="BD67" s="149">
        <f t="array" ref="BD67">IFERROR(INDEX(LCIA_Data,MATCH($AO$16&amp;BD$27,LCIA_Rows_B&amp;LCIA_Rows_C,0),MATCH($D67,LCIA_Columns,0)),0)*$AU67</f>
        <v>0</v>
      </c>
      <c r="BE67" s="149">
        <f t="array" ref="BE67">IFERROR(INDEX(LCIA_Data,MATCH($AO$16&amp;BE$27,LCIA_Rows_B&amp;LCIA_Rows_C,0),MATCH($D67,LCIA_Columns,0)),0)*$AU67</f>
        <v>0</v>
      </c>
      <c r="BF67" s="149">
        <f t="array" ref="BF67">IFERROR(INDEX(LCIA_Data,MATCH($AO$16&amp;BF$27,LCIA_Rows_B&amp;LCIA_Rows_C,0),MATCH($D67,LCIA_Columns,0)),0)*$AU67</f>
        <v>0</v>
      </c>
      <c r="BG67" s="149">
        <f t="array" ref="BG67">IFERROR(INDEX(LCIA_Data,MATCH($AO$16&amp;BG$27,LCIA_Rows_B&amp;LCIA_Rows_C,0),MATCH($D67,LCIA_Columns,0)),0)*$AU67</f>
        <v>0</v>
      </c>
      <c r="BH67" s="149">
        <f t="array" ref="BH67">IFERROR(INDEX(LCIA_Data,MATCH($AO$16&amp;BH$27,LCIA_Rows_B&amp;LCIA_Rows_C,0),MATCH($D67,LCIA_Columns,0)),0)*$AU67</f>
        <v>0</v>
      </c>
      <c r="BI67" s="149">
        <f t="array" ref="BI67">IFERROR(INDEX(LCIA_Data,MATCH($AO$16&amp;BI$27,LCIA_Rows_B&amp;LCIA_Rows_C,0),MATCH($D67,LCIA_Columns,0)),0)*$AU67</f>
        <v>0</v>
      </c>
      <c r="BJ67" s="149">
        <f t="array" ref="BJ67">IFERROR(INDEX(LCIA_Data,MATCH($AO$16&amp;BJ$27,LCIA_Rows_B&amp;LCIA_Rows_C,0),MATCH($D67,LCIA_Columns,0)),0)*$AU67</f>
        <v>0</v>
      </c>
      <c r="BK67" s="149">
        <f t="array" ref="BK67">IFERROR(INDEX(LCIA_Data,MATCH($AO$16&amp;BK$27,LCIA_Rows_B&amp;LCIA_Rows_C,0),MATCH($D67,LCIA_Columns,0)),0)*$AU67</f>
        <v>0</v>
      </c>
      <c r="BM67" s="1"/>
      <c r="BN67" s="1"/>
      <c r="BO67" s="1"/>
      <c r="BP67" s="1"/>
      <c r="BQ67" s="1"/>
      <c r="BR67" s="1"/>
      <c r="BS67" s="1"/>
      <c r="BT67" s="1"/>
      <c r="BU67" s="1"/>
      <c r="BV67" s="1"/>
      <c r="BW67" s="1"/>
      <c r="BX67" s="1"/>
      <c r="BY67" s="1"/>
      <c r="BZ67" s="1"/>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row>
    <row r="68" spans="2:137" ht="15" customHeight="1" thickBot="1">
      <c r="F68" s="92" t="s">
        <v>209</v>
      </c>
      <c r="G68" s="159">
        <f>SUM(G30:G65)-G64-G48</f>
        <v>0</v>
      </c>
      <c r="H68" s="214" t="str">
        <f>MassDisplayUnit</f>
        <v>short ton</v>
      </c>
      <c r="J68"/>
      <c r="K68"/>
      <c r="L68"/>
      <c r="M68" s="38"/>
      <c r="N68" s="38"/>
      <c r="O68" s="38"/>
      <c r="P68" s="38"/>
      <c r="Q68" s="38"/>
      <c r="R68" s="38"/>
      <c r="S68" s="38"/>
      <c r="T68" s="71"/>
      <c r="AN68" s="1"/>
      <c r="AO68" s="1"/>
      <c r="AP68" s="1"/>
      <c r="AS68" t="s">
        <v>486</v>
      </c>
      <c r="AT68" s="87">
        <f>SUM(AT30:AT65)</f>
        <v>0</v>
      </c>
      <c r="AU68" s="87">
        <f>SUM(AU30:AU65)</f>
        <v>0</v>
      </c>
      <c r="AV68" s="87"/>
      <c r="AX68" s="146">
        <f>SUM(AX30:AX64)+AX66</f>
        <v>0</v>
      </c>
      <c r="AY68" s="146">
        <f t="shared" ref="AY68:BC68" si="43">SUM(AY30:AY64)+AY66</f>
        <v>0</v>
      </c>
      <c r="AZ68" s="146">
        <f t="shared" si="43"/>
        <v>0</v>
      </c>
      <c r="BA68" s="146">
        <f t="shared" si="43"/>
        <v>0</v>
      </c>
      <c r="BB68" s="146">
        <f t="shared" si="43"/>
        <v>0</v>
      </c>
      <c r="BC68" s="146">
        <f t="shared" si="43"/>
        <v>0</v>
      </c>
      <c r="BD68" s="146">
        <f>SUM(BD30:BD64)+BD66</f>
        <v>0</v>
      </c>
      <c r="BE68" s="146">
        <f t="shared" ref="BE68:BH68" si="44">SUM(BE30:BE64)+BE66</f>
        <v>0</v>
      </c>
      <c r="BF68" s="146">
        <f t="shared" si="44"/>
        <v>0</v>
      </c>
      <c r="BG68" s="146">
        <f t="shared" si="44"/>
        <v>0</v>
      </c>
      <c r="BH68" s="146">
        <f t="shared" si="44"/>
        <v>0</v>
      </c>
      <c r="BI68" s="146">
        <f t="shared" ref="BI68:BK68" si="45">SUM(BI30:BI64)+BI66</f>
        <v>0</v>
      </c>
      <c r="BJ68" s="146">
        <f t="shared" si="45"/>
        <v>0</v>
      </c>
      <c r="BK68" s="146">
        <f t="shared" si="45"/>
        <v>0</v>
      </c>
      <c r="BM68">
        <f>SUM(BM30:BM64)</f>
        <v>0</v>
      </c>
      <c r="BN68">
        <f t="shared" ref="BN68:BZ68" si="46">SUM(BN30:BN64)</f>
        <v>0</v>
      </c>
      <c r="BO68">
        <f t="shared" si="46"/>
        <v>0</v>
      </c>
      <c r="BP68">
        <f t="shared" si="46"/>
        <v>0</v>
      </c>
      <c r="BQ68">
        <f t="shared" si="46"/>
        <v>0</v>
      </c>
      <c r="BR68">
        <f t="shared" si="46"/>
        <v>0</v>
      </c>
      <c r="BS68">
        <f t="shared" si="46"/>
        <v>0</v>
      </c>
      <c r="BT68">
        <f t="shared" si="46"/>
        <v>0</v>
      </c>
      <c r="BU68">
        <f t="shared" si="46"/>
        <v>0</v>
      </c>
      <c r="BV68">
        <f t="shared" si="46"/>
        <v>0</v>
      </c>
      <c r="BW68">
        <f t="shared" si="46"/>
        <v>0</v>
      </c>
      <c r="BX68">
        <f t="shared" si="46"/>
        <v>0</v>
      </c>
      <c r="BY68">
        <f t="shared" si="46"/>
        <v>0</v>
      </c>
      <c r="BZ68">
        <f t="shared" si="46"/>
        <v>0</v>
      </c>
      <c r="CA68">
        <f>SUM(CA30:CA64)</f>
        <v>0</v>
      </c>
      <c r="CB68">
        <f t="shared" ref="CB68:CL68" si="47">SUM(CB30:CB64)</f>
        <v>0</v>
      </c>
      <c r="CC68">
        <f t="shared" si="47"/>
        <v>0</v>
      </c>
      <c r="CD68">
        <f t="shared" si="47"/>
        <v>0</v>
      </c>
      <c r="CE68">
        <f t="shared" si="47"/>
        <v>0</v>
      </c>
      <c r="CF68">
        <f t="shared" si="47"/>
        <v>0</v>
      </c>
      <c r="CG68">
        <f t="shared" si="47"/>
        <v>0</v>
      </c>
      <c r="CH68">
        <f t="shared" si="47"/>
        <v>0</v>
      </c>
      <c r="CI68">
        <f t="shared" si="47"/>
        <v>0</v>
      </c>
      <c r="CJ68">
        <f t="shared" si="47"/>
        <v>0</v>
      </c>
      <c r="CK68">
        <f t="shared" si="47"/>
        <v>0</v>
      </c>
      <c r="CL68">
        <f t="shared" si="47"/>
        <v>0</v>
      </c>
      <c r="CM68">
        <f>SUM(CM30:CM64)</f>
        <v>0</v>
      </c>
      <c r="CN68">
        <f t="shared" ref="CN68:CZ68" si="48">SUM(CN30:CN64)</f>
        <v>0</v>
      </c>
      <c r="CO68">
        <f t="shared" si="48"/>
        <v>0</v>
      </c>
      <c r="CP68">
        <f t="shared" si="48"/>
        <v>0</v>
      </c>
      <c r="CQ68">
        <f t="shared" si="48"/>
        <v>0</v>
      </c>
      <c r="CR68">
        <f t="shared" si="48"/>
        <v>0</v>
      </c>
      <c r="CS68">
        <f t="shared" si="48"/>
        <v>0</v>
      </c>
      <c r="CT68">
        <f t="shared" si="48"/>
        <v>0</v>
      </c>
      <c r="CU68">
        <f t="shared" si="48"/>
        <v>0</v>
      </c>
      <c r="CV68">
        <f t="shared" si="48"/>
        <v>0</v>
      </c>
      <c r="CW68">
        <f t="shared" si="48"/>
        <v>0</v>
      </c>
      <c r="CX68">
        <f t="shared" si="48"/>
        <v>0</v>
      </c>
      <c r="CY68">
        <f t="shared" si="48"/>
        <v>0</v>
      </c>
      <c r="CZ68">
        <f t="shared" si="48"/>
        <v>0</v>
      </c>
      <c r="DA68">
        <f>SUM(DA30:DA64)</f>
        <v>0</v>
      </c>
      <c r="DB68">
        <f t="shared" ref="DB68:DN68" si="49">SUM(DB30:DB64)</f>
        <v>0</v>
      </c>
      <c r="DC68">
        <f t="shared" si="49"/>
        <v>0</v>
      </c>
      <c r="DD68">
        <f t="shared" si="49"/>
        <v>0</v>
      </c>
      <c r="DE68">
        <f t="shared" si="49"/>
        <v>0</v>
      </c>
      <c r="DF68">
        <f t="shared" si="49"/>
        <v>0</v>
      </c>
      <c r="DG68">
        <f t="shared" si="49"/>
        <v>0</v>
      </c>
      <c r="DH68">
        <f t="shared" si="49"/>
        <v>0</v>
      </c>
      <c r="DI68">
        <f t="shared" si="49"/>
        <v>0</v>
      </c>
      <c r="DJ68">
        <f t="shared" si="49"/>
        <v>0</v>
      </c>
      <c r="DK68">
        <f t="shared" si="49"/>
        <v>0</v>
      </c>
      <c r="DL68">
        <f t="shared" si="49"/>
        <v>0</v>
      </c>
      <c r="DM68">
        <f t="shared" si="49"/>
        <v>0</v>
      </c>
      <c r="DN68">
        <f t="shared" si="49"/>
        <v>0</v>
      </c>
      <c r="DO68">
        <f>SUM(DO30:DO64)</f>
        <v>0</v>
      </c>
      <c r="DP68">
        <f t="shared" ref="DP68:DS68" si="50">SUM(DP30:DP64)</f>
        <v>0</v>
      </c>
      <c r="DQ68">
        <f t="shared" si="50"/>
        <v>0</v>
      </c>
      <c r="DR68">
        <f t="shared" si="50"/>
        <v>0</v>
      </c>
      <c r="DS68">
        <f t="shared" si="50"/>
        <v>0</v>
      </c>
      <c r="DT68">
        <f>SUM(DT30:DT64)</f>
        <v>0</v>
      </c>
      <c r="DU68">
        <f t="shared" ref="DU68:EA68" si="51">SUM(DU30:DU64)</f>
        <v>0</v>
      </c>
      <c r="DV68">
        <f t="shared" si="51"/>
        <v>0</v>
      </c>
      <c r="DW68">
        <f t="shared" si="51"/>
        <v>0</v>
      </c>
      <c r="DX68">
        <f t="shared" si="51"/>
        <v>0</v>
      </c>
      <c r="DY68">
        <f t="shared" si="51"/>
        <v>0</v>
      </c>
      <c r="DZ68">
        <f t="shared" si="51"/>
        <v>0</v>
      </c>
      <c r="EA68">
        <f t="shared" si="51"/>
        <v>0</v>
      </c>
      <c r="EB68">
        <f>SUM(EB30:EB64)</f>
        <v>0</v>
      </c>
      <c r="EC68"/>
      <c r="ED68"/>
      <c r="EE68"/>
      <c r="EF68"/>
      <c r="EG68"/>
    </row>
    <row r="69" spans="2:137" ht="15" customHeight="1">
      <c r="D69" s="33"/>
      <c r="F69" s="38"/>
      <c r="G69" s="38"/>
      <c r="H69" s="55"/>
      <c r="AN69" s="1"/>
      <c r="AO69" s="1"/>
      <c r="AP69" s="1"/>
      <c r="BM69" s="564" t="str">
        <f>INDEX(EPD_Measures,1)</f>
        <v>Global warming potential (GWP)</v>
      </c>
      <c r="BN69" s="564" t="str">
        <f>INDEX(EPD_Measures,2)</f>
        <v>Acidification potential</v>
      </c>
      <c r="BO69" s="564" t="str">
        <f>INDEX(EPD_Measures,3)</f>
        <v>Eutrophication potential</v>
      </c>
      <c r="BP69" s="564" t="str">
        <f>INDEX(EPD_Measures,4)</f>
        <v>Smog creation potential</v>
      </c>
      <c r="BQ69" s="564" t="str">
        <f>INDEX(EPD_Measures,5)</f>
        <v>Ozone depletion potential</v>
      </c>
      <c r="BR69" s="564" t="str">
        <f>INDEX(EPD_Measures,6)</f>
        <v>Total primary energy consumption</v>
      </c>
      <c r="BS69" s="564" t="str">
        <f>INDEX(EPD_Measures,7)</f>
        <v>Nonrenewable energy resources</v>
      </c>
      <c r="BT69" s="564" t="str">
        <f>INDEX(EPD_Measures,8)</f>
        <v>Renewable energy resources</v>
      </c>
      <c r="BU69" s="564" t="str">
        <f>INDEX(EPD_Measures,9)</f>
        <v>Material resources consumption</v>
      </c>
      <c r="BV69" s="564" t="str">
        <f>INDEX(EPD_Measures,10)</f>
        <v>Nonrenewable material resources</v>
      </c>
      <c r="BW69" s="564" t="str">
        <f>INDEX(EPD_Measures,11)</f>
        <v>Renewable material resources</v>
      </c>
      <c r="BX69" s="564" t="str">
        <f>INDEX(EPD_Measures,12)</f>
        <v>Net Fresh Water</v>
      </c>
      <c r="BY69" s="564" t="str">
        <f>INDEX(EPD_Measures,13)</f>
        <v>Non-hazardous waste generated</v>
      </c>
      <c r="BZ69" s="564" t="str">
        <f>INDEX(EPD_Measures,14)</f>
        <v>Hazardous waste generated</v>
      </c>
      <c r="CA69"/>
      <c r="CB69"/>
      <c r="CC69"/>
      <c r="CD69"/>
      <c r="CE69"/>
      <c r="CF69"/>
      <c r="CG69"/>
      <c r="CH69"/>
      <c r="CI69"/>
      <c r="CJ69"/>
      <c r="CK69"/>
      <c r="CL69"/>
      <c r="CM69"/>
      <c r="CN69"/>
      <c r="CO69"/>
      <c r="CP69"/>
      <c r="CQ69"/>
      <c r="CR69"/>
      <c r="CS69" s="318">
        <f>DO68-$BM71</f>
        <v>0</v>
      </c>
      <c r="CT69" s="318">
        <f>DP68-$BM71</f>
        <v>0</v>
      </c>
      <c r="CU69" s="318">
        <f>DQ68-$BM71</f>
        <v>0</v>
      </c>
      <c r="CV69" s="318">
        <f>DR68-$BM71</f>
        <v>0</v>
      </c>
      <c r="CW69" s="318">
        <f>DS68-$BM71</f>
        <v>0</v>
      </c>
      <c r="CX69" s="318">
        <f t="shared" ref="CX69:CY69" si="52">DT68-$BM71</f>
        <v>0</v>
      </c>
      <c r="CY69" s="318">
        <f t="shared" si="52"/>
        <v>0</v>
      </c>
      <c r="CZ69" s="318">
        <f>DT68-$BM71</f>
        <v>0</v>
      </c>
      <c r="DA69" s="318"/>
      <c r="DB69" s="318"/>
      <c r="DC69" s="318"/>
      <c r="DD69" s="318"/>
      <c r="DE69" s="318"/>
      <c r="DF69" s="318">
        <f>EB68-$BZ71</f>
        <v>0</v>
      </c>
      <c r="DG69"/>
      <c r="DH69"/>
      <c r="DI69"/>
      <c r="DJ69"/>
      <c r="DK69"/>
    </row>
    <row r="70" spans="2:137" ht="15" hidden="1" customHeight="1" thickBot="1">
      <c r="L70" s="13"/>
      <c r="AN70" s="1"/>
      <c r="AO70" s="1"/>
      <c r="AP70" s="1"/>
      <c r="BM70" s="490" t="str">
        <f>INDEX(EPD_Calc_Units,1)</f>
        <v>kg</v>
      </c>
      <c r="BN70" s="490" t="str">
        <f>INDEX(EPD_Calc_Units,2)</f>
        <v>kg</v>
      </c>
      <c r="BO70" s="490" t="str">
        <f>INDEX(EPD_Calc_Units,3)</f>
        <v>kg</v>
      </c>
      <c r="BP70" s="490" t="str">
        <f>INDEX(EPD_Calc_Units,4)</f>
        <v>kg</v>
      </c>
      <c r="BQ70" s="490" t="str">
        <f>INDEX(EPD_Calc_Units,5)</f>
        <v>kg</v>
      </c>
      <c r="BR70" s="490" t="str">
        <f>INDEX(EPD_Calc_Units,6)</f>
        <v>MJ</v>
      </c>
      <c r="BS70" s="490" t="str">
        <f>INDEX(EPD_Calc_Units,7)</f>
        <v>MJ</v>
      </c>
      <c r="BT70" s="490" t="str">
        <f>INDEX(EPD_Calc_Units,8)</f>
        <v>MJ</v>
      </c>
      <c r="BU70" s="490" t="str">
        <f>INDEX(EPD_Calc_Units,9)</f>
        <v>kg</v>
      </c>
      <c r="BV70" s="490" t="str">
        <f>INDEX(EPD_Calc_Units,10)</f>
        <v>kg</v>
      </c>
      <c r="BW70" s="490" t="str">
        <f>INDEX(EPD_Calc_Units,11)</f>
        <v>kg</v>
      </c>
      <c r="BX70" s="490" t="str">
        <f>INDEX(EPD_Calc_Units,12)</f>
        <v>m3</v>
      </c>
      <c r="BY70" s="490" t="str">
        <f>INDEX(EPD_Calc_Units,13)</f>
        <v>kg</v>
      </c>
      <c r="BZ70" s="490" t="str">
        <f>INDEX(EPD_Calc_Units,14)</f>
        <v>kg</v>
      </c>
      <c r="CA70"/>
      <c r="CB70"/>
      <c r="CC70"/>
      <c r="CD70"/>
      <c r="CE70"/>
      <c r="CF70"/>
      <c r="CG70"/>
      <c r="CH70"/>
    </row>
    <row r="71" spans="2:137" ht="21" hidden="1" thickBot="1">
      <c r="C71" s="16" t="s">
        <v>244</v>
      </c>
      <c r="D71" s="17"/>
      <c r="E71" s="17"/>
      <c r="F71" s="17"/>
      <c r="G71" s="17"/>
      <c r="H71" s="17"/>
      <c r="I71" s="17"/>
      <c r="J71" s="18"/>
      <c r="K71"/>
      <c r="L71"/>
      <c r="AN71" s="1"/>
      <c r="AO71" s="1"/>
      <c r="AP71" s="1"/>
      <c r="BL71" s="143" t="s">
        <v>726</v>
      </c>
      <c r="BM71" s="144">
        <f t="shared" ref="BM71:BY71" si="53">BM$68+CA$68+CM$68+DA$68</f>
        <v>0</v>
      </c>
      <c r="BN71" s="144">
        <f t="shared" si="53"/>
        <v>0</v>
      </c>
      <c r="BO71" s="144">
        <f t="shared" si="53"/>
        <v>0</v>
      </c>
      <c r="BP71" s="144">
        <f t="shared" si="53"/>
        <v>0</v>
      </c>
      <c r="BQ71" s="144">
        <f t="shared" si="53"/>
        <v>0</v>
      </c>
      <c r="BR71" s="144">
        <f t="shared" si="53"/>
        <v>0</v>
      </c>
      <c r="BS71" s="144">
        <f t="shared" si="53"/>
        <v>0</v>
      </c>
      <c r="BT71" s="144">
        <f t="shared" si="53"/>
        <v>0</v>
      </c>
      <c r="BU71" s="144">
        <f t="shared" si="53"/>
        <v>0</v>
      </c>
      <c r="BV71" s="144">
        <f t="shared" si="53"/>
        <v>0</v>
      </c>
      <c r="BW71" s="144">
        <f t="shared" si="53"/>
        <v>0</v>
      </c>
      <c r="BX71" s="144">
        <f t="shared" si="53"/>
        <v>0</v>
      </c>
      <c r="BY71" s="144">
        <f t="shared" si="53"/>
        <v>0</v>
      </c>
      <c r="BZ71" s="144">
        <f>BZ$68+CL$68+CZ$68+DN$68</f>
        <v>0</v>
      </c>
      <c r="CA71"/>
      <c r="CB71"/>
      <c r="CC71"/>
      <c r="CD71"/>
      <c r="CE71"/>
      <c r="CF71"/>
      <c r="CG71"/>
      <c r="CH71"/>
    </row>
    <row r="72" spans="2:137" ht="15" hidden="1" customHeight="1" thickBot="1">
      <c r="C72" s="73" t="s">
        <v>245</v>
      </c>
      <c r="D72" s="74"/>
      <c r="E72" s="74"/>
      <c r="F72" s="74"/>
      <c r="G72" s="74"/>
      <c r="H72" s="74"/>
      <c r="I72" s="131"/>
      <c r="J72" s="165"/>
      <c r="K72"/>
      <c r="L72"/>
      <c r="AN72" s="1"/>
      <c r="AO72" s="1"/>
      <c r="AP72" s="1"/>
    </row>
    <row r="73" spans="2:137" ht="30" hidden="1" customHeight="1">
      <c r="C73" s="31"/>
      <c r="I73" s="663" t="s">
        <v>208</v>
      </c>
      <c r="J73" s="689" t="s">
        <v>262</v>
      </c>
      <c r="K73"/>
      <c r="L73"/>
      <c r="AN73" s="1"/>
      <c r="AO73" s="1"/>
      <c r="AP73" s="1"/>
      <c r="AU73" s="551" t="s">
        <v>221</v>
      </c>
      <c r="AV73" s="552"/>
      <c r="AW73" s="552"/>
      <c r="AX73" s="552"/>
      <c r="AY73" s="552"/>
      <c r="AZ73" s="552"/>
      <c r="BA73" s="552"/>
      <c r="BB73" s="552"/>
      <c r="BC73" s="552"/>
      <c r="BD73" s="552"/>
      <c r="BE73" s="552"/>
      <c r="BF73" s="552"/>
      <c r="BG73" s="552"/>
      <c r="BH73" s="553"/>
      <c r="BI73" s="554" t="s">
        <v>509</v>
      </c>
      <c r="BJ73" s="555"/>
      <c r="BK73" s="555"/>
      <c r="BL73" s="555"/>
      <c r="BM73" s="555"/>
      <c r="BN73" s="555"/>
      <c r="BO73" s="555"/>
      <c r="BP73" s="555"/>
      <c r="BQ73" s="555"/>
      <c r="BR73" s="555"/>
      <c r="BS73" s="555"/>
      <c r="BT73" s="555"/>
      <c r="BU73" s="555"/>
      <c r="BV73" s="556"/>
      <c r="BW73" s="557" t="s">
        <v>510</v>
      </c>
      <c r="BX73" s="558"/>
      <c r="BY73" s="558"/>
      <c r="BZ73" s="558"/>
      <c r="CA73" s="558"/>
      <c r="CB73" s="558"/>
      <c r="CC73" s="558"/>
      <c r="CD73" s="558"/>
      <c r="CE73" s="558"/>
      <c r="CF73" s="558"/>
      <c r="CG73" s="558"/>
      <c r="CH73" s="558"/>
      <c r="CI73" s="558"/>
      <c r="CJ73" s="559"/>
      <c r="CK73"/>
      <c r="CL73"/>
      <c r="CM73"/>
      <c r="CN73"/>
      <c r="CO73"/>
      <c r="CP73"/>
      <c r="CQ73"/>
      <c r="CR73"/>
      <c r="CS73"/>
      <c r="CT73"/>
      <c r="CU73"/>
      <c r="CV73"/>
      <c r="CW73"/>
      <c r="CX73"/>
      <c r="CY73"/>
      <c r="CZ73"/>
      <c r="DA73"/>
      <c r="DB73"/>
    </row>
    <row r="74" spans="2:137" ht="30" hidden="1" customHeight="1">
      <c r="C74" s="21"/>
      <c r="D74" s="30"/>
      <c r="E74" s="30"/>
      <c r="F74" s="30"/>
      <c r="G74" s="30"/>
      <c r="H74" s="30"/>
      <c r="I74" s="664"/>
      <c r="J74" s="690"/>
      <c r="K74"/>
      <c r="L74"/>
      <c r="Y74"/>
      <c r="Z74"/>
      <c r="AA74"/>
      <c r="AB74"/>
      <c r="AC74"/>
      <c r="AD74"/>
      <c r="AE74"/>
      <c r="AF74"/>
      <c r="AG74"/>
      <c r="AH74"/>
      <c r="AI74"/>
      <c r="AJ74"/>
      <c r="AK74"/>
      <c r="AL74"/>
      <c r="AN74" s="1"/>
      <c r="AO74" s="1"/>
      <c r="AP74" s="1"/>
      <c r="AU74" s="560" t="str">
        <f>INDEX(EPD_Measures,1)</f>
        <v>Global warming potential (GWP)</v>
      </c>
      <c r="AV74" s="560" t="str">
        <f>INDEX(EPD_Measures,2)</f>
        <v>Acidification potential</v>
      </c>
      <c r="AW74" s="560" t="str">
        <f>INDEX(EPD_Measures,3)</f>
        <v>Eutrophication potential</v>
      </c>
      <c r="AX74" s="560" t="str">
        <f>INDEX(EPD_Measures,4)</f>
        <v>Smog creation potential</v>
      </c>
      <c r="AY74" s="560" t="str">
        <f>INDEX(EPD_Measures,5)</f>
        <v>Ozone depletion potential</v>
      </c>
      <c r="AZ74" s="560" t="str">
        <f>INDEX(EPD_Measures,6)</f>
        <v>Total primary energy consumption</v>
      </c>
      <c r="BA74" s="560" t="str">
        <f>INDEX(EPD_Measures,7)</f>
        <v>Nonrenewable energy resources</v>
      </c>
      <c r="BB74" s="560" t="str">
        <f>INDEX(EPD_Measures,8)</f>
        <v>Renewable energy resources</v>
      </c>
      <c r="BC74" s="560" t="str">
        <f>INDEX(EPD_Measures,9)</f>
        <v>Material resources consumption</v>
      </c>
      <c r="BD74" s="560" t="str">
        <f>INDEX(EPD_Measures,10)</f>
        <v>Nonrenewable material resources</v>
      </c>
      <c r="BE74" s="560" t="str">
        <f>INDEX(EPD_Measures,11)</f>
        <v>Renewable material resources</v>
      </c>
      <c r="BF74" s="560" t="str">
        <f>INDEX(EPD_Measures,12)</f>
        <v>Net Fresh Water</v>
      </c>
      <c r="BG74" s="560" t="str">
        <f>INDEX(EPD_Measures,13)</f>
        <v>Non-hazardous waste generated</v>
      </c>
      <c r="BH74" s="560" t="str">
        <f>INDEX(EPD_Measures,14)</f>
        <v>Hazardous waste generated</v>
      </c>
      <c r="BI74" s="561" t="str">
        <f>INDEX(EPD_Measures,1)</f>
        <v>Global warming potential (GWP)</v>
      </c>
      <c r="BJ74" s="561" t="str">
        <f>INDEX(EPD_Measures,2)</f>
        <v>Acidification potential</v>
      </c>
      <c r="BK74" s="561" t="str">
        <f>INDEX(EPD_Measures,3)</f>
        <v>Eutrophication potential</v>
      </c>
      <c r="BL74" s="561" t="str">
        <f>INDEX(EPD_Measures,4)</f>
        <v>Smog creation potential</v>
      </c>
      <c r="BM74" s="561" t="str">
        <f>INDEX(EPD_Measures,5)</f>
        <v>Ozone depletion potential</v>
      </c>
      <c r="BN74" s="561" t="str">
        <f>INDEX(EPD_Measures,6)</f>
        <v>Total primary energy consumption</v>
      </c>
      <c r="BO74" s="561" t="str">
        <f>INDEX(EPD_Measures,7)</f>
        <v>Nonrenewable energy resources</v>
      </c>
      <c r="BP74" s="561" t="str">
        <f>INDEX(EPD_Measures,8)</f>
        <v>Renewable energy resources</v>
      </c>
      <c r="BQ74" s="561" t="str">
        <f>INDEX(EPD_Measures,9)</f>
        <v>Material resources consumption</v>
      </c>
      <c r="BR74" s="561" t="str">
        <f>INDEX(EPD_Measures,10)</f>
        <v>Nonrenewable material resources</v>
      </c>
      <c r="BS74" s="561" t="str">
        <f>INDEX(EPD_Measures,11)</f>
        <v>Renewable material resources</v>
      </c>
      <c r="BT74" s="561" t="str">
        <f>INDEX(EPD_Measures,12)</f>
        <v>Net Fresh Water</v>
      </c>
      <c r="BU74" s="561" t="str">
        <f>INDEX(EPD_Measures,13)</f>
        <v>Non-hazardous waste generated</v>
      </c>
      <c r="BV74" s="561" t="str">
        <f>INDEX(EPD_Measures,14)</f>
        <v>Hazardous waste generated</v>
      </c>
      <c r="BW74" s="562" t="str">
        <f>INDEX(EPD_Measures,1)</f>
        <v>Global warming potential (GWP)</v>
      </c>
      <c r="BX74" s="562" t="str">
        <f>INDEX(EPD_Measures,2)</f>
        <v>Acidification potential</v>
      </c>
      <c r="BY74" s="562" t="str">
        <f>INDEX(EPD_Measures,3)</f>
        <v>Eutrophication potential</v>
      </c>
      <c r="BZ74" s="562" t="str">
        <f>INDEX(EPD_Measures,4)</f>
        <v>Smog creation potential</v>
      </c>
      <c r="CA74" s="562" t="str">
        <f>INDEX(EPD_Measures,5)</f>
        <v>Ozone depletion potential</v>
      </c>
      <c r="CB74" s="562" t="str">
        <f>INDEX(EPD_Measures,6)</f>
        <v>Total primary energy consumption</v>
      </c>
      <c r="CC74" s="562" t="str">
        <f>INDEX(EPD_Measures,7)</f>
        <v>Nonrenewable energy resources</v>
      </c>
      <c r="CD74" s="562" t="str">
        <f>INDEX(EPD_Measures,8)</f>
        <v>Renewable energy resources</v>
      </c>
      <c r="CE74" s="562" t="str">
        <f>INDEX(EPD_Measures,9)</f>
        <v>Material resources consumption</v>
      </c>
      <c r="CF74" s="562" t="str">
        <f>INDEX(EPD_Measures,10)</f>
        <v>Nonrenewable material resources</v>
      </c>
      <c r="CG74" s="562" t="str">
        <f>INDEX(EPD_Measures,11)</f>
        <v>Renewable material resources</v>
      </c>
      <c r="CH74" s="562" t="str">
        <f>INDEX(EPD_Measures,12)</f>
        <v>Net Fresh Water</v>
      </c>
      <c r="CI74" s="562" t="str">
        <f>INDEX(EPD_Measures,13)</f>
        <v>Non-hazardous waste generated</v>
      </c>
      <c r="CJ74" s="562" t="str">
        <f>INDEX(EPD_Measures,14)</f>
        <v>Hazardous waste generated</v>
      </c>
      <c r="CK74"/>
      <c r="CL74"/>
      <c r="CM74"/>
      <c r="CN74"/>
      <c r="CO74"/>
      <c r="CP74"/>
      <c r="CQ74"/>
      <c r="CR74"/>
      <c r="CS74"/>
      <c r="CT74"/>
      <c r="CU74"/>
      <c r="CV74"/>
      <c r="CW74"/>
      <c r="CX74"/>
      <c r="CY74"/>
      <c r="CZ74"/>
      <c r="DA74"/>
      <c r="DB74"/>
    </row>
    <row r="75" spans="2:137" ht="33.75" hidden="1" customHeight="1">
      <c r="C75" s="355" t="s">
        <v>2</v>
      </c>
      <c r="D75" s="356" t="s">
        <v>10</v>
      </c>
      <c r="E75" s="402" t="s">
        <v>116</v>
      </c>
      <c r="F75" s="167" t="s">
        <v>6</v>
      </c>
      <c r="G75" s="168" t="str">
        <f>IF($Y$2="Custom","Custom Project Operating Energy","Operating Energy
 of Category "&amp;$Y$2)</f>
        <v>Operating Energy
 of Category D</v>
      </c>
      <c r="H75" s="167" t="s">
        <v>6</v>
      </c>
      <c r="I75" s="135" t="str">
        <f>TRACITotalDisplayUnit</f>
        <v>short ton</v>
      </c>
      <c r="J75" s="166" t="str">
        <f>EnergyTotalDisplayUnit</f>
        <v>MMBtu</v>
      </c>
      <c r="K75"/>
      <c r="L75"/>
      <c r="Y75"/>
      <c r="Z75"/>
      <c r="AA75"/>
      <c r="AB75"/>
      <c r="AC75"/>
      <c r="AD75"/>
      <c r="AE75"/>
      <c r="AF75"/>
      <c r="AG75"/>
      <c r="AH75"/>
      <c r="AI75"/>
      <c r="AJ75"/>
      <c r="AK75"/>
      <c r="AL75"/>
      <c r="AN75" s="1" t="s">
        <v>129</v>
      </c>
      <c r="AO75" s="1" t="s">
        <v>126</v>
      </c>
      <c r="AP75" s="87" t="s">
        <v>79</v>
      </c>
      <c r="AQ75" s="87" t="s">
        <v>210</v>
      </c>
      <c r="AS75" t="s">
        <v>508</v>
      </c>
      <c r="AT75" t="s">
        <v>479</v>
      </c>
      <c r="AU75" s="357" t="str">
        <f>INDEX(EPD_Calc_Units,1)</f>
        <v>kg</v>
      </c>
      <c r="AV75" s="357" t="str">
        <f>INDEX(EPD_Calc_Units,2)</f>
        <v>kg</v>
      </c>
      <c r="AW75" s="357" t="str">
        <f>INDEX(EPD_Calc_Units,3)</f>
        <v>kg</v>
      </c>
      <c r="AX75" s="357" t="str">
        <f>INDEX(EPD_Calc_Units,4)</f>
        <v>kg</v>
      </c>
      <c r="AY75" s="357" t="str">
        <f>INDEX(EPD_Calc_Units,5)</f>
        <v>kg</v>
      </c>
      <c r="AZ75" s="357" t="str">
        <f>INDEX(EPD_Calc_Units,6)</f>
        <v>MJ</v>
      </c>
      <c r="BA75" s="357" t="str">
        <f>INDEX(EPD_Calc_Units,7)</f>
        <v>MJ</v>
      </c>
      <c r="BB75" s="357" t="str">
        <f>INDEX(EPD_Calc_Units,8)</f>
        <v>MJ</v>
      </c>
      <c r="BC75" s="357" t="str">
        <f>INDEX(EPD_Calc_Units,9)</f>
        <v>kg</v>
      </c>
      <c r="BD75" s="357" t="str">
        <f>INDEX(EPD_Calc_Units,10)</f>
        <v>kg</v>
      </c>
      <c r="BE75" s="357" t="str">
        <f>INDEX(EPD_Calc_Units,11)</f>
        <v>kg</v>
      </c>
      <c r="BF75" s="357" t="str">
        <f>INDEX(EPD_Calc_Units,12)</f>
        <v>m3</v>
      </c>
      <c r="BG75" s="357" t="str">
        <f>INDEX(EPD_Calc_Units,13)</f>
        <v>kg</v>
      </c>
      <c r="BH75" s="357" t="str">
        <f>INDEX(EPD_Calc_Units,14)</f>
        <v>kg</v>
      </c>
      <c r="BI75" s="359" t="str">
        <f>TRACITotalDisplayUnit</f>
        <v>short ton</v>
      </c>
      <c r="BJ75" s="359" t="str">
        <f>TRACITotalDisplayUnit</f>
        <v>short ton</v>
      </c>
      <c r="BK75" s="359" t="str">
        <f>TRACITotalDisplayUnit</f>
        <v>short ton</v>
      </c>
      <c r="BL75" s="359" t="str">
        <f>TRACITotalDisplayUnit</f>
        <v>short ton</v>
      </c>
      <c r="BM75" s="359" t="str">
        <f>TRACITotalDisplayUnit</f>
        <v>short ton</v>
      </c>
      <c r="BN75" s="359" t="str">
        <f>EnergyTotalDisplayUnit</f>
        <v>MMBtu</v>
      </c>
      <c r="BO75" s="359" t="str">
        <f>EnergyTotalDisplayUnit</f>
        <v>MMBtu</v>
      </c>
      <c r="BP75" s="359" t="str">
        <f>EnergyTotalDisplayUnit</f>
        <v>MMBtu</v>
      </c>
      <c r="BQ75" s="359" t="str">
        <f>MassDisplayUnit</f>
        <v>short ton</v>
      </c>
      <c r="BR75" s="359" t="str">
        <f>MassDisplayUnit</f>
        <v>short ton</v>
      </c>
      <c r="BS75" s="359" t="str">
        <f>MassDisplayUnit</f>
        <v>short ton</v>
      </c>
      <c r="BT75" s="359" t="str">
        <f>WaterTotalDisplayUnit</f>
        <v>kgal</v>
      </c>
      <c r="BU75" s="359" t="str">
        <f>MassDisplayUnit</f>
        <v>short ton</v>
      </c>
      <c r="BV75" s="359" t="str">
        <f>MassDisplayUnit</f>
        <v>short ton</v>
      </c>
      <c r="BW75" s="361" t="str">
        <f>TRACIPerTonneDisplayUnit</f>
        <v>lbs</v>
      </c>
      <c r="BX75" s="361" t="str">
        <f>TRACIPerTonneDisplayUnit</f>
        <v>lbs</v>
      </c>
      <c r="BY75" s="361" t="str">
        <f>TRACIPerTonneDisplayUnit</f>
        <v>lbs</v>
      </c>
      <c r="BZ75" s="361" t="str">
        <f>TRACIPerTonneDisplayUnit</f>
        <v>lbs</v>
      </c>
      <c r="CA75" s="361" t="str">
        <f>TRACIPerTonneDisplayUnit</f>
        <v>lbs</v>
      </c>
      <c r="CB75" s="361" t="str">
        <f>EnergyPerTonneDisplayUnit</f>
        <v>MBtu</v>
      </c>
      <c r="CC75" s="361" t="str">
        <f>EnergyPerTonneDisplayUnit</f>
        <v>MBtu</v>
      </c>
      <c r="CD75" s="361" t="str">
        <f>EnergyPerTonneDisplayUnit</f>
        <v>MBtu</v>
      </c>
      <c r="CE75" s="361" t="str">
        <f>MassDisplayUnit</f>
        <v>short ton</v>
      </c>
      <c r="CF75" s="361" t="str">
        <f>MassDisplayUnit</f>
        <v>short ton</v>
      </c>
      <c r="CG75" s="361" t="str">
        <f>MassDisplayUnit</f>
        <v>short ton</v>
      </c>
      <c r="CH75" s="361" t="str">
        <f>WaterPerTonneDisplayUnit</f>
        <v>gallon</v>
      </c>
      <c r="CI75" s="361" t="str">
        <f>MassDisplayUnit</f>
        <v>short ton</v>
      </c>
      <c r="CJ75" s="361" t="str">
        <f>MassDisplayUnit</f>
        <v>short ton</v>
      </c>
      <c r="CK75"/>
      <c r="CL75"/>
      <c r="CM75"/>
      <c r="CN75"/>
      <c r="CO75"/>
      <c r="CP75"/>
      <c r="CQ75"/>
      <c r="CR75"/>
      <c r="CS75"/>
      <c r="CT75"/>
      <c r="CU75"/>
      <c r="CV75"/>
      <c r="CW75"/>
      <c r="CX75"/>
      <c r="CY75"/>
      <c r="CZ75"/>
      <c r="DA75"/>
      <c r="DB75"/>
    </row>
    <row r="76" spans="2:137" ht="15" hidden="1" customHeight="1">
      <c r="B76" s="53">
        <f t="shared" ref="B76:B86" si="54">X76</f>
        <v>0</v>
      </c>
      <c r="C76" s="26">
        <v>1</v>
      </c>
      <c r="D76" s="46" t="s">
        <v>78</v>
      </c>
      <c r="E76" s="420">
        <f>'Plant Inputs'!$G76</f>
        <v>0</v>
      </c>
      <c r="F76" s="204" t="str">
        <f>'Plant Inputs'!$H76</f>
        <v>kWh/short ton</v>
      </c>
      <c r="G76" s="160">
        <f t="shared" ref="G76:G86" si="55">$E76*$E$18</f>
        <v>0</v>
      </c>
      <c r="H76" s="204" t="str">
        <f t="shared" ref="H76:H86" si="56">LEFT(F76,FIND("/",F76)-1)</f>
        <v>kWh</v>
      </c>
      <c r="I76" s="160">
        <f>$BI76</f>
        <v>0</v>
      </c>
      <c r="J76" s="177">
        <f>$BN76</f>
        <v>0</v>
      </c>
      <c r="K76"/>
      <c r="L76"/>
      <c r="X76" s="65">
        <f>'Plant Inputs'!$X76</f>
        <v>0</v>
      </c>
      <c r="Y76" s="216">
        <f>IF(AND($X76=1,'Plant Inputs'!$Y76=1),1,0)</f>
        <v>0</v>
      </c>
      <c r="Z76" s="216"/>
      <c r="AA76" s="216"/>
      <c r="AB76" s="216"/>
      <c r="AC76" s="216"/>
      <c r="AD76" s="216"/>
      <c r="AE76" s="216"/>
      <c r="AF76" s="216"/>
      <c r="AG76" s="216"/>
      <c r="AH76" s="216"/>
      <c r="AI76" s="216"/>
      <c r="AJ76" s="216"/>
      <c r="AK76" s="216"/>
      <c r="AL76" s="216"/>
      <c r="AM76" s="1" t="str">
        <f t="shared" ref="AM76:AM86" si="57">D76</f>
        <v>Purchased Electricity (from Regional Electricity Grid)</v>
      </c>
      <c r="AN76" s="403">
        <f>G76</f>
        <v>0</v>
      </c>
      <c r="AO76" s="164" t="str">
        <f>H76</f>
        <v>kWh</v>
      </c>
      <c r="AP76" s="1">
        <f t="shared" ref="AP76:AP86" si="58">INDEX(Conversion_Table,MATCH($AS76,Conversion_Rows,0),MATCH($AO76,Conversion_Columns,0))</f>
        <v>1</v>
      </c>
      <c r="AQ76" s="87" t="str">
        <f t="shared" ref="AQ76:AQ86" si="59">AO76&amp;"/"&amp;$AS76</f>
        <v>kWh/kWh</v>
      </c>
      <c r="AR76">
        <f t="shared" ref="AR76:AR86" si="60">AN76/AP76</f>
        <v>0</v>
      </c>
      <c r="AS76" s="87" t="str">
        <f>'CPCI Data'!$W$12</f>
        <v>kWh</v>
      </c>
      <c r="AT76">
        <f>$AO$15</f>
        <v>0</v>
      </c>
      <c r="AU76" s="358">
        <f t="array" ref="AU76">IFERROR(INDEX(LCIA_Data,MATCH($AT76&amp;AU$74,LCIA_Rows_B&amp;LCIA_Rows_C,0),MATCH($D76,LCIA_Columns,0)),0)*$AR76</f>
        <v>0</v>
      </c>
      <c r="AV76" s="358">
        <f t="array" ref="AV76">IFERROR(INDEX(LCIA_Data,MATCH($AT76&amp;AV$74,LCIA_Rows_B&amp;LCIA_Rows_C,0),MATCH($D76,LCIA_Columns,0)),0)*$AR76</f>
        <v>0</v>
      </c>
      <c r="AW76" s="358">
        <f t="array" ref="AW76">IFERROR(INDEX(LCIA_Data,MATCH($AT76&amp;AW$74,LCIA_Rows_B&amp;LCIA_Rows_C,0),MATCH($D76,LCIA_Columns,0)),0)*$AR76</f>
        <v>0</v>
      </c>
      <c r="AX76" s="358">
        <f t="array" ref="AX76">IFERROR(INDEX(LCIA_Data,MATCH($AT76&amp;AX$74,LCIA_Rows_B&amp;LCIA_Rows_C,0),MATCH($D76,LCIA_Columns,0)),0)*$AR76</f>
        <v>0</v>
      </c>
      <c r="AY76" s="358">
        <f t="array" ref="AY76">IFERROR(INDEX(LCIA_Data,MATCH($AT76&amp;AY$74,LCIA_Rows_B&amp;LCIA_Rows_C,0),MATCH($D76,LCIA_Columns,0)),0)*$AR76</f>
        <v>0</v>
      </c>
      <c r="AZ76" s="358">
        <f t="array" ref="AZ76">IFERROR(INDEX(LCIA_Data,MATCH($AT76&amp;AZ$74,LCIA_Rows_B&amp;LCIA_Rows_C,0),MATCH($D76,LCIA_Columns,0)),0)*$AR76</f>
        <v>0</v>
      </c>
      <c r="BA76" s="358">
        <f t="array" ref="BA76">IFERROR(INDEX(LCIA_Data,MATCH($AT76&amp;BA$74,LCIA_Rows_B&amp;LCIA_Rows_C,0),MATCH($D76,LCIA_Columns,0)),0)*$AR76</f>
        <v>0</v>
      </c>
      <c r="BB76" s="358">
        <f t="array" ref="BB76">IFERROR(INDEX(LCIA_Data,MATCH($AT76&amp;BB$74,LCIA_Rows_B&amp;LCIA_Rows_C,0),MATCH($D76,LCIA_Columns,0)),0)*$AR76</f>
        <v>0</v>
      </c>
      <c r="BC76" s="358">
        <f t="array" ref="BC76">IFERROR(INDEX(LCIA_Data,MATCH($AT76&amp;BC$74,LCIA_Rows_B&amp;LCIA_Rows_C,0),MATCH($D76,LCIA_Columns,0)),0)*$AR76</f>
        <v>0</v>
      </c>
      <c r="BD76" s="358">
        <f t="array" ref="BD76">IFERROR(INDEX(LCIA_Data,MATCH($AT76&amp;BD$74,LCIA_Rows_B&amp;LCIA_Rows_C,0),MATCH($D76,LCIA_Columns,0)),0)*$AR76</f>
        <v>0</v>
      </c>
      <c r="BE76" s="358">
        <f t="array" ref="BE76">IFERROR(INDEX(LCIA_Data,MATCH($AT76&amp;BE$74,LCIA_Rows_B&amp;LCIA_Rows_C,0),MATCH($D76,LCIA_Columns,0)),0)*$AR76</f>
        <v>0</v>
      </c>
      <c r="BF76" s="358">
        <f t="array" ref="BF76">IFERROR(INDEX(LCIA_Data,MATCH($AT76&amp;BF$74,LCIA_Rows_B&amp;LCIA_Rows_C,0),MATCH($D76,LCIA_Columns,0)),0)*$AR76</f>
        <v>0</v>
      </c>
      <c r="BG76" s="358">
        <f t="array" ref="BG76">IFERROR(INDEX(LCIA_Data,MATCH($AT76&amp;BG$74,LCIA_Rows_B&amp;LCIA_Rows_C,0),MATCH($D76,LCIA_Columns,0)),0)*$AR76</f>
        <v>0</v>
      </c>
      <c r="BH76" s="358">
        <f t="array" ref="BH76">IFERROR(INDEX(LCIA_Data,MATCH($AT76&amp;BH$74,LCIA_Rows_B&amp;LCIA_Rows_C,0),MATCH($D76,LCIA_Columns,0)),0)*$AR76</f>
        <v>0</v>
      </c>
      <c r="BI76" s="360">
        <f t="shared" ref="BI76:BV87" si="61">IF($AR$18=0,0,AU76*INDEX(Conversion_Table,MATCH(AU$75,Conversion_Rows,0),MATCH(BI$75,Conversion_Columns,0)))</f>
        <v>0</v>
      </c>
      <c r="BJ76" s="360">
        <f t="shared" si="61"/>
        <v>0</v>
      </c>
      <c r="BK76" s="360">
        <f t="shared" si="61"/>
        <v>0</v>
      </c>
      <c r="BL76" s="360">
        <f t="shared" si="61"/>
        <v>0</v>
      </c>
      <c r="BM76" s="360">
        <f t="shared" si="61"/>
        <v>0</v>
      </c>
      <c r="BN76" s="360">
        <f t="shared" si="61"/>
        <v>0</v>
      </c>
      <c r="BO76" s="360">
        <f t="shared" si="61"/>
        <v>0</v>
      </c>
      <c r="BP76" s="360">
        <f t="shared" si="61"/>
        <v>0</v>
      </c>
      <c r="BQ76" s="360">
        <f t="shared" si="61"/>
        <v>0</v>
      </c>
      <c r="BR76" s="360">
        <f t="shared" si="61"/>
        <v>0</v>
      </c>
      <c r="BS76" s="360">
        <f t="shared" si="61"/>
        <v>0</v>
      </c>
      <c r="BT76" s="360">
        <f t="shared" si="61"/>
        <v>0</v>
      </c>
      <c r="BU76" s="360">
        <f t="shared" si="61"/>
        <v>0</v>
      </c>
      <c r="BV76" s="360">
        <f t="shared" si="61"/>
        <v>0</v>
      </c>
      <c r="BW76" s="362">
        <f t="shared" ref="BW76:CJ87" si="62">IF($AT$18=0,0,AU76*INDEX(Conversion_Table,MATCH(AU$75,Conversion_Rows,0),MATCH(BW$75,Conversion_Columns,0))/$AT$18)</f>
        <v>0</v>
      </c>
      <c r="BX76" s="362">
        <f t="shared" si="62"/>
        <v>0</v>
      </c>
      <c r="BY76" s="362">
        <f t="shared" si="62"/>
        <v>0</v>
      </c>
      <c r="BZ76" s="362">
        <f t="shared" si="62"/>
        <v>0</v>
      </c>
      <c r="CA76" s="362">
        <f t="shared" si="62"/>
        <v>0</v>
      </c>
      <c r="CB76" s="362">
        <f t="shared" si="62"/>
        <v>0</v>
      </c>
      <c r="CC76" s="362">
        <f t="shared" si="62"/>
        <v>0</v>
      </c>
      <c r="CD76" s="362">
        <f t="shared" si="62"/>
        <v>0</v>
      </c>
      <c r="CE76" s="362">
        <f t="shared" si="62"/>
        <v>0</v>
      </c>
      <c r="CF76" s="362">
        <f t="shared" si="62"/>
        <v>0</v>
      </c>
      <c r="CG76" s="362">
        <f t="shared" si="62"/>
        <v>0</v>
      </c>
      <c r="CH76" s="362">
        <f t="shared" si="62"/>
        <v>0</v>
      </c>
      <c r="CI76" s="362">
        <f t="shared" si="62"/>
        <v>0</v>
      </c>
      <c r="CJ76" s="362">
        <f t="shared" si="62"/>
        <v>0</v>
      </c>
      <c r="CK76"/>
      <c r="CL76"/>
      <c r="CM76"/>
      <c r="CN76"/>
      <c r="CO76"/>
      <c r="CP76"/>
      <c r="CQ76"/>
      <c r="CR76"/>
      <c r="CS76"/>
      <c r="CT76"/>
      <c r="CU76"/>
      <c r="CV76"/>
      <c r="CW76"/>
      <c r="CX76"/>
      <c r="CY76"/>
      <c r="CZ76"/>
      <c r="DA76"/>
      <c r="DB76"/>
    </row>
    <row r="77" spans="2:137" ht="15" hidden="1" customHeight="1">
      <c r="B77" s="53">
        <f t="shared" si="54"/>
        <v>0</v>
      </c>
      <c r="C77" s="26">
        <v>2</v>
      </c>
      <c r="D77" s="46" t="s">
        <v>470</v>
      </c>
      <c r="E77" s="420">
        <f>'Plant Inputs'!$G77</f>
        <v>0</v>
      </c>
      <c r="F77" s="204" t="str">
        <f>'Plant Inputs'!$H77</f>
        <v>kWh/short ton</v>
      </c>
      <c r="G77" s="160">
        <f t="shared" si="55"/>
        <v>0</v>
      </c>
      <c r="H77" s="204" t="str">
        <f t="shared" si="56"/>
        <v>kWh</v>
      </c>
      <c r="I77" s="160">
        <f t="shared" ref="I77:I87" si="63">$BI77</f>
        <v>0</v>
      </c>
      <c r="J77" s="177">
        <f t="shared" ref="J77:J87" si="64">$BN77</f>
        <v>0</v>
      </c>
      <c r="K77"/>
      <c r="L77"/>
      <c r="X77" s="65">
        <f>'Plant Inputs'!$X77</f>
        <v>0</v>
      </c>
      <c r="Y77" s="216">
        <f>IF(AND($X77=1,'Plant Inputs'!$Y77=1),1,0)</f>
        <v>0</v>
      </c>
      <c r="Z77" s="216"/>
      <c r="AA77" s="216"/>
      <c r="AB77" s="216"/>
      <c r="AC77" s="216"/>
      <c r="AD77" s="216"/>
      <c r="AE77" s="216"/>
      <c r="AF77" s="216"/>
      <c r="AG77" s="216"/>
      <c r="AH77" s="216"/>
      <c r="AI77" s="216"/>
      <c r="AJ77" s="216"/>
      <c r="AK77" s="216"/>
      <c r="AL77" s="216"/>
      <c r="AM77" s="1" t="str">
        <f t="shared" si="57"/>
        <v>On-Site Generated Electricity - Solar</v>
      </c>
      <c r="AN77" s="403">
        <f t="shared" ref="AN77:AO86" si="65">G77</f>
        <v>0</v>
      </c>
      <c r="AO77" s="164" t="str">
        <f t="shared" si="65"/>
        <v>kWh</v>
      </c>
      <c r="AP77" s="1">
        <f t="shared" si="58"/>
        <v>1</v>
      </c>
      <c r="AQ77" s="87" t="str">
        <f t="shared" si="59"/>
        <v>kWh/kWh</v>
      </c>
      <c r="AR77">
        <f t="shared" si="60"/>
        <v>0</v>
      </c>
      <c r="AS77" s="87" t="str">
        <f>'CPCI Data'!$W$12</f>
        <v>kWh</v>
      </c>
      <c r="AT77">
        <f t="shared" ref="AT77:AT86" si="66">$AO$15</f>
        <v>0</v>
      </c>
      <c r="AU77" s="358">
        <f t="array" ref="AU77">IFERROR(INDEX(LCIA_Data,MATCH($AT77&amp;AU$74,LCIA_Rows_B&amp;LCIA_Rows_C,0),MATCH($D77,LCIA_Columns,0)),0)*$AR77</f>
        <v>0</v>
      </c>
      <c r="AV77" s="358">
        <f t="array" ref="AV77">IFERROR(INDEX(LCIA_Data,MATCH($AT77&amp;AV$74,LCIA_Rows_B&amp;LCIA_Rows_C,0),MATCH($D77,LCIA_Columns,0)),0)*$AR77</f>
        <v>0</v>
      </c>
      <c r="AW77" s="358">
        <f t="array" ref="AW77">IFERROR(INDEX(LCIA_Data,MATCH($AT77&amp;AW$74,LCIA_Rows_B&amp;LCIA_Rows_C,0),MATCH($D77,LCIA_Columns,0)),0)*$AR77</f>
        <v>0</v>
      </c>
      <c r="AX77" s="358">
        <f t="array" ref="AX77">IFERROR(INDEX(LCIA_Data,MATCH($AT77&amp;AX$74,LCIA_Rows_B&amp;LCIA_Rows_C,0),MATCH($D77,LCIA_Columns,0)),0)*$AR77</f>
        <v>0</v>
      </c>
      <c r="AY77" s="358">
        <f t="array" ref="AY77">IFERROR(INDEX(LCIA_Data,MATCH($AT77&amp;AY$74,LCIA_Rows_B&amp;LCIA_Rows_C,0),MATCH($D77,LCIA_Columns,0)),0)*$AR77</f>
        <v>0</v>
      </c>
      <c r="AZ77" s="358">
        <f t="array" ref="AZ77">IFERROR(INDEX(LCIA_Data,MATCH($AT77&amp;AZ$74,LCIA_Rows_B&amp;LCIA_Rows_C,0),MATCH($D77,LCIA_Columns,0)),0)*$AR77</f>
        <v>0</v>
      </c>
      <c r="BA77" s="358">
        <f t="array" ref="BA77">IFERROR(INDEX(LCIA_Data,MATCH($AT77&amp;BA$74,LCIA_Rows_B&amp;LCIA_Rows_C,0),MATCH($D77,LCIA_Columns,0)),0)*$AR77</f>
        <v>0</v>
      </c>
      <c r="BB77" s="358">
        <f t="array" ref="BB77">IFERROR(INDEX(LCIA_Data,MATCH($AT77&amp;BB$74,LCIA_Rows_B&amp;LCIA_Rows_C,0),MATCH($D77,LCIA_Columns,0)),0)*$AR77</f>
        <v>0</v>
      </c>
      <c r="BC77" s="358">
        <f t="array" ref="BC77">IFERROR(INDEX(LCIA_Data,MATCH($AT77&amp;BC$74,LCIA_Rows_B&amp;LCIA_Rows_C,0),MATCH($D77,LCIA_Columns,0)),0)*$AR77</f>
        <v>0</v>
      </c>
      <c r="BD77" s="358">
        <f t="array" ref="BD77">IFERROR(INDEX(LCIA_Data,MATCH($AT77&amp;BD$74,LCIA_Rows_B&amp;LCIA_Rows_C,0),MATCH($D77,LCIA_Columns,0)),0)*$AR77</f>
        <v>0</v>
      </c>
      <c r="BE77" s="358">
        <f t="array" ref="BE77">IFERROR(INDEX(LCIA_Data,MATCH($AT77&amp;BE$74,LCIA_Rows_B&amp;LCIA_Rows_C,0),MATCH($D77,LCIA_Columns,0)),0)*$AR77</f>
        <v>0</v>
      </c>
      <c r="BF77" s="358">
        <f t="array" ref="BF77">IFERROR(INDEX(LCIA_Data,MATCH($AT77&amp;BF$74,LCIA_Rows_B&amp;LCIA_Rows_C,0),MATCH($D77,LCIA_Columns,0)),0)*$AR77</f>
        <v>0</v>
      </c>
      <c r="BG77" s="358">
        <f t="array" ref="BG77">IFERROR(INDEX(LCIA_Data,MATCH($AT77&amp;BG$74,LCIA_Rows_B&amp;LCIA_Rows_C,0),MATCH($D77,LCIA_Columns,0)),0)*$AR77</f>
        <v>0</v>
      </c>
      <c r="BH77" s="358">
        <f t="array" ref="BH77">IFERROR(INDEX(LCIA_Data,MATCH($AT77&amp;BH$74,LCIA_Rows_B&amp;LCIA_Rows_C,0),MATCH($D77,LCIA_Columns,0)),0)*$AR77</f>
        <v>0</v>
      </c>
      <c r="BI77" s="360">
        <f t="shared" si="61"/>
        <v>0</v>
      </c>
      <c r="BJ77" s="360">
        <f t="shared" si="61"/>
        <v>0</v>
      </c>
      <c r="BK77" s="360">
        <f t="shared" si="61"/>
        <v>0</v>
      </c>
      <c r="BL77" s="360">
        <f t="shared" si="61"/>
        <v>0</v>
      </c>
      <c r="BM77" s="360">
        <f t="shared" si="61"/>
        <v>0</v>
      </c>
      <c r="BN77" s="360">
        <f t="shared" si="61"/>
        <v>0</v>
      </c>
      <c r="BO77" s="360">
        <f t="shared" si="61"/>
        <v>0</v>
      </c>
      <c r="BP77" s="360">
        <f t="shared" si="61"/>
        <v>0</v>
      </c>
      <c r="BQ77" s="360">
        <f t="shared" si="61"/>
        <v>0</v>
      </c>
      <c r="BR77" s="360">
        <f t="shared" si="61"/>
        <v>0</v>
      </c>
      <c r="BS77" s="360">
        <f t="shared" si="61"/>
        <v>0</v>
      </c>
      <c r="BT77" s="360">
        <f t="shared" si="61"/>
        <v>0</v>
      </c>
      <c r="BU77" s="360">
        <f t="shared" si="61"/>
        <v>0</v>
      </c>
      <c r="BV77" s="360">
        <f t="shared" si="61"/>
        <v>0</v>
      </c>
      <c r="BW77" s="362">
        <f t="shared" si="62"/>
        <v>0</v>
      </c>
      <c r="BX77" s="362">
        <f t="shared" si="62"/>
        <v>0</v>
      </c>
      <c r="BY77" s="362">
        <f t="shared" si="62"/>
        <v>0</v>
      </c>
      <c r="BZ77" s="362">
        <f t="shared" si="62"/>
        <v>0</v>
      </c>
      <c r="CA77" s="362">
        <f t="shared" si="62"/>
        <v>0</v>
      </c>
      <c r="CB77" s="362">
        <f t="shared" si="62"/>
        <v>0</v>
      </c>
      <c r="CC77" s="362">
        <f t="shared" si="62"/>
        <v>0</v>
      </c>
      <c r="CD77" s="362">
        <f t="shared" si="62"/>
        <v>0</v>
      </c>
      <c r="CE77" s="362">
        <f t="shared" si="62"/>
        <v>0</v>
      </c>
      <c r="CF77" s="362">
        <f t="shared" si="62"/>
        <v>0</v>
      </c>
      <c r="CG77" s="362">
        <f t="shared" si="62"/>
        <v>0</v>
      </c>
      <c r="CH77" s="362">
        <f t="shared" si="62"/>
        <v>0</v>
      </c>
      <c r="CI77" s="362">
        <f t="shared" si="62"/>
        <v>0</v>
      </c>
      <c r="CJ77" s="362">
        <f t="shared" si="62"/>
        <v>0</v>
      </c>
      <c r="CK77"/>
      <c r="CO77"/>
      <c r="CP77"/>
      <c r="CQ77"/>
      <c r="CR77"/>
      <c r="CS77"/>
      <c r="CT77"/>
      <c r="CU77"/>
      <c r="CV77"/>
      <c r="CW77"/>
      <c r="CX77"/>
      <c r="CY77"/>
      <c r="CZ77"/>
      <c r="DA77"/>
      <c r="DB77"/>
    </row>
    <row r="78" spans="2:137" ht="15" hidden="1" customHeight="1">
      <c r="B78" s="53">
        <f t="shared" si="54"/>
        <v>0</v>
      </c>
      <c r="C78" s="26">
        <v>3</v>
      </c>
      <c r="D78" s="46" t="s">
        <v>471</v>
      </c>
      <c r="E78" s="420">
        <f>'Plant Inputs'!$G78</f>
        <v>0</v>
      </c>
      <c r="F78" s="204" t="str">
        <f>'Plant Inputs'!$H78</f>
        <v>kWh/short ton</v>
      </c>
      <c r="G78" s="160">
        <f t="shared" si="55"/>
        <v>0</v>
      </c>
      <c r="H78" s="204" t="str">
        <f t="shared" si="56"/>
        <v>kWh</v>
      </c>
      <c r="I78" s="160">
        <f t="shared" si="63"/>
        <v>0</v>
      </c>
      <c r="J78" s="177">
        <f t="shared" si="64"/>
        <v>0</v>
      </c>
      <c r="K78"/>
      <c r="L78"/>
      <c r="X78" s="65">
        <f>'Plant Inputs'!$X78</f>
        <v>0</v>
      </c>
      <c r="Y78" s="216">
        <f>IF(AND($X78=1,'Plant Inputs'!$Y78=1),1,0)</f>
        <v>0</v>
      </c>
      <c r="Z78" s="216"/>
      <c r="AA78" s="216"/>
      <c r="AB78" s="216"/>
      <c r="AC78" s="216"/>
      <c r="AD78" s="216"/>
      <c r="AE78" s="216"/>
      <c r="AF78" s="216"/>
      <c r="AG78" s="216"/>
      <c r="AH78" s="216"/>
      <c r="AI78" s="216"/>
      <c r="AJ78" s="216"/>
      <c r="AK78" s="216"/>
      <c r="AL78" s="216"/>
      <c r="AM78" s="1" t="str">
        <f t="shared" si="57"/>
        <v>On-Site Generated Electricity - Wind</v>
      </c>
      <c r="AN78" s="403">
        <f t="shared" si="65"/>
        <v>0</v>
      </c>
      <c r="AO78" s="164" t="str">
        <f t="shared" si="65"/>
        <v>kWh</v>
      </c>
      <c r="AP78" s="1">
        <f t="shared" si="58"/>
        <v>1</v>
      </c>
      <c r="AQ78" s="87" t="str">
        <f t="shared" si="59"/>
        <v>kWh/kWh</v>
      </c>
      <c r="AR78">
        <f t="shared" si="60"/>
        <v>0</v>
      </c>
      <c r="AS78" s="87" t="str">
        <f>'CPCI Data'!$W$12</f>
        <v>kWh</v>
      </c>
      <c r="AT78">
        <f t="shared" si="66"/>
        <v>0</v>
      </c>
      <c r="AU78" s="358">
        <f t="array" ref="AU78">IFERROR(INDEX(LCIA_Data,MATCH($AT78&amp;AU$74,LCIA_Rows_B&amp;LCIA_Rows_C,0),MATCH($D78,LCIA_Columns,0)),0)*$AR78</f>
        <v>0</v>
      </c>
      <c r="AV78" s="358">
        <f t="array" ref="AV78">IFERROR(INDEX(LCIA_Data,MATCH($AT78&amp;AV$74,LCIA_Rows_B&amp;LCIA_Rows_C,0),MATCH($D78,LCIA_Columns,0)),0)*$AR78</f>
        <v>0</v>
      </c>
      <c r="AW78" s="358">
        <f t="array" ref="AW78">IFERROR(INDEX(LCIA_Data,MATCH($AT78&amp;AW$74,LCIA_Rows_B&amp;LCIA_Rows_C,0),MATCH($D78,LCIA_Columns,0)),0)*$AR78</f>
        <v>0</v>
      </c>
      <c r="AX78" s="358">
        <f t="array" ref="AX78">IFERROR(INDEX(LCIA_Data,MATCH($AT78&amp;AX$74,LCIA_Rows_B&amp;LCIA_Rows_C,0),MATCH($D78,LCIA_Columns,0)),0)*$AR78</f>
        <v>0</v>
      </c>
      <c r="AY78" s="358">
        <f t="array" ref="AY78">IFERROR(INDEX(LCIA_Data,MATCH($AT78&amp;AY$74,LCIA_Rows_B&amp;LCIA_Rows_C,0),MATCH($D78,LCIA_Columns,0)),0)*$AR78</f>
        <v>0</v>
      </c>
      <c r="AZ78" s="358">
        <f t="array" ref="AZ78">IFERROR(INDEX(LCIA_Data,MATCH($AT78&amp;AZ$74,LCIA_Rows_B&amp;LCIA_Rows_C,0),MATCH($D78,LCIA_Columns,0)),0)*$AR78</f>
        <v>0</v>
      </c>
      <c r="BA78" s="358">
        <f t="array" ref="BA78">IFERROR(INDEX(LCIA_Data,MATCH($AT78&amp;BA$74,LCIA_Rows_B&amp;LCIA_Rows_C,0),MATCH($D78,LCIA_Columns,0)),0)*$AR78</f>
        <v>0</v>
      </c>
      <c r="BB78" s="358">
        <f t="array" ref="BB78">IFERROR(INDEX(LCIA_Data,MATCH($AT78&amp;BB$74,LCIA_Rows_B&amp;LCIA_Rows_C,0),MATCH($D78,LCIA_Columns,0)),0)*$AR78</f>
        <v>0</v>
      </c>
      <c r="BC78" s="358">
        <f t="array" ref="BC78">IFERROR(INDEX(LCIA_Data,MATCH($AT78&amp;BC$74,LCIA_Rows_B&amp;LCIA_Rows_C,0),MATCH($D78,LCIA_Columns,0)),0)*$AR78</f>
        <v>0</v>
      </c>
      <c r="BD78" s="358">
        <f t="array" ref="BD78">IFERROR(INDEX(LCIA_Data,MATCH($AT78&amp;BD$74,LCIA_Rows_B&amp;LCIA_Rows_C,0),MATCH($D78,LCIA_Columns,0)),0)*$AR78</f>
        <v>0</v>
      </c>
      <c r="BE78" s="358">
        <f t="array" ref="BE78">IFERROR(INDEX(LCIA_Data,MATCH($AT78&amp;BE$74,LCIA_Rows_B&amp;LCIA_Rows_C,0),MATCH($D78,LCIA_Columns,0)),0)*$AR78</f>
        <v>0</v>
      </c>
      <c r="BF78" s="358">
        <f t="array" ref="BF78">IFERROR(INDEX(LCIA_Data,MATCH($AT78&amp;BF$74,LCIA_Rows_B&amp;LCIA_Rows_C,0),MATCH($D78,LCIA_Columns,0)),0)*$AR78</f>
        <v>0</v>
      </c>
      <c r="BG78" s="358">
        <f t="array" ref="BG78">IFERROR(INDEX(LCIA_Data,MATCH($AT78&amp;BG$74,LCIA_Rows_B&amp;LCIA_Rows_C,0),MATCH($D78,LCIA_Columns,0)),0)*$AR78</f>
        <v>0</v>
      </c>
      <c r="BH78" s="358">
        <f t="array" ref="BH78">IFERROR(INDEX(LCIA_Data,MATCH($AT78&amp;BH$74,LCIA_Rows_B&amp;LCIA_Rows_C,0),MATCH($D78,LCIA_Columns,0)),0)*$AR78</f>
        <v>0</v>
      </c>
      <c r="BI78" s="360">
        <f t="shared" si="61"/>
        <v>0</v>
      </c>
      <c r="BJ78" s="360">
        <f t="shared" si="61"/>
        <v>0</v>
      </c>
      <c r="BK78" s="360">
        <f t="shared" si="61"/>
        <v>0</v>
      </c>
      <c r="BL78" s="360">
        <f t="shared" si="61"/>
        <v>0</v>
      </c>
      <c r="BM78" s="360">
        <f t="shared" si="61"/>
        <v>0</v>
      </c>
      <c r="BN78" s="360">
        <f t="shared" si="61"/>
        <v>0</v>
      </c>
      <c r="BO78" s="360">
        <f t="shared" si="61"/>
        <v>0</v>
      </c>
      <c r="BP78" s="360">
        <f t="shared" si="61"/>
        <v>0</v>
      </c>
      <c r="BQ78" s="360">
        <f t="shared" si="61"/>
        <v>0</v>
      </c>
      <c r="BR78" s="360">
        <f t="shared" si="61"/>
        <v>0</v>
      </c>
      <c r="BS78" s="360">
        <f t="shared" si="61"/>
        <v>0</v>
      </c>
      <c r="BT78" s="360">
        <f t="shared" si="61"/>
        <v>0</v>
      </c>
      <c r="BU78" s="360">
        <f t="shared" si="61"/>
        <v>0</v>
      </c>
      <c r="BV78" s="360">
        <f t="shared" si="61"/>
        <v>0</v>
      </c>
      <c r="BW78" s="362">
        <f t="shared" si="62"/>
        <v>0</v>
      </c>
      <c r="BX78" s="362">
        <f t="shared" si="62"/>
        <v>0</v>
      </c>
      <c r="BY78" s="362">
        <f t="shared" si="62"/>
        <v>0</v>
      </c>
      <c r="BZ78" s="362">
        <f t="shared" si="62"/>
        <v>0</v>
      </c>
      <c r="CA78" s="362">
        <f t="shared" si="62"/>
        <v>0</v>
      </c>
      <c r="CB78" s="362">
        <f t="shared" si="62"/>
        <v>0</v>
      </c>
      <c r="CC78" s="362">
        <f t="shared" si="62"/>
        <v>0</v>
      </c>
      <c r="CD78" s="362">
        <f t="shared" si="62"/>
        <v>0</v>
      </c>
      <c r="CE78" s="362">
        <f t="shared" si="62"/>
        <v>0</v>
      </c>
      <c r="CF78" s="362">
        <f t="shared" si="62"/>
        <v>0</v>
      </c>
      <c r="CG78" s="362">
        <f t="shared" si="62"/>
        <v>0</v>
      </c>
      <c r="CH78" s="362">
        <f t="shared" si="62"/>
        <v>0</v>
      </c>
      <c r="CI78" s="362">
        <f t="shared" si="62"/>
        <v>0</v>
      </c>
      <c r="CJ78" s="362">
        <f t="shared" si="62"/>
        <v>0</v>
      </c>
      <c r="CK78"/>
      <c r="CO78"/>
      <c r="CP78"/>
      <c r="CQ78"/>
      <c r="CR78"/>
      <c r="CS78"/>
      <c r="CT78"/>
      <c r="CU78"/>
      <c r="CV78"/>
      <c r="CW78"/>
      <c r="CX78"/>
      <c r="CY78"/>
      <c r="CZ78"/>
      <c r="DA78"/>
      <c r="DB78"/>
    </row>
    <row r="79" spans="2:137" ht="15" hidden="1" customHeight="1">
      <c r="B79" s="53">
        <f t="shared" si="54"/>
        <v>0</v>
      </c>
      <c r="C79" s="26">
        <v>4</v>
      </c>
      <c r="D79" s="46" t="s">
        <v>472</v>
      </c>
      <c r="E79" s="420">
        <f>'Plant Inputs'!$G79</f>
        <v>0</v>
      </c>
      <c r="F79" s="204" t="str">
        <f>'Plant Inputs'!$H79</f>
        <v>kWh/short ton</v>
      </c>
      <c r="G79" s="160">
        <f t="shared" si="55"/>
        <v>0</v>
      </c>
      <c r="H79" s="204" t="str">
        <f t="shared" si="56"/>
        <v>kWh</v>
      </c>
      <c r="I79" s="160">
        <f t="shared" si="63"/>
        <v>0</v>
      </c>
      <c r="J79" s="177">
        <f t="shared" si="64"/>
        <v>0</v>
      </c>
      <c r="K79"/>
      <c r="L79"/>
      <c r="X79" s="65">
        <f>'Plant Inputs'!$X79</f>
        <v>0</v>
      </c>
      <c r="Y79" s="216">
        <f>IF(AND($X79=1,'Plant Inputs'!$Y79=1),1,0)</f>
        <v>0</v>
      </c>
      <c r="Z79" s="216"/>
      <c r="AA79" s="216"/>
      <c r="AB79" s="216"/>
      <c r="AC79" s="216"/>
      <c r="AD79" s="216"/>
      <c r="AE79" s="216"/>
      <c r="AF79" s="216"/>
      <c r="AG79" s="216"/>
      <c r="AH79" s="216"/>
      <c r="AI79" s="216"/>
      <c r="AJ79" s="216"/>
      <c r="AK79" s="216"/>
      <c r="AL79" s="216"/>
      <c r="AM79" s="1" t="str">
        <f t="shared" si="57"/>
        <v>On-Site Generated Electricity - Hydroelectric</v>
      </c>
      <c r="AN79" s="403">
        <f t="shared" si="65"/>
        <v>0</v>
      </c>
      <c r="AO79" s="164" t="str">
        <f t="shared" si="65"/>
        <v>kWh</v>
      </c>
      <c r="AP79" s="1">
        <f t="shared" si="58"/>
        <v>1</v>
      </c>
      <c r="AQ79" s="87" t="str">
        <f t="shared" si="59"/>
        <v>kWh/kWh</v>
      </c>
      <c r="AR79">
        <f t="shared" si="60"/>
        <v>0</v>
      </c>
      <c r="AS79" s="87" t="str">
        <f>'CPCI Data'!$W$12</f>
        <v>kWh</v>
      </c>
      <c r="AT79">
        <f t="shared" si="66"/>
        <v>0</v>
      </c>
      <c r="AU79" s="358">
        <f t="array" ref="AU79">IFERROR(INDEX(LCIA_Data,MATCH($AT79&amp;AU$74,LCIA_Rows_B&amp;LCIA_Rows_C,0),MATCH($D79,LCIA_Columns,0)),0)*$AR79</f>
        <v>0</v>
      </c>
      <c r="AV79" s="358">
        <f t="array" ref="AV79">IFERROR(INDEX(LCIA_Data,MATCH($AT79&amp;AV$74,LCIA_Rows_B&amp;LCIA_Rows_C,0),MATCH($D79,LCIA_Columns,0)),0)*$AR79</f>
        <v>0</v>
      </c>
      <c r="AW79" s="358">
        <f t="array" ref="AW79">IFERROR(INDEX(LCIA_Data,MATCH($AT79&amp;AW$74,LCIA_Rows_B&amp;LCIA_Rows_C,0),MATCH($D79,LCIA_Columns,0)),0)*$AR79</f>
        <v>0</v>
      </c>
      <c r="AX79" s="358">
        <f t="array" ref="AX79">IFERROR(INDEX(LCIA_Data,MATCH($AT79&amp;AX$74,LCIA_Rows_B&amp;LCIA_Rows_C,0),MATCH($D79,LCIA_Columns,0)),0)*$AR79</f>
        <v>0</v>
      </c>
      <c r="AY79" s="358">
        <f t="array" ref="AY79">IFERROR(INDEX(LCIA_Data,MATCH($AT79&amp;AY$74,LCIA_Rows_B&amp;LCIA_Rows_C,0),MATCH($D79,LCIA_Columns,0)),0)*$AR79</f>
        <v>0</v>
      </c>
      <c r="AZ79" s="358">
        <f t="array" ref="AZ79">IFERROR(INDEX(LCIA_Data,MATCH($AT79&amp;AZ$74,LCIA_Rows_B&amp;LCIA_Rows_C,0),MATCH($D79,LCIA_Columns,0)),0)*$AR79</f>
        <v>0</v>
      </c>
      <c r="BA79" s="358">
        <f t="array" ref="BA79">IFERROR(INDEX(LCIA_Data,MATCH($AT79&amp;BA$74,LCIA_Rows_B&amp;LCIA_Rows_C,0),MATCH($D79,LCIA_Columns,0)),0)*$AR79</f>
        <v>0</v>
      </c>
      <c r="BB79" s="358">
        <f t="array" ref="BB79">IFERROR(INDEX(LCIA_Data,MATCH($AT79&amp;BB$74,LCIA_Rows_B&amp;LCIA_Rows_C,0),MATCH($D79,LCIA_Columns,0)),0)*$AR79</f>
        <v>0</v>
      </c>
      <c r="BC79" s="358">
        <f t="array" ref="BC79">IFERROR(INDEX(LCIA_Data,MATCH($AT79&amp;BC$74,LCIA_Rows_B&amp;LCIA_Rows_C,0),MATCH($D79,LCIA_Columns,0)),0)*$AR79</f>
        <v>0</v>
      </c>
      <c r="BD79" s="358">
        <f t="array" ref="BD79">IFERROR(INDEX(LCIA_Data,MATCH($AT79&amp;BD$74,LCIA_Rows_B&amp;LCIA_Rows_C,0),MATCH($D79,LCIA_Columns,0)),0)*$AR79</f>
        <v>0</v>
      </c>
      <c r="BE79" s="358">
        <f t="array" ref="BE79">IFERROR(INDEX(LCIA_Data,MATCH($AT79&amp;BE$74,LCIA_Rows_B&amp;LCIA_Rows_C,0),MATCH($D79,LCIA_Columns,0)),0)*$AR79</f>
        <v>0</v>
      </c>
      <c r="BF79" s="358">
        <f t="array" ref="BF79">IFERROR(INDEX(LCIA_Data,MATCH($AT79&amp;BF$74,LCIA_Rows_B&amp;LCIA_Rows_C,0),MATCH($D79,LCIA_Columns,0)),0)*$AR79</f>
        <v>0</v>
      </c>
      <c r="BG79" s="358">
        <f t="array" ref="BG79">IFERROR(INDEX(LCIA_Data,MATCH($AT79&amp;BG$74,LCIA_Rows_B&amp;LCIA_Rows_C,0),MATCH($D79,LCIA_Columns,0)),0)*$AR79</f>
        <v>0</v>
      </c>
      <c r="BH79" s="358">
        <f t="array" ref="BH79">IFERROR(INDEX(LCIA_Data,MATCH($AT79&amp;BH$74,LCIA_Rows_B&amp;LCIA_Rows_C,0),MATCH($D79,LCIA_Columns,0)),0)*$AR79</f>
        <v>0</v>
      </c>
      <c r="BI79" s="360">
        <f t="shared" si="61"/>
        <v>0</v>
      </c>
      <c r="BJ79" s="360">
        <f t="shared" si="61"/>
        <v>0</v>
      </c>
      <c r="BK79" s="360">
        <f t="shared" si="61"/>
        <v>0</v>
      </c>
      <c r="BL79" s="360">
        <f t="shared" si="61"/>
        <v>0</v>
      </c>
      <c r="BM79" s="360">
        <f t="shared" si="61"/>
        <v>0</v>
      </c>
      <c r="BN79" s="360">
        <f t="shared" si="61"/>
        <v>0</v>
      </c>
      <c r="BO79" s="360">
        <f t="shared" si="61"/>
        <v>0</v>
      </c>
      <c r="BP79" s="360">
        <f t="shared" si="61"/>
        <v>0</v>
      </c>
      <c r="BQ79" s="360">
        <f t="shared" si="61"/>
        <v>0</v>
      </c>
      <c r="BR79" s="360">
        <f t="shared" si="61"/>
        <v>0</v>
      </c>
      <c r="BS79" s="360">
        <f t="shared" si="61"/>
        <v>0</v>
      </c>
      <c r="BT79" s="360">
        <f t="shared" si="61"/>
        <v>0</v>
      </c>
      <c r="BU79" s="360">
        <f t="shared" si="61"/>
        <v>0</v>
      </c>
      <c r="BV79" s="360">
        <f t="shared" si="61"/>
        <v>0</v>
      </c>
      <c r="BW79" s="362">
        <f t="shared" si="62"/>
        <v>0</v>
      </c>
      <c r="BX79" s="362">
        <f t="shared" si="62"/>
        <v>0</v>
      </c>
      <c r="BY79" s="362">
        <f t="shared" si="62"/>
        <v>0</v>
      </c>
      <c r="BZ79" s="362">
        <f t="shared" si="62"/>
        <v>0</v>
      </c>
      <c r="CA79" s="362">
        <f t="shared" si="62"/>
        <v>0</v>
      </c>
      <c r="CB79" s="362">
        <f t="shared" si="62"/>
        <v>0</v>
      </c>
      <c r="CC79" s="362">
        <f t="shared" si="62"/>
        <v>0</v>
      </c>
      <c r="CD79" s="362">
        <f t="shared" si="62"/>
        <v>0</v>
      </c>
      <c r="CE79" s="362">
        <f t="shared" si="62"/>
        <v>0</v>
      </c>
      <c r="CF79" s="362">
        <f t="shared" si="62"/>
        <v>0</v>
      </c>
      <c r="CG79" s="362">
        <f t="shared" si="62"/>
        <v>0</v>
      </c>
      <c r="CH79" s="362">
        <f t="shared" si="62"/>
        <v>0</v>
      </c>
      <c r="CI79" s="362">
        <f t="shared" si="62"/>
        <v>0</v>
      </c>
      <c r="CJ79" s="362">
        <f t="shared" si="62"/>
        <v>0</v>
      </c>
      <c r="CK79"/>
      <c r="CO79"/>
      <c r="CP79"/>
      <c r="CQ79"/>
      <c r="CR79"/>
      <c r="CS79"/>
      <c r="CT79"/>
      <c r="CU79"/>
      <c r="CV79"/>
      <c r="CW79"/>
      <c r="CX79"/>
      <c r="CY79"/>
      <c r="CZ79"/>
      <c r="DA79"/>
      <c r="DB79"/>
    </row>
    <row r="80" spans="2:137" ht="15" hidden="1" customHeight="1">
      <c r="B80" s="53">
        <f t="shared" si="54"/>
        <v>0</v>
      </c>
      <c r="C80" s="26">
        <v>5</v>
      </c>
      <c r="D80" s="46" t="s">
        <v>473</v>
      </c>
      <c r="E80" s="420">
        <f>'Plant Inputs'!$G80</f>
        <v>0</v>
      </c>
      <c r="F80" s="204" t="str">
        <f>'Plant Inputs'!$H80</f>
        <v>kWh/short ton</v>
      </c>
      <c r="G80" s="160">
        <f t="shared" si="55"/>
        <v>0</v>
      </c>
      <c r="H80" s="204" t="str">
        <f t="shared" si="56"/>
        <v>kWh</v>
      </c>
      <c r="I80" s="160">
        <f t="shared" si="63"/>
        <v>0</v>
      </c>
      <c r="J80" s="177">
        <f t="shared" si="64"/>
        <v>0</v>
      </c>
      <c r="K80"/>
      <c r="L80"/>
      <c r="X80" s="65">
        <f>'Plant Inputs'!$X80</f>
        <v>0</v>
      </c>
      <c r="Y80" s="216">
        <f>IF(AND($X80=1,'Plant Inputs'!$Y80=1),1,0)</f>
        <v>0</v>
      </c>
      <c r="Z80" s="216"/>
      <c r="AA80" s="216"/>
      <c r="AB80" s="216"/>
      <c r="AC80" s="216"/>
      <c r="AD80" s="216"/>
      <c r="AE80" s="216"/>
      <c r="AF80" s="216"/>
      <c r="AG80" s="216"/>
      <c r="AH80" s="216"/>
      <c r="AI80" s="216"/>
      <c r="AJ80" s="216"/>
      <c r="AK80" s="216"/>
      <c r="AL80" s="216"/>
      <c r="AM80" s="1" t="str">
        <f t="shared" si="57"/>
        <v>On-Site Generated Electricity - Geothermal</v>
      </c>
      <c r="AN80" s="403">
        <f t="shared" si="65"/>
        <v>0</v>
      </c>
      <c r="AO80" s="164" t="str">
        <f t="shared" si="65"/>
        <v>kWh</v>
      </c>
      <c r="AP80" s="1">
        <f t="shared" si="58"/>
        <v>1</v>
      </c>
      <c r="AQ80" s="87" t="str">
        <f t="shared" si="59"/>
        <v>kWh/kWh</v>
      </c>
      <c r="AR80">
        <f t="shared" si="60"/>
        <v>0</v>
      </c>
      <c r="AS80" s="87" t="str">
        <f>'CPCI Data'!$W$12</f>
        <v>kWh</v>
      </c>
      <c r="AT80">
        <f t="shared" si="66"/>
        <v>0</v>
      </c>
      <c r="AU80" s="358">
        <f t="array" ref="AU80">IFERROR(INDEX(LCIA_Data,MATCH($AT80&amp;AU$74,LCIA_Rows_B&amp;LCIA_Rows_C,0),MATCH($D80,LCIA_Columns,0)),0)*$AR80</f>
        <v>0</v>
      </c>
      <c r="AV80" s="358">
        <f t="array" ref="AV80">IFERROR(INDEX(LCIA_Data,MATCH($AT80&amp;AV$74,LCIA_Rows_B&amp;LCIA_Rows_C,0),MATCH($D80,LCIA_Columns,0)),0)*$AR80</f>
        <v>0</v>
      </c>
      <c r="AW80" s="358">
        <f t="array" ref="AW80">IFERROR(INDEX(LCIA_Data,MATCH($AT80&amp;AW$74,LCIA_Rows_B&amp;LCIA_Rows_C,0),MATCH($D80,LCIA_Columns,0)),0)*$AR80</f>
        <v>0</v>
      </c>
      <c r="AX80" s="358">
        <f t="array" ref="AX80">IFERROR(INDEX(LCIA_Data,MATCH($AT80&amp;AX$74,LCIA_Rows_B&amp;LCIA_Rows_C,0),MATCH($D80,LCIA_Columns,0)),0)*$AR80</f>
        <v>0</v>
      </c>
      <c r="AY80" s="358">
        <f t="array" ref="AY80">IFERROR(INDEX(LCIA_Data,MATCH($AT80&amp;AY$74,LCIA_Rows_B&amp;LCIA_Rows_C,0),MATCH($D80,LCIA_Columns,0)),0)*$AR80</f>
        <v>0</v>
      </c>
      <c r="AZ80" s="358">
        <f t="array" ref="AZ80">IFERROR(INDEX(LCIA_Data,MATCH($AT80&amp;AZ$74,LCIA_Rows_B&amp;LCIA_Rows_C,0),MATCH($D80,LCIA_Columns,0)),0)*$AR80</f>
        <v>0</v>
      </c>
      <c r="BA80" s="358">
        <f t="array" ref="BA80">IFERROR(INDEX(LCIA_Data,MATCH($AT80&amp;BA$74,LCIA_Rows_B&amp;LCIA_Rows_C,0),MATCH($D80,LCIA_Columns,0)),0)*$AR80</f>
        <v>0</v>
      </c>
      <c r="BB80" s="358">
        <f t="array" ref="BB80">IFERROR(INDEX(LCIA_Data,MATCH($AT80&amp;BB$74,LCIA_Rows_B&amp;LCIA_Rows_C,0),MATCH($D80,LCIA_Columns,0)),0)*$AR80</f>
        <v>0</v>
      </c>
      <c r="BC80" s="358">
        <f t="array" ref="BC80">IFERROR(INDEX(LCIA_Data,MATCH($AT80&amp;BC$74,LCIA_Rows_B&amp;LCIA_Rows_C,0),MATCH($D80,LCIA_Columns,0)),0)*$AR80</f>
        <v>0</v>
      </c>
      <c r="BD80" s="358">
        <f t="array" ref="BD80">IFERROR(INDEX(LCIA_Data,MATCH($AT80&amp;BD$74,LCIA_Rows_B&amp;LCIA_Rows_C,0),MATCH($D80,LCIA_Columns,0)),0)*$AR80</f>
        <v>0</v>
      </c>
      <c r="BE80" s="358">
        <f t="array" ref="BE80">IFERROR(INDEX(LCIA_Data,MATCH($AT80&amp;BE$74,LCIA_Rows_B&amp;LCIA_Rows_C,0),MATCH($D80,LCIA_Columns,0)),0)*$AR80</f>
        <v>0</v>
      </c>
      <c r="BF80" s="358">
        <f t="array" ref="BF80">IFERROR(INDEX(LCIA_Data,MATCH($AT80&amp;BF$74,LCIA_Rows_B&amp;LCIA_Rows_C,0),MATCH($D80,LCIA_Columns,0)),0)*$AR80</f>
        <v>0</v>
      </c>
      <c r="BG80" s="358">
        <f t="array" ref="BG80">IFERROR(INDEX(LCIA_Data,MATCH($AT80&amp;BG$74,LCIA_Rows_B&amp;LCIA_Rows_C,0),MATCH($D80,LCIA_Columns,0)),0)*$AR80</f>
        <v>0</v>
      </c>
      <c r="BH80" s="358">
        <f t="array" ref="BH80">IFERROR(INDEX(LCIA_Data,MATCH($AT80&amp;BH$74,LCIA_Rows_B&amp;LCIA_Rows_C,0),MATCH($D80,LCIA_Columns,0)),0)*$AR80</f>
        <v>0</v>
      </c>
      <c r="BI80" s="360">
        <f t="shared" si="61"/>
        <v>0</v>
      </c>
      <c r="BJ80" s="360">
        <f t="shared" si="61"/>
        <v>0</v>
      </c>
      <c r="BK80" s="360">
        <f t="shared" si="61"/>
        <v>0</v>
      </c>
      <c r="BL80" s="360">
        <f t="shared" si="61"/>
        <v>0</v>
      </c>
      <c r="BM80" s="360">
        <f t="shared" si="61"/>
        <v>0</v>
      </c>
      <c r="BN80" s="360">
        <f t="shared" si="61"/>
        <v>0</v>
      </c>
      <c r="BO80" s="360">
        <f t="shared" si="61"/>
        <v>0</v>
      </c>
      <c r="BP80" s="360">
        <f t="shared" si="61"/>
        <v>0</v>
      </c>
      <c r="BQ80" s="360">
        <f t="shared" si="61"/>
        <v>0</v>
      </c>
      <c r="BR80" s="360">
        <f t="shared" si="61"/>
        <v>0</v>
      </c>
      <c r="BS80" s="360">
        <f t="shared" si="61"/>
        <v>0</v>
      </c>
      <c r="BT80" s="360">
        <f t="shared" si="61"/>
        <v>0</v>
      </c>
      <c r="BU80" s="360">
        <f t="shared" si="61"/>
        <v>0</v>
      </c>
      <c r="BV80" s="360">
        <f t="shared" si="61"/>
        <v>0</v>
      </c>
      <c r="BW80" s="362">
        <f t="shared" si="62"/>
        <v>0</v>
      </c>
      <c r="BX80" s="362">
        <f t="shared" si="62"/>
        <v>0</v>
      </c>
      <c r="BY80" s="362">
        <f t="shared" si="62"/>
        <v>0</v>
      </c>
      <c r="BZ80" s="362">
        <f t="shared" si="62"/>
        <v>0</v>
      </c>
      <c r="CA80" s="362">
        <f t="shared" si="62"/>
        <v>0</v>
      </c>
      <c r="CB80" s="362">
        <f t="shared" si="62"/>
        <v>0</v>
      </c>
      <c r="CC80" s="362">
        <f t="shared" si="62"/>
        <v>0</v>
      </c>
      <c r="CD80" s="362">
        <f t="shared" si="62"/>
        <v>0</v>
      </c>
      <c r="CE80" s="362">
        <f t="shared" si="62"/>
        <v>0</v>
      </c>
      <c r="CF80" s="362">
        <f t="shared" si="62"/>
        <v>0</v>
      </c>
      <c r="CG80" s="362">
        <f t="shared" si="62"/>
        <v>0</v>
      </c>
      <c r="CH80" s="362">
        <f t="shared" si="62"/>
        <v>0</v>
      </c>
      <c r="CI80" s="362">
        <f t="shared" si="62"/>
        <v>0</v>
      </c>
      <c r="CJ80" s="362">
        <f t="shared" si="62"/>
        <v>0</v>
      </c>
      <c r="CK80"/>
      <c r="CO80"/>
      <c r="CP80"/>
      <c r="CQ80"/>
      <c r="CR80"/>
      <c r="CS80"/>
      <c r="CT80"/>
      <c r="CU80"/>
      <c r="CV80"/>
      <c r="CW80"/>
      <c r="CX80"/>
      <c r="CY80"/>
      <c r="CZ80"/>
      <c r="DA80"/>
      <c r="DB80"/>
    </row>
    <row r="81" spans="2:134" ht="15" hidden="1" customHeight="1">
      <c r="B81" s="53">
        <f t="shared" si="54"/>
        <v>0</v>
      </c>
      <c r="C81" s="26">
        <v>6</v>
      </c>
      <c r="D81" s="46" t="s">
        <v>474</v>
      </c>
      <c r="E81" s="420">
        <f>'Plant Inputs'!$G81</f>
        <v>0</v>
      </c>
      <c r="F81" s="204" t="str">
        <f>'Plant Inputs'!$H81</f>
        <v>kWh/short ton</v>
      </c>
      <c r="G81" s="160">
        <f t="shared" si="55"/>
        <v>0</v>
      </c>
      <c r="H81" s="204" t="str">
        <f t="shared" si="56"/>
        <v>kWh</v>
      </c>
      <c r="I81" s="160">
        <f t="shared" si="63"/>
        <v>0</v>
      </c>
      <c r="J81" s="177">
        <f t="shared" si="64"/>
        <v>0</v>
      </c>
      <c r="K81"/>
      <c r="L81"/>
      <c r="M81" s="12"/>
      <c r="N81" s="12"/>
      <c r="O81" s="12"/>
      <c r="P81" s="12"/>
      <c r="Q81" s="12"/>
      <c r="R81" s="12"/>
      <c r="S81" s="12"/>
      <c r="X81" s="65">
        <f>'Plant Inputs'!$X81</f>
        <v>0</v>
      </c>
      <c r="Y81" s="216">
        <f>IF(AND($X81=1,'Plant Inputs'!$Y81=1),1,0)</f>
        <v>0</v>
      </c>
      <c r="Z81" s="216"/>
      <c r="AA81" s="216"/>
      <c r="AB81" s="216"/>
      <c r="AC81" s="216"/>
      <c r="AD81" s="216"/>
      <c r="AE81" s="216"/>
      <c r="AF81" s="216"/>
      <c r="AG81" s="216"/>
      <c r="AH81" s="216"/>
      <c r="AI81" s="216"/>
      <c r="AJ81" s="216"/>
      <c r="AK81" s="216"/>
      <c r="AL81" s="216"/>
      <c r="AM81" s="1" t="str">
        <f t="shared" si="57"/>
        <v>On-Site Generated Electricity - Biomass</v>
      </c>
      <c r="AN81" s="403">
        <f t="shared" si="65"/>
        <v>0</v>
      </c>
      <c r="AO81" s="164" t="str">
        <f t="shared" si="65"/>
        <v>kWh</v>
      </c>
      <c r="AP81" s="1">
        <f t="shared" si="58"/>
        <v>1</v>
      </c>
      <c r="AQ81" s="87" t="str">
        <f t="shared" si="59"/>
        <v>kWh/kWh</v>
      </c>
      <c r="AR81">
        <f t="shared" si="60"/>
        <v>0</v>
      </c>
      <c r="AS81" s="87" t="str">
        <f>'CPCI Data'!$W$12</f>
        <v>kWh</v>
      </c>
      <c r="AT81">
        <f t="shared" si="66"/>
        <v>0</v>
      </c>
      <c r="AU81" s="358">
        <f t="array" ref="AU81">IFERROR(INDEX(LCIA_Data,MATCH($AT81&amp;AU$74,LCIA_Rows_B&amp;LCIA_Rows_C,0),MATCH($D81,LCIA_Columns,0)),0)*$AR81</f>
        <v>0</v>
      </c>
      <c r="AV81" s="358">
        <f t="array" ref="AV81">IFERROR(INDEX(LCIA_Data,MATCH($AT81&amp;AV$74,LCIA_Rows_B&amp;LCIA_Rows_C,0),MATCH($D81,LCIA_Columns,0)),0)*$AR81</f>
        <v>0</v>
      </c>
      <c r="AW81" s="358">
        <f t="array" ref="AW81">IFERROR(INDEX(LCIA_Data,MATCH($AT81&amp;AW$74,LCIA_Rows_B&amp;LCIA_Rows_C,0),MATCH($D81,LCIA_Columns,0)),0)*$AR81</f>
        <v>0</v>
      </c>
      <c r="AX81" s="358">
        <f t="array" ref="AX81">IFERROR(INDEX(LCIA_Data,MATCH($AT81&amp;AX$74,LCIA_Rows_B&amp;LCIA_Rows_C,0),MATCH($D81,LCIA_Columns,0)),0)*$AR81</f>
        <v>0</v>
      </c>
      <c r="AY81" s="358">
        <f t="array" ref="AY81">IFERROR(INDEX(LCIA_Data,MATCH($AT81&amp;AY$74,LCIA_Rows_B&amp;LCIA_Rows_C,0),MATCH($D81,LCIA_Columns,0)),0)*$AR81</f>
        <v>0</v>
      </c>
      <c r="AZ81" s="358">
        <f t="array" ref="AZ81">IFERROR(INDEX(LCIA_Data,MATCH($AT81&amp;AZ$74,LCIA_Rows_B&amp;LCIA_Rows_C,0),MATCH($D81,LCIA_Columns,0)),0)*$AR81</f>
        <v>0</v>
      </c>
      <c r="BA81" s="358">
        <f t="array" ref="BA81">IFERROR(INDEX(LCIA_Data,MATCH($AT81&amp;BA$74,LCIA_Rows_B&amp;LCIA_Rows_C,0),MATCH($D81,LCIA_Columns,0)),0)*$AR81</f>
        <v>0</v>
      </c>
      <c r="BB81" s="358">
        <f t="array" ref="BB81">IFERROR(INDEX(LCIA_Data,MATCH($AT81&amp;BB$74,LCIA_Rows_B&amp;LCIA_Rows_C,0),MATCH($D81,LCIA_Columns,0)),0)*$AR81</f>
        <v>0</v>
      </c>
      <c r="BC81" s="358">
        <f t="array" ref="BC81">IFERROR(INDEX(LCIA_Data,MATCH($AT81&amp;BC$74,LCIA_Rows_B&amp;LCIA_Rows_C,0),MATCH($D81,LCIA_Columns,0)),0)*$AR81</f>
        <v>0</v>
      </c>
      <c r="BD81" s="358">
        <f t="array" ref="BD81">IFERROR(INDEX(LCIA_Data,MATCH($AT81&amp;BD$74,LCIA_Rows_B&amp;LCIA_Rows_C,0),MATCH($D81,LCIA_Columns,0)),0)*$AR81</f>
        <v>0</v>
      </c>
      <c r="BE81" s="358">
        <f t="array" ref="BE81">IFERROR(INDEX(LCIA_Data,MATCH($AT81&amp;BE$74,LCIA_Rows_B&amp;LCIA_Rows_C,0),MATCH($D81,LCIA_Columns,0)),0)*$AR81</f>
        <v>0</v>
      </c>
      <c r="BF81" s="358">
        <f t="array" ref="BF81">IFERROR(INDEX(LCIA_Data,MATCH($AT81&amp;BF$74,LCIA_Rows_B&amp;LCIA_Rows_C,0),MATCH($D81,LCIA_Columns,0)),0)*$AR81</f>
        <v>0</v>
      </c>
      <c r="BG81" s="358">
        <f t="array" ref="BG81">IFERROR(INDEX(LCIA_Data,MATCH($AT81&amp;BG$74,LCIA_Rows_B&amp;LCIA_Rows_C,0),MATCH($D81,LCIA_Columns,0)),0)*$AR81</f>
        <v>0</v>
      </c>
      <c r="BH81" s="358">
        <f t="array" ref="BH81">IFERROR(INDEX(LCIA_Data,MATCH($AT81&amp;BH$74,LCIA_Rows_B&amp;LCIA_Rows_C,0),MATCH($D81,LCIA_Columns,0)),0)*$AR81</f>
        <v>0</v>
      </c>
      <c r="BI81" s="360">
        <f t="shared" si="61"/>
        <v>0</v>
      </c>
      <c r="BJ81" s="360">
        <f t="shared" si="61"/>
        <v>0</v>
      </c>
      <c r="BK81" s="360">
        <f t="shared" si="61"/>
        <v>0</v>
      </c>
      <c r="BL81" s="360">
        <f t="shared" si="61"/>
        <v>0</v>
      </c>
      <c r="BM81" s="360">
        <f t="shared" si="61"/>
        <v>0</v>
      </c>
      <c r="BN81" s="360">
        <f t="shared" si="61"/>
        <v>0</v>
      </c>
      <c r="BO81" s="360">
        <f t="shared" si="61"/>
        <v>0</v>
      </c>
      <c r="BP81" s="360">
        <f t="shared" si="61"/>
        <v>0</v>
      </c>
      <c r="BQ81" s="360">
        <f t="shared" si="61"/>
        <v>0</v>
      </c>
      <c r="BR81" s="360">
        <f t="shared" si="61"/>
        <v>0</v>
      </c>
      <c r="BS81" s="360">
        <f t="shared" si="61"/>
        <v>0</v>
      </c>
      <c r="BT81" s="360">
        <f t="shared" si="61"/>
        <v>0</v>
      </c>
      <c r="BU81" s="360">
        <f t="shared" si="61"/>
        <v>0</v>
      </c>
      <c r="BV81" s="360">
        <f t="shared" si="61"/>
        <v>0</v>
      </c>
      <c r="BW81" s="362">
        <f t="shared" si="62"/>
        <v>0</v>
      </c>
      <c r="BX81" s="362">
        <f t="shared" si="62"/>
        <v>0</v>
      </c>
      <c r="BY81" s="362">
        <f t="shared" si="62"/>
        <v>0</v>
      </c>
      <c r="BZ81" s="362">
        <f t="shared" si="62"/>
        <v>0</v>
      </c>
      <c r="CA81" s="362">
        <f t="shared" si="62"/>
        <v>0</v>
      </c>
      <c r="CB81" s="362">
        <f t="shared" si="62"/>
        <v>0</v>
      </c>
      <c r="CC81" s="362">
        <f t="shared" si="62"/>
        <v>0</v>
      </c>
      <c r="CD81" s="362">
        <f t="shared" si="62"/>
        <v>0</v>
      </c>
      <c r="CE81" s="362">
        <f t="shared" si="62"/>
        <v>0</v>
      </c>
      <c r="CF81" s="362">
        <f t="shared" si="62"/>
        <v>0</v>
      </c>
      <c r="CG81" s="362">
        <f t="shared" si="62"/>
        <v>0</v>
      </c>
      <c r="CH81" s="362">
        <f t="shared" si="62"/>
        <v>0</v>
      </c>
      <c r="CI81" s="362">
        <f t="shared" si="62"/>
        <v>0</v>
      </c>
      <c r="CJ81" s="362">
        <f t="shared" si="62"/>
        <v>0</v>
      </c>
      <c r="CK81"/>
      <c r="CO81"/>
      <c r="CP81"/>
      <c r="CQ81"/>
      <c r="CR81"/>
      <c r="CS81"/>
      <c r="CT81"/>
      <c r="CU81"/>
      <c r="CV81"/>
      <c r="CW81"/>
      <c r="CX81"/>
      <c r="CY81"/>
      <c r="CZ81"/>
      <c r="DA81"/>
      <c r="DB81"/>
    </row>
    <row r="82" spans="2:134" ht="15" hidden="1" customHeight="1">
      <c r="B82" s="53">
        <f t="shared" si="54"/>
        <v>0</v>
      </c>
      <c r="C82" s="26">
        <v>7</v>
      </c>
      <c r="D82" s="46" t="s">
        <v>23</v>
      </c>
      <c r="E82" s="420">
        <f>'Plant Inputs'!$G82</f>
        <v>0</v>
      </c>
      <c r="F82" s="204" t="str">
        <f>'Plant Inputs'!$H82</f>
        <v>gallon/short ton</v>
      </c>
      <c r="G82" s="160">
        <f t="shared" si="55"/>
        <v>0</v>
      </c>
      <c r="H82" s="204" t="str">
        <f t="shared" si="56"/>
        <v>gallon</v>
      </c>
      <c r="I82" s="160">
        <f t="shared" si="63"/>
        <v>0</v>
      </c>
      <c r="J82" s="177">
        <f t="shared" si="64"/>
        <v>0</v>
      </c>
      <c r="K82"/>
      <c r="L82"/>
      <c r="X82" s="65">
        <f>'Plant Inputs'!$X82</f>
        <v>0</v>
      </c>
      <c r="Y82" s="216">
        <f>IF(AND($X82=1,'Plant Inputs'!$Y82=1),1,0)</f>
        <v>0</v>
      </c>
      <c r="Z82" s="216"/>
      <c r="AA82" s="216"/>
      <c r="AB82" s="216"/>
      <c r="AC82" s="216"/>
      <c r="AD82" s="216"/>
      <c r="AE82" s="216"/>
      <c r="AF82" s="216"/>
      <c r="AG82" s="216"/>
      <c r="AH82" s="216"/>
      <c r="AI82" s="216"/>
      <c r="AJ82" s="216"/>
      <c r="AK82" s="216"/>
      <c r="AL82" s="216"/>
      <c r="AM82" s="1" t="str">
        <f t="shared" si="57"/>
        <v>Gasoline</v>
      </c>
      <c r="AN82" s="403">
        <f t="shared" si="65"/>
        <v>0</v>
      </c>
      <c r="AO82" s="164" t="str">
        <f t="shared" si="65"/>
        <v>gallon</v>
      </c>
      <c r="AP82" s="1">
        <f t="shared" si="58"/>
        <v>0.26417203728418465</v>
      </c>
      <c r="AQ82" s="87" t="str">
        <f t="shared" si="59"/>
        <v>gallon/litre</v>
      </c>
      <c r="AR82">
        <f t="shared" si="60"/>
        <v>0</v>
      </c>
      <c r="AS82" s="87" t="str">
        <f>'CPCI Data'!$W$27</f>
        <v>litre</v>
      </c>
      <c r="AT82">
        <f t="shared" si="66"/>
        <v>0</v>
      </c>
      <c r="AU82" s="358">
        <f t="array" ref="AU82">IFERROR(INDEX(LCIA_Data,MATCH($AT82&amp;AU$74,LCIA_Rows_B&amp;LCIA_Rows_C,0),MATCH($D82,LCIA_Columns,0)),0)*$AR82</f>
        <v>0</v>
      </c>
      <c r="AV82" s="358">
        <f t="array" ref="AV82">IFERROR(INDEX(LCIA_Data,MATCH($AT82&amp;AV$74,LCIA_Rows_B&amp;LCIA_Rows_C,0),MATCH($D82,LCIA_Columns,0)),0)*$AR82</f>
        <v>0</v>
      </c>
      <c r="AW82" s="358">
        <f t="array" ref="AW82">IFERROR(INDEX(LCIA_Data,MATCH($AT82&amp;AW$74,LCIA_Rows_B&amp;LCIA_Rows_C,0),MATCH($D82,LCIA_Columns,0)),0)*$AR82</f>
        <v>0</v>
      </c>
      <c r="AX82" s="358">
        <f t="array" ref="AX82">IFERROR(INDEX(LCIA_Data,MATCH($AT82&amp;AX$74,LCIA_Rows_B&amp;LCIA_Rows_C,0),MATCH($D82,LCIA_Columns,0)),0)*$AR82</f>
        <v>0</v>
      </c>
      <c r="AY82" s="358">
        <f t="array" ref="AY82">IFERROR(INDEX(LCIA_Data,MATCH($AT82&amp;AY$74,LCIA_Rows_B&amp;LCIA_Rows_C,0),MATCH($D82,LCIA_Columns,0)),0)*$AR82</f>
        <v>0</v>
      </c>
      <c r="AZ82" s="358">
        <f t="array" ref="AZ82">IFERROR(INDEX(LCIA_Data,MATCH($AT82&amp;AZ$74,LCIA_Rows_B&amp;LCIA_Rows_C,0),MATCH($D82,LCIA_Columns,0)),0)*$AR82</f>
        <v>0</v>
      </c>
      <c r="BA82" s="358">
        <f t="array" ref="BA82">IFERROR(INDEX(LCIA_Data,MATCH($AT82&amp;BA$74,LCIA_Rows_B&amp;LCIA_Rows_C,0),MATCH($D82,LCIA_Columns,0)),0)*$AR82</f>
        <v>0</v>
      </c>
      <c r="BB82" s="358">
        <f t="array" ref="BB82">IFERROR(INDEX(LCIA_Data,MATCH($AT82&amp;BB$74,LCIA_Rows_B&amp;LCIA_Rows_C,0),MATCH($D82,LCIA_Columns,0)),0)*$AR82</f>
        <v>0</v>
      </c>
      <c r="BC82" s="358">
        <f t="array" ref="BC82">IFERROR(INDEX(LCIA_Data,MATCH($AT82&amp;BC$74,LCIA_Rows_B&amp;LCIA_Rows_C,0),MATCH($D82,LCIA_Columns,0)),0)*$AR82</f>
        <v>0</v>
      </c>
      <c r="BD82" s="358">
        <f t="array" ref="BD82">IFERROR(INDEX(LCIA_Data,MATCH($AT82&amp;BD$74,LCIA_Rows_B&amp;LCIA_Rows_C,0),MATCH($D82,LCIA_Columns,0)),0)*$AR82</f>
        <v>0</v>
      </c>
      <c r="BE82" s="358">
        <f t="array" ref="BE82">IFERROR(INDEX(LCIA_Data,MATCH($AT82&amp;BE$74,LCIA_Rows_B&amp;LCIA_Rows_C,0),MATCH($D82,LCIA_Columns,0)),0)*$AR82</f>
        <v>0</v>
      </c>
      <c r="BF82" s="358">
        <f t="array" ref="BF82">IFERROR(INDEX(LCIA_Data,MATCH($AT82&amp;BF$74,LCIA_Rows_B&amp;LCIA_Rows_C,0),MATCH($D82,LCIA_Columns,0)),0)*$AR82</f>
        <v>0</v>
      </c>
      <c r="BG82" s="358">
        <f t="array" ref="BG82">IFERROR(INDEX(LCIA_Data,MATCH($AT82&amp;BG$74,LCIA_Rows_B&amp;LCIA_Rows_C,0),MATCH($D82,LCIA_Columns,0)),0)*$AR82</f>
        <v>0</v>
      </c>
      <c r="BH82" s="358">
        <f t="array" ref="BH82">IFERROR(INDEX(LCIA_Data,MATCH($AT82&amp;BH$74,LCIA_Rows_B&amp;LCIA_Rows_C,0),MATCH($D82,LCIA_Columns,0)),0)*$AR82</f>
        <v>0</v>
      </c>
      <c r="BI82" s="360">
        <f t="shared" si="61"/>
        <v>0</v>
      </c>
      <c r="BJ82" s="360">
        <f t="shared" si="61"/>
        <v>0</v>
      </c>
      <c r="BK82" s="360">
        <f t="shared" si="61"/>
        <v>0</v>
      </c>
      <c r="BL82" s="360">
        <f t="shared" si="61"/>
        <v>0</v>
      </c>
      <c r="BM82" s="360">
        <f t="shared" si="61"/>
        <v>0</v>
      </c>
      <c r="BN82" s="360">
        <f t="shared" si="61"/>
        <v>0</v>
      </c>
      <c r="BO82" s="360">
        <f t="shared" si="61"/>
        <v>0</v>
      </c>
      <c r="BP82" s="360">
        <f t="shared" si="61"/>
        <v>0</v>
      </c>
      <c r="BQ82" s="360">
        <f t="shared" si="61"/>
        <v>0</v>
      </c>
      <c r="BR82" s="360">
        <f t="shared" si="61"/>
        <v>0</v>
      </c>
      <c r="BS82" s="360">
        <f t="shared" si="61"/>
        <v>0</v>
      </c>
      <c r="BT82" s="360">
        <f t="shared" si="61"/>
        <v>0</v>
      </c>
      <c r="BU82" s="360">
        <f t="shared" si="61"/>
        <v>0</v>
      </c>
      <c r="BV82" s="360">
        <f t="shared" si="61"/>
        <v>0</v>
      </c>
      <c r="BW82" s="362">
        <f t="shared" si="62"/>
        <v>0</v>
      </c>
      <c r="BX82" s="362">
        <f t="shared" si="62"/>
        <v>0</v>
      </c>
      <c r="BY82" s="362">
        <f t="shared" si="62"/>
        <v>0</v>
      </c>
      <c r="BZ82" s="362">
        <f t="shared" si="62"/>
        <v>0</v>
      </c>
      <c r="CA82" s="362">
        <f t="shared" si="62"/>
        <v>0</v>
      </c>
      <c r="CB82" s="362">
        <f t="shared" si="62"/>
        <v>0</v>
      </c>
      <c r="CC82" s="362">
        <f t="shared" si="62"/>
        <v>0</v>
      </c>
      <c r="CD82" s="362">
        <f t="shared" si="62"/>
        <v>0</v>
      </c>
      <c r="CE82" s="362">
        <f t="shared" si="62"/>
        <v>0</v>
      </c>
      <c r="CF82" s="362">
        <f t="shared" si="62"/>
        <v>0</v>
      </c>
      <c r="CG82" s="362">
        <f t="shared" si="62"/>
        <v>0</v>
      </c>
      <c r="CH82" s="362">
        <f t="shared" si="62"/>
        <v>0</v>
      </c>
      <c r="CI82" s="362">
        <f t="shared" si="62"/>
        <v>0</v>
      </c>
      <c r="CJ82" s="362">
        <f t="shared" si="62"/>
        <v>0</v>
      </c>
      <c r="CK82"/>
      <c r="CL82"/>
      <c r="CM82"/>
      <c r="CN82"/>
      <c r="CO82"/>
      <c r="CP82"/>
      <c r="CQ82"/>
      <c r="CR82"/>
      <c r="CS82"/>
      <c r="CT82"/>
      <c r="CU82"/>
      <c r="CV82"/>
      <c r="CW82"/>
      <c r="CX82"/>
      <c r="CY82"/>
      <c r="CZ82"/>
      <c r="DA82"/>
      <c r="DB82"/>
    </row>
    <row r="83" spans="2:134" ht="15" hidden="1" customHeight="1">
      <c r="B83" s="53">
        <f t="shared" si="54"/>
        <v>0</v>
      </c>
      <c r="C83" s="26">
        <v>8</v>
      </c>
      <c r="D83" s="46" t="s">
        <v>8</v>
      </c>
      <c r="E83" s="420">
        <f>'Plant Inputs'!$G83</f>
        <v>0</v>
      </c>
      <c r="F83" s="204" t="str">
        <f>'Plant Inputs'!$H83</f>
        <v>ft3/short ton</v>
      </c>
      <c r="G83" s="160">
        <f t="shared" si="55"/>
        <v>0</v>
      </c>
      <c r="H83" s="204" t="str">
        <f t="shared" si="56"/>
        <v>ft3</v>
      </c>
      <c r="I83" s="160">
        <f t="shared" si="63"/>
        <v>0</v>
      </c>
      <c r="J83" s="177">
        <f t="shared" si="64"/>
        <v>0</v>
      </c>
      <c r="K83"/>
      <c r="L83"/>
      <c r="X83" s="65">
        <f>'Plant Inputs'!$X83</f>
        <v>0</v>
      </c>
      <c r="Y83" s="216">
        <f>IF(AND($X83=1,'Plant Inputs'!$Y83=1),1,0)</f>
        <v>0</v>
      </c>
      <c r="Z83" s="216"/>
      <c r="AA83" s="216"/>
      <c r="AB83" s="216"/>
      <c r="AC83" s="216"/>
      <c r="AD83" s="216"/>
      <c r="AE83" s="216"/>
      <c r="AF83" s="216"/>
      <c r="AG83" s="216"/>
      <c r="AH83" s="216"/>
      <c r="AI83" s="216"/>
      <c r="AJ83" s="216"/>
      <c r="AK83" s="216"/>
      <c r="AL83" s="216"/>
      <c r="AM83" s="1" t="str">
        <f t="shared" si="57"/>
        <v>Natural Gas</v>
      </c>
      <c r="AN83" s="403">
        <f t="shared" si="65"/>
        <v>0</v>
      </c>
      <c r="AO83" s="164" t="str">
        <f t="shared" si="65"/>
        <v>ft3</v>
      </c>
      <c r="AP83" s="1">
        <f t="shared" si="58"/>
        <v>35.31467</v>
      </c>
      <c r="AQ83" s="87" t="str">
        <f t="shared" si="59"/>
        <v>ft3/m3</v>
      </c>
      <c r="AR83">
        <f t="shared" si="60"/>
        <v>0</v>
      </c>
      <c r="AS83" s="87" t="str">
        <f>'CPCI Data'!$W$20</f>
        <v>m3</v>
      </c>
      <c r="AT83">
        <f t="shared" si="66"/>
        <v>0</v>
      </c>
      <c r="AU83" s="358">
        <f t="array" ref="AU83">IFERROR(INDEX(LCIA_Data,MATCH($AT83&amp;AU$74,LCIA_Rows_B&amp;LCIA_Rows_C,0),MATCH($D83,LCIA_Columns,0)),0)*$AR83</f>
        <v>0</v>
      </c>
      <c r="AV83" s="358">
        <f t="array" ref="AV83">IFERROR(INDEX(LCIA_Data,MATCH($AT83&amp;AV$74,LCIA_Rows_B&amp;LCIA_Rows_C,0),MATCH($D83,LCIA_Columns,0)),0)*$AR83</f>
        <v>0</v>
      </c>
      <c r="AW83" s="358">
        <f t="array" ref="AW83">IFERROR(INDEX(LCIA_Data,MATCH($AT83&amp;AW$74,LCIA_Rows_B&amp;LCIA_Rows_C,0),MATCH($D83,LCIA_Columns,0)),0)*$AR83</f>
        <v>0</v>
      </c>
      <c r="AX83" s="358">
        <f t="array" ref="AX83">IFERROR(INDEX(LCIA_Data,MATCH($AT83&amp;AX$74,LCIA_Rows_B&amp;LCIA_Rows_C,0),MATCH($D83,LCIA_Columns,0)),0)*$AR83</f>
        <v>0</v>
      </c>
      <c r="AY83" s="358">
        <f t="array" ref="AY83">IFERROR(INDEX(LCIA_Data,MATCH($AT83&amp;AY$74,LCIA_Rows_B&amp;LCIA_Rows_C,0),MATCH($D83,LCIA_Columns,0)),0)*$AR83</f>
        <v>0</v>
      </c>
      <c r="AZ83" s="358">
        <f t="array" ref="AZ83">IFERROR(INDEX(LCIA_Data,MATCH($AT83&amp;AZ$74,LCIA_Rows_B&amp;LCIA_Rows_C,0),MATCH($D83,LCIA_Columns,0)),0)*$AR83</f>
        <v>0</v>
      </c>
      <c r="BA83" s="358">
        <f t="array" ref="BA83">IFERROR(INDEX(LCIA_Data,MATCH($AT83&amp;BA$74,LCIA_Rows_B&amp;LCIA_Rows_C,0),MATCH($D83,LCIA_Columns,0)),0)*$AR83</f>
        <v>0</v>
      </c>
      <c r="BB83" s="358">
        <f t="array" ref="BB83">IFERROR(INDEX(LCIA_Data,MATCH($AT83&amp;BB$74,LCIA_Rows_B&amp;LCIA_Rows_C,0),MATCH($D83,LCIA_Columns,0)),0)*$AR83</f>
        <v>0</v>
      </c>
      <c r="BC83" s="358">
        <f t="array" ref="BC83">IFERROR(INDEX(LCIA_Data,MATCH($AT83&amp;BC$74,LCIA_Rows_B&amp;LCIA_Rows_C,0),MATCH($D83,LCIA_Columns,0)),0)*$AR83</f>
        <v>0</v>
      </c>
      <c r="BD83" s="358">
        <f t="array" ref="BD83">IFERROR(INDEX(LCIA_Data,MATCH($AT83&amp;BD$74,LCIA_Rows_B&amp;LCIA_Rows_C,0),MATCH($D83,LCIA_Columns,0)),0)*$AR83</f>
        <v>0</v>
      </c>
      <c r="BE83" s="358">
        <f t="array" ref="BE83">IFERROR(INDEX(LCIA_Data,MATCH($AT83&amp;BE$74,LCIA_Rows_B&amp;LCIA_Rows_C,0),MATCH($D83,LCIA_Columns,0)),0)*$AR83</f>
        <v>0</v>
      </c>
      <c r="BF83" s="358">
        <f t="array" ref="BF83">IFERROR(INDEX(LCIA_Data,MATCH($AT83&amp;BF$74,LCIA_Rows_B&amp;LCIA_Rows_C,0),MATCH($D83,LCIA_Columns,0)),0)*$AR83</f>
        <v>0</v>
      </c>
      <c r="BG83" s="358">
        <f t="array" ref="BG83">IFERROR(INDEX(LCIA_Data,MATCH($AT83&amp;BG$74,LCIA_Rows_B&amp;LCIA_Rows_C,0),MATCH($D83,LCIA_Columns,0)),0)*$AR83</f>
        <v>0</v>
      </c>
      <c r="BH83" s="358">
        <f t="array" ref="BH83">IFERROR(INDEX(LCIA_Data,MATCH($AT83&amp;BH$74,LCIA_Rows_B&amp;LCIA_Rows_C,0),MATCH($D83,LCIA_Columns,0)),0)*$AR83</f>
        <v>0</v>
      </c>
      <c r="BI83" s="360">
        <f t="shared" si="61"/>
        <v>0</v>
      </c>
      <c r="BJ83" s="360">
        <f t="shared" si="61"/>
        <v>0</v>
      </c>
      <c r="BK83" s="360">
        <f t="shared" si="61"/>
        <v>0</v>
      </c>
      <c r="BL83" s="360">
        <f t="shared" si="61"/>
        <v>0</v>
      </c>
      <c r="BM83" s="360">
        <f t="shared" si="61"/>
        <v>0</v>
      </c>
      <c r="BN83" s="360">
        <f t="shared" si="61"/>
        <v>0</v>
      </c>
      <c r="BO83" s="360">
        <f t="shared" si="61"/>
        <v>0</v>
      </c>
      <c r="BP83" s="360">
        <f t="shared" si="61"/>
        <v>0</v>
      </c>
      <c r="BQ83" s="360">
        <f t="shared" si="61"/>
        <v>0</v>
      </c>
      <c r="BR83" s="360">
        <f t="shared" si="61"/>
        <v>0</v>
      </c>
      <c r="BS83" s="360">
        <f t="shared" si="61"/>
        <v>0</v>
      </c>
      <c r="BT83" s="360">
        <f t="shared" si="61"/>
        <v>0</v>
      </c>
      <c r="BU83" s="360">
        <f t="shared" si="61"/>
        <v>0</v>
      </c>
      <c r="BV83" s="360">
        <f t="shared" si="61"/>
        <v>0</v>
      </c>
      <c r="BW83" s="362">
        <f t="shared" si="62"/>
        <v>0</v>
      </c>
      <c r="BX83" s="362">
        <f t="shared" si="62"/>
        <v>0</v>
      </c>
      <c r="BY83" s="362">
        <f t="shared" si="62"/>
        <v>0</v>
      </c>
      <c r="BZ83" s="362">
        <f t="shared" si="62"/>
        <v>0</v>
      </c>
      <c r="CA83" s="362">
        <f t="shared" si="62"/>
        <v>0</v>
      </c>
      <c r="CB83" s="362">
        <f t="shared" si="62"/>
        <v>0</v>
      </c>
      <c r="CC83" s="362">
        <f t="shared" si="62"/>
        <v>0</v>
      </c>
      <c r="CD83" s="362">
        <f t="shared" si="62"/>
        <v>0</v>
      </c>
      <c r="CE83" s="362">
        <f t="shared" si="62"/>
        <v>0</v>
      </c>
      <c r="CF83" s="362">
        <f t="shared" si="62"/>
        <v>0</v>
      </c>
      <c r="CG83" s="362">
        <f t="shared" si="62"/>
        <v>0</v>
      </c>
      <c r="CH83" s="362">
        <f t="shared" si="62"/>
        <v>0</v>
      </c>
      <c r="CI83" s="362">
        <f t="shared" si="62"/>
        <v>0</v>
      </c>
      <c r="CJ83" s="362">
        <f t="shared" si="62"/>
        <v>0</v>
      </c>
      <c r="CK83"/>
      <c r="CL83"/>
      <c r="CM83"/>
      <c r="CN83"/>
      <c r="CO83"/>
      <c r="CP83"/>
      <c r="CQ83"/>
      <c r="CR83"/>
      <c r="CS83"/>
      <c r="CT83"/>
      <c r="CU83"/>
      <c r="CV83"/>
      <c r="CW83"/>
      <c r="CX83"/>
      <c r="CY83"/>
      <c r="CZ83"/>
      <c r="DA83"/>
      <c r="DB83"/>
    </row>
    <row r="84" spans="2:134" ht="15" hidden="1" customHeight="1">
      <c r="B84" s="53">
        <f t="shared" si="54"/>
        <v>0</v>
      </c>
      <c r="C84" s="26">
        <v>9</v>
      </c>
      <c r="D84" s="41" t="s">
        <v>9</v>
      </c>
      <c r="E84" s="420">
        <f>'Plant Inputs'!$G84</f>
        <v>0</v>
      </c>
      <c r="F84" s="204" t="str">
        <f>'Plant Inputs'!$H84</f>
        <v>gallon/short ton</v>
      </c>
      <c r="G84" s="160">
        <f t="shared" si="55"/>
        <v>0</v>
      </c>
      <c r="H84" s="204" t="str">
        <f t="shared" si="56"/>
        <v>gallon</v>
      </c>
      <c r="I84" s="160">
        <f t="shared" si="63"/>
        <v>0</v>
      </c>
      <c r="J84" s="177">
        <f t="shared" si="64"/>
        <v>0</v>
      </c>
      <c r="K84"/>
      <c r="L84"/>
      <c r="X84" s="65">
        <f>'Plant Inputs'!$X84</f>
        <v>0</v>
      </c>
      <c r="Y84" s="216">
        <f>IF(AND($X84=1,'Plant Inputs'!$Y84=1),1,0)</f>
        <v>0</v>
      </c>
      <c r="Z84" s="216"/>
      <c r="AA84" s="216"/>
      <c r="AB84" s="216"/>
      <c r="AC84" s="216"/>
      <c r="AD84" s="216"/>
      <c r="AE84" s="216"/>
      <c r="AF84" s="216"/>
      <c r="AG84" s="216"/>
      <c r="AH84" s="216"/>
      <c r="AI84" s="216"/>
      <c r="AJ84" s="216"/>
      <c r="AK84" s="216"/>
      <c r="AL84" s="216"/>
      <c r="AM84" s="1" t="str">
        <f t="shared" si="57"/>
        <v>Diesel</v>
      </c>
      <c r="AN84" s="403">
        <f t="shared" si="65"/>
        <v>0</v>
      </c>
      <c r="AO84" s="164" t="str">
        <f t="shared" si="65"/>
        <v>gallon</v>
      </c>
      <c r="AP84" s="1">
        <f t="shared" si="58"/>
        <v>0.26417203728418465</v>
      </c>
      <c r="AQ84" s="87" t="str">
        <f t="shared" si="59"/>
        <v>gallon/litre</v>
      </c>
      <c r="AR84">
        <f t="shared" si="60"/>
        <v>0</v>
      </c>
      <c r="AS84" s="87" t="str">
        <f>'CPCI Data'!$W$27</f>
        <v>litre</v>
      </c>
      <c r="AT84">
        <f t="shared" si="66"/>
        <v>0</v>
      </c>
      <c r="AU84" s="358">
        <f t="array" ref="AU84">IFERROR(INDEX(LCIA_Data,MATCH($AT84&amp;AU$74,LCIA_Rows_B&amp;LCIA_Rows_C,0),MATCH($D84,LCIA_Columns,0)),0)*$AR84</f>
        <v>0</v>
      </c>
      <c r="AV84" s="358">
        <f t="array" ref="AV84">IFERROR(INDEX(LCIA_Data,MATCH($AT84&amp;AV$74,LCIA_Rows_B&amp;LCIA_Rows_C,0),MATCH($D84,LCIA_Columns,0)),0)*$AR84</f>
        <v>0</v>
      </c>
      <c r="AW84" s="358">
        <f t="array" ref="AW84">IFERROR(INDEX(LCIA_Data,MATCH($AT84&amp;AW$74,LCIA_Rows_B&amp;LCIA_Rows_C,0),MATCH($D84,LCIA_Columns,0)),0)*$AR84</f>
        <v>0</v>
      </c>
      <c r="AX84" s="358">
        <f t="array" ref="AX84">IFERROR(INDEX(LCIA_Data,MATCH($AT84&amp;AX$74,LCIA_Rows_B&amp;LCIA_Rows_C,0),MATCH($D84,LCIA_Columns,0)),0)*$AR84</f>
        <v>0</v>
      </c>
      <c r="AY84" s="358">
        <f t="array" ref="AY84">IFERROR(INDEX(LCIA_Data,MATCH($AT84&amp;AY$74,LCIA_Rows_B&amp;LCIA_Rows_C,0),MATCH($D84,LCIA_Columns,0)),0)*$AR84</f>
        <v>0</v>
      </c>
      <c r="AZ84" s="358">
        <f t="array" ref="AZ84">IFERROR(INDEX(LCIA_Data,MATCH($AT84&amp;AZ$74,LCIA_Rows_B&amp;LCIA_Rows_C,0),MATCH($D84,LCIA_Columns,0)),0)*$AR84</f>
        <v>0</v>
      </c>
      <c r="BA84" s="358">
        <f t="array" ref="BA84">IFERROR(INDEX(LCIA_Data,MATCH($AT84&amp;BA$74,LCIA_Rows_B&amp;LCIA_Rows_C,0),MATCH($D84,LCIA_Columns,0)),0)*$AR84</f>
        <v>0</v>
      </c>
      <c r="BB84" s="358">
        <f t="array" ref="BB84">IFERROR(INDEX(LCIA_Data,MATCH($AT84&amp;BB$74,LCIA_Rows_B&amp;LCIA_Rows_C,0),MATCH($D84,LCIA_Columns,0)),0)*$AR84</f>
        <v>0</v>
      </c>
      <c r="BC84" s="358">
        <f t="array" ref="BC84">IFERROR(INDEX(LCIA_Data,MATCH($AT84&amp;BC$74,LCIA_Rows_B&amp;LCIA_Rows_C,0),MATCH($D84,LCIA_Columns,0)),0)*$AR84</f>
        <v>0</v>
      </c>
      <c r="BD84" s="358">
        <f t="array" ref="BD84">IFERROR(INDEX(LCIA_Data,MATCH($AT84&amp;BD$74,LCIA_Rows_B&amp;LCIA_Rows_C,0),MATCH($D84,LCIA_Columns,0)),0)*$AR84</f>
        <v>0</v>
      </c>
      <c r="BE84" s="358">
        <f t="array" ref="BE84">IFERROR(INDEX(LCIA_Data,MATCH($AT84&amp;BE$74,LCIA_Rows_B&amp;LCIA_Rows_C,0),MATCH($D84,LCIA_Columns,0)),0)*$AR84</f>
        <v>0</v>
      </c>
      <c r="BF84" s="358">
        <f t="array" ref="BF84">IFERROR(INDEX(LCIA_Data,MATCH($AT84&amp;BF$74,LCIA_Rows_B&amp;LCIA_Rows_C,0),MATCH($D84,LCIA_Columns,0)),0)*$AR84</f>
        <v>0</v>
      </c>
      <c r="BG84" s="358">
        <f t="array" ref="BG84">IFERROR(INDEX(LCIA_Data,MATCH($AT84&amp;BG$74,LCIA_Rows_B&amp;LCIA_Rows_C,0),MATCH($D84,LCIA_Columns,0)),0)*$AR84</f>
        <v>0</v>
      </c>
      <c r="BH84" s="358">
        <f t="array" ref="BH84">IFERROR(INDEX(LCIA_Data,MATCH($AT84&amp;BH$74,LCIA_Rows_B&amp;LCIA_Rows_C,0),MATCH($D84,LCIA_Columns,0)),0)*$AR84</f>
        <v>0</v>
      </c>
      <c r="BI84" s="360">
        <f t="shared" si="61"/>
        <v>0</v>
      </c>
      <c r="BJ84" s="360">
        <f t="shared" si="61"/>
        <v>0</v>
      </c>
      <c r="BK84" s="360">
        <f t="shared" si="61"/>
        <v>0</v>
      </c>
      <c r="BL84" s="360">
        <f t="shared" si="61"/>
        <v>0</v>
      </c>
      <c r="BM84" s="360">
        <f t="shared" si="61"/>
        <v>0</v>
      </c>
      <c r="BN84" s="360">
        <f t="shared" si="61"/>
        <v>0</v>
      </c>
      <c r="BO84" s="360">
        <f t="shared" si="61"/>
        <v>0</v>
      </c>
      <c r="BP84" s="360">
        <f t="shared" si="61"/>
        <v>0</v>
      </c>
      <c r="BQ84" s="360">
        <f t="shared" si="61"/>
        <v>0</v>
      </c>
      <c r="BR84" s="360">
        <f t="shared" si="61"/>
        <v>0</v>
      </c>
      <c r="BS84" s="360">
        <f t="shared" si="61"/>
        <v>0</v>
      </c>
      <c r="BT84" s="360">
        <f t="shared" si="61"/>
        <v>0</v>
      </c>
      <c r="BU84" s="360">
        <f t="shared" si="61"/>
        <v>0</v>
      </c>
      <c r="BV84" s="360">
        <f t="shared" si="61"/>
        <v>0</v>
      </c>
      <c r="BW84" s="362">
        <f t="shared" si="62"/>
        <v>0</v>
      </c>
      <c r="BX84" s="362">
        <f t="shared" si="62"/>
        <v>0</v>
      </c>
      <c r="BY84" s="362">
        <f t="shared" si="62"/>
        <v>0</v>
      </c>
      <c r="BZ84" s="362">
        <f t="shared" si="62"/>
        <v>0</v>
      </c>
      <c r="CA84" s="362">
        <f t="shared" si="62"/>
        <v>0</v>
      </c>
      <c r="CB84" s="362">
        <f t="shared" si="62"/>
        <v>0</v>
      </c>
      <c r="CC84" s="362">
        <f t="shared" si="62"/>
        <v>0</v>
      </c>
      <c r="CD84" s="362">
        <f t="shared" si="62"/>
        <v>0</v>
      </c>
      <c r="CE84" s="362">
        <f t="shared" si="62"/>
        <v>0</v>
      </c>
      <c r="CF84" s="362">
        <f t="shared" si="62"/>
        <v>0</v>
      </c>
      <c r="CG84" s="362">
        <f t="shared" si="62"/>
        <v>0</v>
      </c>
      <c r="CH84" s="362">
        <f t="shared" si="62"/>
        <v>0</v>
      </c>
      <c r="CI84" s="362">
        <f t="shared" si="62"/>
        <v>0</v>
      </c>
      <c r="CJ84" s="362">
        <f t="shared" si="62"/>
        <v>0</v>
      </c>
      <c r="CK84"/>
      <c r="CL84"/>
      <c r="CM84"/>
      <c r="CN84"/>
      <c r="CO84"/>
      <c r="CP84"/>
      <c r="CQ84"/>
      <c r="CR84"/>
      <c r="CS84"/>
      <c r="CT84"/>
      <c r="CU84"/>
      <c r="CV84"/>
      <c r="CW84"/>
      <c r="CX84"/>
      <c r="CY84"/>
      <c r="CZ84"/>
      <c r="DA84"/>
      <c r="DB84"/>
    </row>
    <row r="85" spans="2:134" ht="15" hidden="1" customHeight="1">
      <c r="B85" s="53">
        <f t="shared" si="54"/>
        <v>0</v>
      </c>
      <c r="C85" s="26">
        <v>10</v>
      </c>
      <c r="D85" s="41" t="s">
        <v>118</v>
      </c>
      <c r="E85" s="420">
        <f>'Plant Inputs'!$G85</f>
        <v>0</v>
      </c>
      <c r="F85" s="204" t="str">
        <f>'Plant Inputs'!$H85</f>
        <v>gallon/short ton</v>
      </c>
      <c r="G85" s="160">
        <f t="shared" si="55"/>
        <v>0</v>
      </c>
      <c r="H85" s="204" t="str">
        <f t="shared" si="56"/>
        <v>gallon</v>
      </c>
      <c r="I85" s="160">
        <f t="shared" si="63"/>
        <v>0</v>
      </c>
      <c r="J85" s="177">
        <f t="shared" si="64"/>
        <v>0</v>
      </c>
      <c r="K85"/>
      <c r="L85"/>
      <c r="M85" s="12"/>
      <c r="N85" s="12"/>
      <c r="O85" s="12"/>
      <c r="P85" s="12"/>
      <c r="Q85" s="12"/>
      <c r="R85" s="12"/>
      <c r="S85" s="12"/>
      <c r="X85" s="65">
        <f>'Plant Inputs'!$X85</f>
        <v>0</v>
      </c>
      <c r="Y85" s="216">
        <f>IF(AND($X85=1,'Plant Inputs'!$Y85=1),1,0)</f>
        <v>0</v>
      </c>
      <c r="Z85" s="216"/>
      <c r="AA85" s="216"/>
      <c r="AB85" s="216"/>
      <c r="AC85" s="216"/>
      <c r="AD85" s="216"/>
      <c r="AE85" s="216"/>
      <c r="AF85" s="216"/>
      <c r="AG85" s="216"/>
      <c r="AH85" s="216"/>
      <c r="AI85" s="216"/>
      <c r="AJ85" s="216"/>
      <c r="AK85" s="216"/>
      <c r="AL85" s="216"/>
      <c r="AM85" s="1" t="str">
        <f t="shared" si="57"/>
        <v>Heavy Fuel Oil</v>
      </c>
      <c r="AN85" s="403">
        <f t="shared" si="65"/>
        <v>0</v>
      </c>
      <c r="AO85" s="164" t="str">
        <f t="shared" si="65"/>
        <v>gallon</v>
      </c>
      <c r="AP85" s="1">
        <f t="shared" si="58"/>
        <v>0.26417203728418465</v>
      </c>
      <c r="AQ85" s="87" t="str">
        <f t="shared" si="59"/>
        <v>gallon/litre</v>
      </c>
      <c r="AR85">
        <f t="shared" si="60"/>
        <v>0</v>
      </c>
      <c r="AS85" s="87" t="str">
        <f>'CPCI Data'!$W$27</f>
        <v>litre</v>
      </c>
      <c r="AT85">
        <f t="shared" si="66"/>
        <v>0</v>
      </c>
      <c r="AU85" s="358">
        <f t="array" ref="AU85">IFERROR(INDEX(LCIA_Data,MATCH($AT85&amp;AU$74,LCIA_Rows_B&amp;LCIA_Rows_C,0),MATCH($D85,LCIA_Columns,0)),0)*$AR85</f>
        <v>0</v>
      </c>
      <c r="AV85" s="358">
        <f t="array" ref="AV85">IFERROR(INDEX(LCIA_Data,MATCH($AT85&amp;AV$74,LCIA_Rows_B&amp;LCIA_Rows_C,0),MATCH($D85,LCIA_Columns,0)),0)*$AR85</f>
        <v>0</v>
      </c>
      <c r="AW85" s="358">
        <f t="array" ref="AW85">IFERROR(INDEX(LCIA_Data,MATCH($AT85&amp;AW$74,LCIA_Rows_B&amp;LCIA_Rows_C,0),MATCH($D85,LCIA_Columns,0)),0)*$AR85</f>
        <v>0</v>
      </c>
      <c r="AX85" s="358">
        <f t="array" ref="AX85">IFERROR(INDEX(LCIA_Data,MATCH($AT85&amp;AX$74,LCIA_Rows_B&amp;LCIA_Rows_C,0),MATCH($D85,LCIA_Columns,0)),0)*$AR85</f>
        <v>0</v>
      </c>
      <c r="AY85" s="358">
        <f t="array" ref="AY85">IFERROR(INDEX(LCIA_Data,MATCH($AT85&amp;AY$74,LCIA_Rows_B&amp;LCIA_Rows_C,0),MATCH($D85,LCIA_Columns,0)),0)*$AR85</f>
        <v>0</v>
      </c>
      <c r="AZ85" s="358">
        <f t="array" ref="AZ85">IFERROR(INDEX(LCIA_Data,MATCH($AT85&amp;AZ$74,LCIA_Rows_B&amp;LCIA_Rows_C,0),MATCH($D85,LCIA_Columns,0)),0)*$AR85</f>
        <v>0</v>
      </c>
      <c r="BA85" s="358">
        <f t="array" ref="BA85">IFERROR(INDEX(LCIA_Data,MATCH($AT85&amp;BA$74,LCIA_Rows_B&amp;LCIA_Rows_C,0),MATCH($D85,LCIA_Columns,0)),0)*$AR85</f>
        <v>0</v>
      </c>
      <c r="BB85" s="358">
        <f t="array" ref="BB85">IFERROR(INDEX(LCIA_Data,MATCH($AT85&amp;BB$74,LCIA_Rows_B&amp;LCIA_Rows_C,0),MATCH($D85,LCIA_Columns,0)),0)*$AR85</f>
        <v>0</v>
      </c>
      <c r="BC85" s="358">
        <f t="array" ref="BC85">IFERROR(INDEX(LCIA_Data,MATCH($AT85&amp;BC$74,LCIA_Rows_B&amp;LCIA_Rows_C,0),MATCH($D85,LCIA_Columns,0)),0)*$AR85</f>
        <v>0</v>
      </c>
      <c r="BD85" s="358">
        <f t="array" ref="BD85">IFERROR(INDEX(LCIA_Data,MATCH($AT85&amp;BD$74,LCIA_Rows_B&amp;LCIA_Rows_C,0),MATCH($D85,LCIA_Columns,0)),0)*$AR85</f>
        <v>0</v>
      </c>
      <c r="BE85" s="358">
        <f t="array" ref="BE85">IFERROR(INDEX(LCIA_Data,MATCH($AT85&amp;BE$74,LCIA_Rows_B&amp;LCIA_Rows_C,0),MATCH($D85,LCIA_Columns,0)),0)*$AR85</f>
        <v>0</v>
      </c>
      <c r="BF85" s="358">
        <f t="array" ref="BF85">IFERROR(INDEX(LCIA_Data,MATCH($AT85&amp;BF$74,LCIA_Rows_B&amp;LCIA_Rows_C,0),MATCH($D85,LCIA_Columns,0)),0)*$AR85</f>
        <v>0</v>
      </c>
      <c r="BG85" s="358">
        <f t="array" ref="BG85">IFERROR(INDEX(LCIA_Data,MATCH($AT85&amp;BG$74,LCIA_Rows_B&amp;LCIA_Rows_C,0),MATCH($D85,LCIA_Columns,0)),0)*$AR85</f>
        <v>0</v>
      </c>
      <c r="BH85" s="358">
        <f t="array" ref="BH85">IFERROR(INDEX(LCIA_Data,MATCH($AT85&amp;BH$74,LCIA_Rows_B&amp;LCIA_Rows_C,0),MATCH($D85,LCIA_Columns,0)),0)*$AR85</f>
        <v>0</v>
      </c>
      <c r="BI85" s="360">
        <f t="shared" si="61"/>
        <v>0</v>
      </c>
      <c r="BJ85" s="360">
        <f t="shared" si="61"/>
        <v>0</v>
      </c>
      <c r="BK85" s="360">
        <f t="shared" si="61"/>
        <v>0</v>
      </c>
      <c r="BL85" s="360">
        <f t="shared" si="61"/>
        <v>0</v>
      </c>
      <c r="BM85" s="360">
        <f t="shared" si="61"/>
        <v>0</v>
      </c>
      <c r="BN85" s="360">
        <f t="shared" si="61"/>
        <v>0</v>
      </c>
      <c r="BO85" s="360">
        <f t="shared" si="61"/>
        <v>0</v>
      </c>
      <c r="BP85" s="360">
        <f t="shared" si="61"/>
        <v>0</v>
      </c>
      <c r="BQ85" s="360">
        <f t="shared" si="61"/>
        <v>0</v>
      </c>
      <c r="BR85" s="360">
        <f t="shared" si="61"/>
        <v>0</v>
      </c>
      <c r="BS85" s="360">
        <f t="shared" si="61"/>
        <v>0</v>
      </c>
      <c r="BT85" s="360">
        <f t="shared" si="61"/>
        <v>0</v>
      </c>
      <c r="BU85" s="360">
        <f t="shared" si="61"/>
        <v>0</v>
      </c>
      <c r="BV85" s="360">
        <f t="shared" si="61"/>
        <v>0</v>
      </c>
      <c r="BW85" s="362">
        <f t="shared" si="62"/>
        <v>0</v>
      </c>
      <c r="BX85" s="362">
        <f t="shared" si="62"/>
        <v>0</v>
      </c>
      <c r="BY85" s="362">
        <f t="shared" si="62"/>
        <v>0</v>
      </c>
      <c r="BZ85" s="362">
        <f t="shared" si="62"/>
        <v>0</v>
      </c>
      <c r="CA85" s="362">
        <f t="shared" si="62"/>
        <v>0</v>
      </c>
      <c r="CB85" s="362">
        <f t="shared" si="62"/>
        <v>0</v>
      </c>
      <c r="CC85" s="362">
        <f t="shared" si="62"/>
        <v>0</v>
      </c>
      <c r="CD85" s="362">
        <f t="shared" si="62"/>
        <v>0</v>
      </c>
      <c r="CE85" s="362">
        <f t="shared" si="62"/>
        <v>0</v>
      </c>
      <c r="CF85" s="362">
        <f t="shared" si="62"/>
        <v>0</v>
      </c>
      <c r="CG85" s="362">
        <f t="shared" si="62"/>
        <v>0</v>
      </c>
      <c r="CH85" s="362">
        <f t="shared" si="62"/>
        <v>0</v>
      </c>
      <c r="CI85" s="362">
        <f t="shared" si="62"/>
        <v>0</v>
      </c>
      <c r="CJ85" s="362">
        <f t="shared" si="62"/>
        <v>0</v>
      </c>
      <c r="CK85"/>
      <c r="CO85"/>
      <c r="CP85"/>
      <c r="CQ85"/>
      <c r="CR85"/>
      <c r="CS85"/>
      <c r="CT85"/>
      <c r="CU85"/>
      <c r="CV85"/>
      <c r="CW85"/>
      <c r="CX85"/>
      <c r="CY85"/>
      <c r="CZ85"/>
      <c r="DA85"/>
      <c r="DB85"/>
    </row>
    <row r="86" spans="2:134" ht="15" hidden="1" customHeight="1" thickBot="1">
      <c r="B86" s="53">
        <f t="shared" si="54"/>
        <v>0</v>
      </c>
      <c r="C86" s="32">
        <v>11</v>
      </c>
      <c r="D86" s="47" t="s">
        <v>263</v>
      </c>
      <c r="E86" s="421">
        <f>'Plant Inputs'!$G86</f>
        <v>0</v>
      </c>
      <c r="F86" s="227" t="str">
        <f>'Plant Inputs'!$H86</f>
        <v>gallon/short ton</v>
      </c>
      <c r="G86" s="163">
        <f t="shared" si="55"/>
        <v>0</v>
      </c>
      <c r="H86" s="204" t="str">
        <f t="shared" si="56"/>
        <v>gallon</v>
      </c>
      <c r="I86" s="160">
        <f t="shared" si="63"/>
        <v>0</v>
      </c>
      <c r="J86" s="177">
        <f t="shared" si="64"/>
        <v>0</v>
      </c>
      <c r="K86"/>
      <c r="L86"/>
      <c r="X86" s="65">
        <f>'Plant Inputs'!$X86</f>
        <v>0</v>
      </c>
      <c r="Y86" s="216">
        <f>IF(AND($X86=1,'Plant Inputs'!$Y86=1),1,0)</f>
        <v>0</v>
      </c>
      <c r="Z86" s="216"/>
      <c r="AA86" s="216"/>
      <c r="AB86" s="216"/>
      <c r="AC86" s="216"/>
      <c r="AD86" s="216"/>
      <c r="AE86" s="216"/>
      <c r="AF86" s="216"/>
      <c r="AG86" s="216"/>
      <c r="AH86" s="216"/>
      <c r="AI86" s="216"/>
      <c r="AJ86" s="216"/>
      <c r="AK86" s="216"/>
      <c r="AL86" s="216"/>
      <c r="AM86" s="1" t="str">
        <f t="shared" si="57"/>
        <v>LPG (Liquified Propane Gas)</v>
      </c>
      <c r="AN86" s="403">
        <f t="shared" si="65"/>
        <v>0</v>
      </c>
      <c r="AO86" s="164" t="str">
        <f t="shared" si="65"/>
        <v>gallon</v>
      </c>
      <c r="AP86" s="1">
        <f t="shared" si="58"/>
        <v>0.26417203728418465</v>
      </c>
      <c r="AQ86" s="87" t="str">
        <f t="shared" si="59"/>
        <v>gallon/litre</v>
      </c>
      <c r="AR86">
        <f t="shared" si="60"/>
        <v>0</v>
      </c>
      <c r="AS86" s="87" t="str">
        <f>'CPCI Data'!$W$27</f>
        <v>litre</v>
      </c>
      <c r="AT86">
        <f t="shared" si="66"/>
        <v>0</v>
      </c>
      <c r="AU86" s="358">
        <f t="array" ref="AU86">IFERROR(INDEX(LCIA_Data,MATCH($AT86&amp;AU$74,LCIA_Rows_B&amp;LCIA_Rows_C,0),MATCH($D86,LCIA_Columns,0)),0)*$AR86</f>
        <v>0</v>
      </c>
      <c r="AV86" s="358">
        <f t="array" ref="AV86">IFERROR(INDEX(LCIA_Data,MATCH($AT86&amp;AV$74,LCIA_Rows_B&amp;LCIA_Rows_C,0),MATCH($D86,LCIA_Columns,0)),0)*$AR86</f>
        <v>0</v>
      </c>
      <c r="AW86" s="358">
        <f t="array" ref="AW86">IFERROR(INDEX(LCIA_Data,MATCH($AT86&amp;AW$74,LCIA_Rows_B&amp;LCIA_Rows_C,0),MATCH($D86,LCIA_Columns,0)),0)*$AR86</f>
        <v>0</v>
      </c>
      <c r="AX86" s="358">
        <f t="array" ref="AX86">IFERROR(INDEX(LCIA_Data,MATCH($AT86&amp;AX$74,LCIA_Rows_B&amp;LCIA_Rows_C,0),MATCH($D86,LCIA_Columns,0)),0)*$AR86</f>
        <v>0</v>
      </c>
      <c r="AY86" s="358">
        <f t="array" ref="AY86">IFERROR(INDEX(LCIA_Data,MATCH($AT86&amp;AY$74,LCIA_Rows_B&amp;LCIA_Rows_C,0),MATCH($D86,LCIA_Columns,0)),0)*$AR86</f>
        <v>0</v>
      </c>
      <c r="AZ86" s="358">
        <f t="array" ref="AZ86">IFERROR(INDEX(LCIA_Data,MATCH($AT86&amp;AZ$74,LCIA_Rows_B&amp;LCIA_Rows_C,0),MATCH($D86,LCIA_Columns,0)),0)*$AR86</f>
        <v>0</v>
      </c>
      <c r="BA86" s="358">
        <f t="array" ref="BA86">IFERROR(INDEX(LCIA_Data,MATCH($AT86&amp;BA$74,LCIA_Rows_B&amp;LCIA_Rows_C,0),MATCH($D86,LCIA_Columns,0)),0)*$AR86</f>
        <v>0</v>
      </c>
      <c r="BB86" s="358">
        <f t="array" ref="BB86">IFERROR(INDEX(LCIA_Data,MATCH($AT86&amp;BB$74,LCIA_Rows_B&amp;LCIA_Rows_C,0),MATCH($D86,LCIA_Columns,0)),0)*$AR86</f>
        <v>0</v>
      </c>
      <c r="BC86" s="358">
        <f t="array" ref="BC86">IFERROR(INDEX(LCIA_Data,MATCH($AT86&amp;BC$74,LCIA_Rows_B&amp;LCIA_Rows_C,0),MATCH($D86,LCIA_Columns,0)),0)*$AR86</f>
        <v>0</v>
      </c>
      <c r="BD86" s="358">
        <f t="array" ref="BD86">IFERROR(INDEX(LCIA_Data,MATCH($AT86&amp;BD$74,LCIA_Rows_B&amp;LCIA_Rows_C,0),MATCH($D86,LCIA_Columns,0)),0)*$AR86</f>
        <v>0</v>
      </c>
      <c r="BE86" s="358">
        <f t="array" ref="BE86">IFERROR(INDEX(LCIA_Data,MATCH($AT86&amp;BE$74,LCIA_Rows_B&amp;LCIA_Rows_C,0),MATCH($D86,LCIA_Columns,0)),0)*$AR86</f>
        <v>0</v>
      </c>
      <c r="BF86" s="358">
        <f t="array" ref="BF86">IFERROR(INDEX(LCIA_Data,MATCH($AT86&amp;BF$74,LCIA_Rows_B&amp;LCIA_Rows_C,0),MATCH($D86,LCIA_Columns,0)),0)*$AR86</f>
        <v>0</v>
      </c>
      <c r="BG86" s="358">
        <f t="array" ref="BG86">IFERROR(INDEX(LCIA_Data,MATCH($AT86&amp;BG$74,LCIA_Rows_B&amp;LCIA_Rows_C,0),MATCH($D86,LCIA_Columns,0)),0)*$AR86</f>
        <v>0</v>
      </c>
      <c r="BH86" s="358">
        <f t="array" ref="BH86">IFERROR(INDEX(LCIA_Data,MATCH($AT86&amp;BH$74,LCIA_Rows_B&amp;LCIA_Rows_C,0),MATCH($D86,LCIA_Columns,0)),0)*$AR86</f>
        <v>0</v>
      </c>
      <c r="BI86" s="360">
        <f t="shared" si="61"/>
        <v>0</v>
      </c>
      <c r="BJ86" s="360">
        <f t="shared" si="61"/>
        <v>0</v>
      </c>
      <c r="BK86" s="360">
        <f t="shared" si="61"/>
        <v>0</v>
      </c>
      <c r="BL86" s="360">
        <f t="shared" si="61"/>
        <v>0</v>
      </c>
      <c r="BM86" s="360">
        <f t="shared" si="61"/>
        <v>0</v>
      </c>
      <c r="BN86" s="360">
        <f t="shared" si="61"/>
        <v>0</v>
      </c>
      <c r="BO86" s="360">
        <f t="shared" si="61"/>
        <v>0</v>
      </c>
      <c r="BP86" s="360">
        <f t="shared" si="61"/>
        <v>0</v>
      </c>
      <c r="BQ86" s="360">
        <f t="shared" si="61"/>
        <v>0</v>
      </c>
      <c r="BR86" s="360">
        <f t="shared" si="61"/>
        <v>0</v>
      </c>
      <c r="BS86" s="360">
        <f t="shared" si="61"/>
        <v>0</v>
      </c>
      <c r="BT86" s="360">
        <f t="shared" si="61"/>
        <v>0</v>
      </c>
      <c r="BU86" s="360">
        <f t="shared" si="61"/>
        <v>0</v>
      </c>
      <c r="BV86" s="360">
        <f t="shared" si="61"/>
        <v>0</v>
      </c>
      <c r="BW86" s="362">
        <f t="shared" si="62"/>
        <v>0</v>
      </c>
      <c r="BX86" s="362">
        <f t="shared" si="62"/>
        <v>0</v>
      </c>
      <c r="BY86" s="362">
        <f t="shared" si="62"/>
        <v>0</v>
      </c>
      <c r="BZ86" s="362">
        <f t="shared" si="62"/>
        <v>0</v>
      </c>
      <c r="CA86" s="362">
        <f t="shared" si="62"/>
        <v>0</v>
      </c>
      <c r="CB86" s="362">
        <f t="shared" si="62"/>
        <v>0</v>
      </c>
      <c r="CC86" s="362">
        <f t="shared" si="62"/>
        <v>0</v>
      </c>
      <c r="CD86" s="362">
        <f t="shared" si="62"/>
        <v>0</v>
      </c>
      <c r="CE86" s="362">
        <f t="shared" si="62"/>
        <v>0</v>
      </c>
      <c r="CF86" s="362">
        <f t="shared" si="62"/>
        <v>0</v>
      </c>
      <c r="CG86" s="362">
        <f t="shared" si="62"/>
        <v>0</v>
      </c>
      <c r="CH86" s="362">
        <f t="shared" si="62"/>
        <v>0</v>
      </c>
      <c r="CI86" s="362">
        <f t="shared" si="62"/>
        <v>0</v>
      </c>
      <c r="CJ86" s="362">
        <f t="shared" si="62"/>
        <v>0</v>
      </c>
      <c r="CK86"/>
      <c r="CL86"/>
      <c r="CM86"/>
      <c r="CN86"/>
      <c r="CO86"/>
      <c r="CP86"/>
      <c r="CQ86"/>
      <c r="CR86"/>
      <c r="CS86"/>
      <c r="CT86"/>
      <c r="CU86"/>
      <c r="CV86"/>
      <c r="CW86"/>
      <c r="CX86"/>
      <c r="CY86"/>
      <c r="CZ86"/>
      <c r="DA86"/>
      <c r="DB86"/>
    </row>
    <row r="87" spans="2:134" ht="15" hidden="1" customHeight="1" thickBot="1">
      <c r="H87" s="45" t="s">
        <v>19</v>
      </c>
      <c r="I87" s="163">
        <f t="shared" si="63"/>
        <v>0</v>
      </c>
      <c r="J87" s="178">
        <f t="shared" si="64"/>
        <v>0</v>
      </c>
      <c r="K87"/>
      <c r="L87"/>
      <c r="AR87" t="s">
        <v>133</v>
      </c>
      <c r="AU87" s="358">
        <f>SUM(AU76:AU86)</f>
        <v>0</v>
      </c>
      <c r="AV87" s="358">
        <f t="shared" ref="AV87:AZ87" si="67">SUM(AV76:AV86)</f>
        <v>0</v>
      </c>
      <c r="AW87" s="358">
        <f t="shared" si="67"/>
        <v>0</v>
      </c>
      <c r="AX87" s="358">
        <f t="shared" si="67"/>
        <v>0</v>
      </c>
      <c r="AY87" s="358">
        <f t="shared" si="67"/>
        <v>0</v>
      </c>
      <c r="AZ87" s="358">
        <f t="shared" si="67"/>
        <v>0</v>
      </c>
      <c r="BA87" s="358">
        <f>SUM(BA76:BA86)</f>
        <v>0</v>
      </c>
      <c r="BB87" s="358">
        <f t="shared" ref="BB87:BH87" si="68">SUM(BB76:BB86)</f>
        <v>0</v>
      </c>
      <c r="BC87" s="358">
        <f t="shared" si="68"/>
        <v>0</v>
      </c>
      <c r="BD87" s="358">
        <f t="shared" si="68"/>
        <v>0</v>
      </c>
      <c r="BE87" s="358">
        <f t="shared" si="68"/>
        <v>0</v>
      </c>
      <c r="BF87" s="358">
        <f t="shared" si="68"/>
        <v>0</v>
      </c>
      <c r="BG87" s="358">
        <f t="shared" si="68"/>
        <v>0</v>
      </c>
      <c r="BH87" s="358">
        <f t="shared" si="68"/>
        <v>0</v>
      </c>
      <c r="BI87" s="360">
        <f t="shared" si="61"/>
        <v>0</v>
      </c>
      <c r="BJ87" s="360">
        <f t="shared" si="61"/>
        <v>0</v>
      </c>
      <c r="BK87" s="360">
        <f t="shared" si="61"/>
        <v>0</v>
      </c>
      <c r="BL87" s="360">
        <f t="shared" si="61"/>
        <v>0</v>
      </c>
      <c r="BM87" s="360">
        <f t="shared" si="61"/>
        <v>0</v>
      </c>
      <c r="BN87" s="360">
        <f t="shared" si="61"/>
        <v>0</v>
      </c>
      <c r="BO87" s="360">
        <f t="shared" si="61"/>
        <v>0</v>
      </c>
      <c r="BP87" s="360">
        <f t="shared" si="61"/>
        <v>0</v>
      </c>
      <c r="BQ87" s="360">
        <f t="shared" si="61"/>
        <v>0</v>
      </c>
      <c r="BR87" s="360">
        <f t="shared" si="61"/>
        <v>0</v>
      </c>
      <c r="BS87" s="360">
        <f t="shared" si="61"/>
        <v>0</v>
      </c>
      <c r="BT87" s="360">
        <f t="shared" si="61"/>
        <v>0</v>
      </c>
      <c r="BU87" s="360">
        <f t="shared" si="61"/>
        <v>0</v>
      </c>
      <c r="BV87" s="360">
        <f t="shared" si="61"/>
        <v>0</v>
      </c>
      <c r="BW87" s="362">
        <f t="shared" si="62"/>
        <v>0</v>
      </c>
      <c r="BX87" s="362">
        <f t="shared" si="62"/>
        <v>0</v>
      </c>
      <c r="BY87" s="362">
        <f t="shared" si="62"/>
        <v>0</v>
      </c>
      <c r="BZ87" s="362">
        <f t="shared" si="62"/>
        <v>0</v>
      </c>
      <c r="CA87" s="362">
        <f t="shared" si="62"/>
        <v>0</v>
      </c>
      <c r="CB87" s="362">
        <f t="shared" si="62"/>
        <v>0</v>
      </c>
      <c r="CC87" s="362">
        <f t="shared" si="62"/>
        <v>0</v>
      </c>
      <c r="CD87" s="362">
        <f t="shared" si="62"/>
        <v>0</v>
      </c>
      <c r="CE87" s="362">
        <f t="shared" si="62"/>
        <v>0</v>
      </c>
      <c r="CF87" s="362">
        <f t="shared" si="62"/>
        <v>0</v>
      </c>
      <c r="CG87" s="362">
        <f t="shared" si="62"/>
        <v>0</v>
      </c>
      <c r="CH87" s="362">
        <f t="shared" si="62"/>
        <v>0</v>
      </c>
      <c r="CI87" s="362">
        <f t="shared" si="62"/>
        <v>0</v>
      </c>
      <c r="CJ87" s="362">
        <f t="shared" si="62"/>
        <v>0</v>
      </c>
      <c r="CK87"/>
      <c r="CL87"/>
      <c r="CM87"/>
      <c r="CN87"/>
      <c r="CO87"/>
      <c r="CP87"/>
      <c r="CQ87"/>
      <c r="CR87"/>
      <c r="CS87"/>
      <c r="CT87"/>
      <c r="CU87"/>
      <c r="CV87"/>
      <c r="CW87"/>
      <c r="CX87"/>
      <c r="CY87"/>
      <c r="CZ87"/>
      <c r="DA87"/>
      <c r="DB87"/>
    </row>
    <row r="88" spans="2:134" ht="15" hidden="1" customHeight="1">
      <c r="J88" s="55"/>
      <c r="K88" s="55"/>
      <c r="L88" s="55"/>
      <c r="M88" s="72"/>
      <c r="N88" s="72"/>
      <c r="O88" s="72"/>
      <c r="P88" s="72"/>
      <c r="Q88" s="72"/>
      <c r="R88" s="72"/>
      <c r="S88" s="72"/>
      <c r="T88" s="76"/>
    </row>
    <row r="89" spans="2:134" ht="15" hidden="1" customHeight="1">
      <c r="T89" s="76"/>
    </row>
    <row r="90" spans="2:134" hidden="1">
      <c r="I90" s="3"/>
      <c r="J90" s="3"/>
      <c r="L90" s="13"/>
      <c r="O90" s="75"/>
      <c r="P90"/>
      <c r="Q90"/>
      <c r="R90"/>
      <c r="S90"/>
      <c r="T90"/>
      <c r="AN90" s="1"/>
      <c r="AO90" s="1"/>
      <c r="AP90" s="1"/>
      <c r="BM90" s="1" t="s">
        <v>336</v>
      </c>
      <c r="BN90" s="87">
        <v>1</v>
      </c>
      <c r="BV90"/>
      <c r="BW90"/>
      <c r="BX90"/>
      <c r="BY90"/>
      <c r="BZ90"/>
      <c r="CA90"/>
      <c r="CB90"/>
      <c r="CC90"/>
      <c r="CD90"/>
      <c r="CE90"/>
      <c r="CF90"/>
      <c r="CG90"/>
      <c r="CH90"/>
      <c r="CI90"/>
      <c r="CJ90"/>
      <c r="CK90"/>
    </row>
    <row r="91" spans="2:134" ht="16" hidden="1" thickBot="1">
      <c r="O91" s="76"/>
      <c r="P91"/>
      <c r="Q91"/>
      <c r="R91"/>
      <c r="S91"/>
      <c r="T91"/>
      <c r="AN91" s="1"/>
      <c r="AO91" s="1"/>
      <c r="AP91" s="1"/>
      <c r="BV91"/>
      <c r="BW91"/>
      <c r="BX91"/>
      <c r="BY91"/>
      <c r="BZ91"/>
      <c r="CA91"/>
      <c r="CB91"/>
      <c r="CC91"/>
      <c r="CD91"/>
      <c r="CE91"/>
      <c r="CF91"/>
    </row>
    <row r="92" spans="2:134" ht="21" hidden="1" thickBot="1">
      <c r="C92" s="16" t="s">
        <v>483</v>
      </c>
      <c r="D92" s="17"/>
      <c r="E92" s="17"/>
      <c r="F92" s="17"/>
      <c r="G92" s="70"/>
      <c r="H92" s="70"/>
      <c r="I92" s="70"/>
      <c r="J92"/>
      <c r="K92"/>
      <c r="L92"/>
      <c r="M92"/>
      <c r="N92"/>
      <c r="O92" s="12"/>
      <c r="P92"/>
      <c r="Q92"/>
      <c r="R92"/>
      <c r="S92"/>
      <c r="T92"/>
      <c r="AN92" s="1"/>
      <c r="AO92" s="1"/>
      <c r="AP92" s="1"/>
      <c r="AX92" s="1" t="s">
        <v>577</v>
      </c>
      <c r="AY92" s="87">
        <v>0</v>
      </c>
      <c r="AZ92" s="1"/>
      <c r="BA92" s="1"/>
      <c r="BB92" s="1"/>
      <c r="BC92" s="12"/>
      <c r="BD92" s="87"/>
      <c r="BE92" s="87"/>
      <c r="BF92" s="87"/>
      <c r="BG92" s="87"/>
      <c r="BH92" s="87"/>
      <c r="BI92" s="87"/>
      <c r="BJ92" s="87"/>
      <c r="BM92" s="686" t="s">
        <v>727</v>
      </c>
      <c r="BN92" s="687"/>
      <c r="BO92" s="687"/>
      <c r="BP92" s="687"/>
      <c r="BQ92" s="687"/>
      <c r="BR92" s="687"/>
      <c r="BS92" s="687"/>
      <c r="BT92" s="687"/>
      <c r="BU92" s="687"/>
      <c r="BV92" s="687"/>
      <c r="BW92" s="687"/>
      <c r="BX92" s="687"/>
      <c r="BY92" s="687"/>
      <c r="BZ92" s="687"/>
      <c r="CA92" s="687"/>
      <c r="CB92" s="687"/>
      <c r="CC92" s="687"/>
      <c r="CD92" s="687"/>
      <c r="CE92" s="687"/>
      <c r="CF92" s="687"/>
      <c r="CG92" s="687"/>
      <c r="CH92" s="687"/>
      <c r="CI92" s="687"/>
      <c r="CJ92" s="687"/>
      <c r="CK92" s="687"/>
      <c r="CL92" s="687"/>
      <c r="CM92" s="687"/>
      <c r="CN92" s="687"/>
      <c r="CO92" s="687"/>
      <c r="CP92" s="687"/>
      <c r="CQ92" s="687"/>
      <c r="CR92" s="687"/>
      <c r="CS92" s="687"/>
      <c r="CT92" s="687"/>
      <c r="CU92" s="687"/>
      <c r="CV92" s="687"/>
      <c r="CW92" s="687"/>
      <c r="CX92" s="687"/>
      <c r="CY92" s="687"/>
      <c r="CZ92" s="687"/>
      <c r="DA92" s="687"/>
      <c r="DB92" s="687"/>
      <c r="DC92" s="687"/>
      <c r="DD92" s="687"/>
      <c r="DE92" s="687"/>
      <c r="DF92" s="687"/>
      <c r="DG92" s="687"/>
      <c r="DH92" s="687"/>
      <c r="DI92" s="687"/>
      <c r="DJ92" s="687"/>
      <c r="DK92" s="687"/>
      <c r="DL92" s="687"/>
      <c r="DM92" s="687"/>
      <c r="DN92" s="687"/>
      <c r="DO92" s="687"/>
      <c r="DP92" s="688"/>
      <c r="DQ92"/>
      <c r="DR92"/>
      <c r="DS92"/>
      <c r="DT92"/>
    </row>
    <row r="93" spans="2:134" ht="15.75" hidden="1" customHeight="1" thickBot="1">
      <c r="C93" s="73" t="s">
        <v>747</v>
      </c>
      <c r="D93" s="74"/>
      <c r="E93" s="74"/>
      <c r="F93" s="74"/>
      <c r="G93" s="74"/>
      <c r="H93" s="307"/>
      <c r="I93" s="596"/>
      <c r="J93"/>
      <c r="K93"/>
      <c r="L93"/>
      <c r="M93"/>
      <c r="N93"/>
      <c r="O93" s="12"/>
      <c r="P93"/>
      <c r="Q93"/>
      <c r="R93"/>
      <c r="S93"/>
      <c r="T93"/>
      <c r="AG93" s="172" t="s">
        <v>449</v>
      </c>
      <c r="AX93" s="567" t="s">
        <v>484</v>
      </c>
      <c r="AY93" s="568"/>
      <c r="AZ93" s="568"/>
      <c r="BA93" s="568"/>
      <c r="BB93" s="568"/>
      <c r="BC93" s="568"/>
      <c r="BD93" s="568"/>
      <c r="BE93" s="568"/>
      <c r="BF93" s="568"/>
      <c r="BG93" s="568"/>
      <c r="BH93" s="568"/>
      <c r="BI93" s="568"/>
      <c r="BJ93" s="568"/>
      <c r="BK93" s="569"/>
      <c r="BM93" s="2" t="s">
        <v>13</v>
      </c>
      <c r="BN93" s="2" t="s">
        <v>13</v>
      </c>
      <c r="BO93" s="2" t="s">
        <v>13</v>
      </c>
      <c r="BP93" s="2" t="s">
        <v>13</v>
      </c>
      <c r="BQ93" s="2" t="s">
        <v>13</v>
      </c>
      <c r="BR93" s="2" t="s">
        <v>13</v>
      </c>
      <c r="BS93" s="2" t="s">
        <v>13</v>
      </c>
      <c r="BT93" s="2" t="s">
        <v>13</v>
      </c>
      <c r="BU93" s="2" t="s">
        <v>13</v>
      </c>
      <c r="BV93" s="2" t="s">
        <v>13</v>
      </c>
      <c r="BW93" s="2" t="s">
        <v>13</v>
      </c>
      <c r="BX93" s="2" t="s">
        <v>13</v>
      </c>
      <c r="BY93" s="2" t="s">
        <v>13</v>
      </c>
      <c r="BZ93" s="2" t="s">
        <v>13</v>
      </c>
      <c r="CA93" s="2" t="s">
        <v>14</v>
      </c>
      <c r="CB93" s="2" t="s">
        <v>14</v>
      </c>
      <c r="CC93" s="2" t="s">
        <v>14</v>
      </c>
      <c r="CD93" s="2" t="s">
        <v>14</v>
      </c>
      <c r="CE93" s="2" t="s">
        <v>14</v>
      </c>
      <c r="CF93" s="2" t="s">
        <v>14</v>
      </c>
      <c r="CG93" s="2" t="s">
        <v>14</v>
      </c>
      <c r="CH93" s="2" t="s">
        <v>14</v>
      </c>
      <c r="CI93" s="2" t="s">
        <v>14</v>
      </c>
      <c r="CJ93" s="2" t="s">
        <v>14</v>
      </c>
      <c r="CK93" s="2" t="s">
        <v>14</v>
      </c>
      <c r="CL93" s="2" t="s">
        <v>14</v>
      </c>
      <c r="CM93" s="2" t="s">
        <v>14</v>
      </c>
      <c r="CN93" s="2" t="s">
        <v>14</v>
      </c>
      <c r="CO93" s="2" t="s">
        <v>16</v>
      </c>
      <c r="CP93" s="2" t="s">
        <v>16</v>
      </c>
      <c r="CQ93" s="2" t="s">
        <v>16</v>
      </c>
      <c r="CR93" s="2" t="s">
        <v>16</v>
      </c>
      <c r="CS93" s="2" t="s">
        <v>16</v>
      </c>
      <c r="CT93" s="2" t="s">
        <v>16</v>
      </c>
      <c r="CU93" s="2" t="s">
        <v>16</v>
      </c>
      <c r="CV93" s="2" t="s">
        <v>16</v>
      </c>
      <c r="CW93" s="2" t="s">
        <v>16</v>
      </c>
      <c r="CX93" s="2" t="s">
        <v>16</v>
      </c>
      <c r="CY93" s="2" t="s">
        <v>16</v>
      </c>
      <c r="CZ93" s="2" t="s">
        <v>16</v>
      </c>
      <c r="DA93" s="2" t="s">
        <v>16</v>
      </c>
      <c r="DB93" s="2" t="s">
        <v>16</v>
      </c>
      <c r="DC93" s="2" t="s">
        <v>15</v>
      </c>
      <c r="DD93" s="2" t="s">
        <v>15</v>
      </c>
      <c r="DE93" s="2" t="s">
        <v>15</v>
      </c>
      <c r="DF93" s="2" t="s">
        <v>15</v>
      </c>
      <c r="DG93" s="2" t="s">
        <v>15</v>
      </c>
      <c r="DH93" s="2" t="s">
        <v>15</v>
      </c>
      <c r="DI93" s="2" t="s">
        <v>15</v>
      </c>
      <c r="DJ93" s="2" t="s">
        <v>15</v>
      </c>
      <c r="DK93" s="2" t="s">
        <v>15</v>
      </c>
      <c r="DL93" s="2" t="s">
        <v>15</v>
      </c>
      <c r="DM93" s="2" t="s">
        <v>15</v>
      </c>
      <c r="DN93" s="2" t="s">
        <v>15</v>
      </c>
      <c r="DO93" s="2" t="s">
        <v>15</v>
      </c>
      <c r="DP93" s="2" t="s">
        <v>15</v>
      </c>
      <c r="DQ93" s="685" t="s">
        <v>728</v>
      </c>
      <c r="DR93" s="685"/>
      <c r="DS93" s="685"/>
      <c r="DT93" s="685"/>
      <c r="DU93" s="685"/>
      <c r="DV93" s="685"/>
      <c r="DW93" s="685"/>
      <c r="DX93" s="685"/>
      <c r="DY93" s="685"/>
      <c r="DZ93" s="685"/>
      <c r="EA93" s="685"/>
      <c r="EB93" s="685"/>
      <c r="EC93"/>
    </row>
    <row r="94" spans="2:134" ht="15.75" hidden="1" customHeight="1">
      <c r="C94" s="599"/>
      <c r="D94" s="600"/>
      <c r="E94" s="600"/>
      <c r="F94" s="600"/>
      <c r="G94" s="600"/>
      <c r="H94" s="600"/>
      <c r="I94" s="597"/>
      <c r="J94"/>
      <c r="K94"/>
      <c r="L94"/>
      <c r="M94"/>
      <c r="N94"/>
      <c r="O94" s="12"/>
      <c r="P94"/>
      <c r="Q94"/>
      <c r="R94"/>
      <c r="S94"/>
      <c r="T94"/>
      <c r="AG94" s="211" t="str">
        <f>DistanceCalcUnit</f>
        <v>km</v>
      </c>
      <c r="AM94" s="686" t="s">
        <v>130</v>
      </c>
      <c r="AN94" s="687"/>
      <c r="AO94" s="687"/>
      <c r="AP94" s="687"/>
      <c r="AQ94" s="687"/>
      <c r="AR94" s="687"/>
      <c r="AS94" s="687"/>
      <c r="AT94" s="687"/>
      <c r="AU94" s="688"/>
      <c r="AV94" s="147"/>
      <c r="AW94" s="342"/>
      <c r="AX94" s="592" t="str">
        <f>INDEX(EPD_Measures,1)</f>
        <v>Global warming potential (GWP)</v>
      </c>
      <c r="AY94" s="592" t="str">
        <f>INDEX(EPD_Measures,2)</f>
        <v>Acidification potential</v>
      </c>
      <c r="AZ94" s="592" t="str">
        <f>INDEX(EPD_Measures,3)</f>
        <v>Eutrophication potential</v>
      </c>
      <c r="BA94" s="592" t="str">
        <f>INDEX(EPD_Measures,4)</f>
        <v>Smog creation potential</v>
      </c>
      <c r="BB94" s="592" t="str">
        <f>INDEX(EPD_Measures,5)</f>
        <v>Ozone depletion potential</v>
      </c>
      <c r="BC94" s="592" t="str">
        <f>INDEX(EPD_Measures,6)</f>
        <v>Total primary energy consumption</v>
      </c>
      <c r="BD94" s="592" t="str">
        <f>INDEX(EPD_Measures,7)</f>
        <v>Nonrenewable energy resources</v>
      </c>
      <c r="BE94" s="592" t="str">
        <f>INDEX(EPD_Measures,8)</f>
        <v>Renewable energy resources</v>
      </c>
      <c r="BF94" s="592" t="str">
        <f>INDEX(EPD_Measures,9)</f>
        <v>Material resources consumption</v>
      </c>
      <c r="BG94" s="592" t="str">
        <f>INDEX(EPD_Measures,10)</f>
        <v>Nonrenewable material resources</v>
      </c>
      <c r="BH94" s="592" t="str">
        <f>INDEX(EPD_Measures,11)</f>
        <v>Renewable material resources</v>
      </c>
      <c r="BI94" s="592" t="str">
        <f>INDEX(EPD_Measures,12)</f>
        <v>Net Fresh Water</v>
      </c>
      <c r="BJ94" s="592" t="str">
        <f>INDEX(EPD_Measures,13)</f>
        <v>Non-hazardous waste generated</v>
      </c>
      <c r="BK94" s="592" t="str">
        <f>INDEX(EPD_Measures,14)</f>
        <v>Hazardous waste generated</v>
      </c>
      <c r="BM94" s="564" t="str">
        <f>INDEX(EPD_Measures,1)</f>
        <v>Global warming potential (GWP)</v>
      </c>
      <c r="BN94" s="564" t="str">
        <f>INDEX(EPD_Measures,2)</f>
        <v>Acidification potential</v>
      </c>
      <c r="BO94" s="564" t="str">
        <f>INDEX(EPD_Measures,3)</f>
        <v>Eutrophication potential</v>
      </c>
      <c r="BP94" s="564" t="str">
        <f>INDEX(EPD_Measures,4)</f>
        <v>Smog creation potential</v>
      </c>
      <c r="BQ94" s="564" t="str">
        <f>INDEX(EPD_Measures,5)</f>
        <v>Ozone depletion potential</v>
      </c>
      <c r="BR94" s="564" t="str">
        <f>INDEX(EPD_Measures,6)</f>
        <v>Total primary energy consumption</v>
      </c>
      <c r="BS94" s="564" t="str">
        <f>INDEX(EPD_Measures,7)</f>
        <v>Nonrenewable energy resources</v>
      </c>
      <c r="BT94" s="564" t="str">
        <f>INDEX(EPD_Measures,8)</f>
        <v>Renewable energy resources</v>
      </c>
      <c r="BU94" s="564" t="str">
        <f>INDEX(EPD_Measures,9)</f>
        <v>Material resources consumption</v>
      </c>
      <c r="BV94" s="564" t="str">
        <f>INDEX(EPD_Measures,10)</f>
        <v>Nonrenewable material resources</v>
      </c>
      <c r="BW94" s="564" t="str">
        <f>INDEX(EPD_Measures,11)</f>
        <v>Renewable material resources</v>
      </c>
      <c r="BX94" s="564" t="str">
        <f>INDEX(EPD_Measures,12)</f>
        <v>Net Fresh Water</v>
      </c>
      <c r="BY94" s="564" t="str">
        <f>INDEX(EPD_Measures,13)</f>
        <v>Non-hazardous waste generated</v>
      </c>
      <c r="BZ94" s="564" t="str">
        <f>INDEX(EPD_Measures,14)</f>
        <v>Hazardous waste generated</v>
      </c>
      <c r="CA94" s="564" t="str">
        <f>INDEX(EPD_Measures,1)</f>
        <v>Global warming potential (GWP)</v>
      </c>
      <c r="CB94" s="564" t="str">
        <f>INDEX(EPD_Measures,2)</f>
        <v>Acidification potential</v>
      </c>
      <c r="CC94" s="564" t="str">
        <f>INDEX(EPD_Measures,3)</f>
        <v>Eutrophication potential</v>
      </c>
      <c r="CD94" s="564" t="str">
        <f>INDEX(EPD_Measures,4)</f>
        <v>Smog creation potential</v>
      </c>
      <c r="CE94" s="564" t="str">
        <f>INDEX(EPD_Measures,5)</f>
        <v>Ozone depletion potential</v>
      </c>
      <c r="CF94" s="564" t="str">
        <f>INDEX(EPD_Measures,6)</f>
        <v>Total primary energy consumption</v>
      </c>
      <c r="CG94" s="564" t="str">
        <f>INDEX(EPD_Measures,7)</f>
        <v>Nonrenewable energy resources</v>
      </c>
      <c r="CH94" s="564" t="str">
        <f>INDEX(EPD_Measures,8)</f>
        <v>Renewable energy resources</v>
      </c>
      <c r="CI94" s="564" t="str">
        <f>INDEX(EPD_Measures,9)</f>
        <v>Material resources consumption</v>
      </c>
      <c r="CJ94" s="564" t="str">
        <f>INDEX(EPD_Measures,10)</f>
        <v>Nonrenewable material resources</v>
      </c>
      <c r="CK94" s="564" t="str">
        <f>INDEX(EPD_Measures,11)</f>
        <v>Renewable material resources</v>
      </c>
      <c r="CL94" s="564" t="str">
        <f>INDEX(EPD_Measures,12)</f>
        <v>Net Fresh Water</v>
      </c>
      <c r="CM94" s="564" t="str">
        <f>INDEX(EPD_Measures,13)</f>
        <v>Non-hazardous waste generated</v>
      </c>
      <c r="CN94" s="564" t="str">
        <f>INDEX(EPD_Measures,14)</f>
        <v>Hazardous waste generated</v>
      </c>
      <c r="CO94" s="564" t="str">
        <f>INDEX(EPD_Measures,1)</f>
        <v>Global warming potential (GWP)</v>
      </c>
      <c r="CP94" s="564" t="str">
        <f>INDEX(EPD_Measures,2)</f>
        <v>Acidification potential</v>
      </c>
      <c r="CQ94" s="564" t="str">
        <f>INDEX(EPD_Measures,3)</f>
        <v>Eutrophication potential</v>
      </c>
      <c r="CR94" s="564" t="str">
        <f>INDEX(EPD_Measures,4)</f>
        <v>Smog creation potential</v>
      </c>
      <c r="CS94" s="564" t="str">
        <f>INDEX(EPD_Measures,5)</f>
        <v>Ozone depletion potential</v>
      </c>
      <c r="CT94" s="564" t="str">
        <f>INDEX(EPD_Measures,6)</f>
        <v>Total primary energy consumption</v>
      </c>
      <c r="CU94" s="564" t="str">
        <f>INDEX(EPD_Measures,7)</f>
        <v>Nonrenewable energy resources</v>
      </c>
      <c r="CV94" s="564" t="str">
        <f>INDEX(EPD_Measures,8)</f>
        <v>Renewable energy resources</v>
      </c>
      <c r="CW94" s="564" t="str">
        <f>INDEX(EPD_Measures,9)</f>
        <v>Material resources consumption</v>
      </c>
      <c r="CX94" s="564" t="str">
        <f>INDEX(EPD_Measures,10)</f>
        <v>Nonrenewable material resources</v>
      </c>
      <c r="CY94" s="564" t="str">
        <f>INDEX(EPD_Measures,11)</f>
        <v>Renewable material resources</v>
      </c>
      <c r="CZ94" s="564" t="str">
        <f>INDEX(EPD_Measures,12)</f>
        <v>Net Fresh Water</v>
      </c>
      <c r="DA94" s="564" t="str">
        <f>INDEX(EPD_Measures,13)</f>
        <v>Non-hazardous waste generated</v>
      </c>
      <c r="DB94" s="564" t="str">
        <f>INDEX(EPD_Measures,14)</f>
        <v>Hazardous waste generated</v>
      </c>
      <c r="DC94" s="564" t="str">
        <f>INDEX(EPD_Measures,1)</f>
        <v>Global warming potential (GWP)</v>
      </c>
      <c r="DD94" s="564" t="str">
        <f>INDEX(EPD_Measures,2)</f>
        <v>Acidification potential</v>
      </c>
      <c r="DE94" s="564" t="str">
        <f>INDEX(EPD_Measures,3)</f>
        <v>Eutrophication potential</v>
      </c>
      <c r="DF94" s="564" t="str">
        <f>INDEX(EPD_Measures,4)</f>
        <v>Smog creation potential</v>
      </c>
      <c r="DG94" s="564" t="str">
        <f>INDEX(EPD_Measures,5)</f>
        <v>Ozone depletion potential</v>
      </c>
      <c r="DH94" s="564" t="str">
        <f>INDEX(EPD_Measures,6)</f>
        <v>Total primary energy consumption</v>
      </c>
      <c r="DI94" s="564" t="str">
        <f>INDEX(EPD_Measures,7)</f>
        <v>Nonrenewable energy resources</v>
      </c>
      <c r="DJ94" s="564" t="str">
        <f>INDEX(EPD_Measures,8)</f>
        <v>Renewable energy resources</v>
      </c>
      <c r="DK94" s="564" t="str">
        <f>INDEX(EPD_Measures,9)</f>
        <v>Material resources consumption</v>
      </c>
      <c r="DL94" s="564" t="str">
        <f>INDEX(EPD_Measures,10)</f>
        <v>Nonrenewable material resources</v>
      </c>
      <c r="DM94" s="564" t="str">
        <f>INDEX(EPD_Measures,11)</f>
        <v>Renewable material resources</v>
      </c>
      <c r="DN94" s="564" t="str">
        <f>INDEX(EPD_Measures,12)</f>
        <v>Net Fresh Water</v>
      </c>
      <c r="DO94" s="564" t="str">
        <f>INDEX(EPD_Measures,13)</f>
        <v>Non-hazardous waste generated</v>
      </c>
      <c r="DP94" s="564" t="str">
        <f>INDEX(EPD_Measures,14)</f>
        <v>Hazardous waste generated</v>
      </c>
      <c r="DQ94" s="2" t="str">
        <f>INDEX(EPD_Measures,1)</f>
        <v>Global warming potential (GWP)</v>
      </c>
      <c r="DR94" s="2" t="str">
        <f>INDEX(EPD_Measures,2)</f>
        <v>Acidification potential</v>
      </c>
      <c r="DS94" s="2" t="str">
        <f>INDEX(EPD_Measures,3)</f>
        <v>Eutrophication potential</v>
      </c>
      <c r="DT94" s="2" t="str">
        <f>INDEX(EPD_Measures,4)</f>
        <v>Smog creation potential</v>
      </c>
      <c r="DU94" s="2" t="str">
        <f>INDEX(EPD_Measures,5)</f>
        <v>Ozone depletion potential</v>
      </c>
      <c r="DV94" s="2" t="str">
        <f>INDEX(EPD_Measures,6)</f>
        <v>Total primary energy consumption</v>
      </c>
      <c r="DW94" s="2" t="str">
        <f>INDEX(EPD_Measures,7)</f>
        <v>Nonrenewable energy resources</v>
      </c>
      <c r="DX94" s="2" t="str">
        <f>INDEX(EPD_Measures,8)</f>
        <v>Renewable energy resources</v>
      </c>
      <c r="DY94" s="2" t="str">
        <f>INDEX(EPD_Measures,9)</f>
        <v>Material resources consumption</v>
      </c>
      <c r="DZ94" s="2" t="str">
        <f>INDEX(EPD_Measures,10)</f>
        <v>Nonrenewable material resources</v>
      </c>
      <c r="EA94" s="2" t="str">
        <f>INDEX(EPD_Measures,11)</f>
        <v>Renewable material resources</v>
      </c>
      <c r="EB94" s="2" t="str">
        <f>INDEX(EPD_Measures,12)</f>
        <v>Net Fresh Water</v>
      </c>
      <c r="EC94" s="2" t="str">
        <f>INDEX(EPD_Measures,13)</f>
        <v>Non-hazardous waste generated</v>
      </c>
      <c r="ED94" s="2" t="str">
        <f>INDEX(EPD_Measures,14)</f>
        <v>Hazardous waste generated</v>
      </c>
    </row>
    <row r="95" spans="2:134" ht="15.75" hidden="1" customHeight="1">
      <c r="C95" s="601"/>
      <c r="D95" s="602"/>
      <c r="E95" s="602"/>
      <c r="F95" s="602"/>
      <c r="G95" s="602"/>
      <c r="H95" s="602"/>
      <c r="I95" s="597"/>
      <c r="J95"/>
      <c r="K95"/>
      <c r="L95"/>
      <c r="M95"/>
      <c r="N95"/>
      <c r="O95" s="12"/>
      <c r="P95"/>
      <c r="Q95"/>
      <c r="R95"/>
      <c r="S95"/>
      <c r="T95"/>
      <c r="AA95" s="13" t="s">
        <v>461</v>
      </c>
      <c r="AH95" s="13" t="s">
        <v>463</v>
      </c>
      <c r="AN95" s="1"/>
      <c r="AO95" s="1"/>
      <c r="AP95" s="1"/>
      <c r="AT95" s="87" t="s">
        <v>102</v>
      </c>
      <c r="AU95" s="87" t="s">
        <v>102</v>
      </c>
      <c r="AV95" s="87" t="s">
        <v>506</v>
      </c>
      <c r="AX95" s="311" t="str">
        <f>INDEX(EPD_Calc_Units,1)</f>
        <v>kg</v>
      </c>
      <c r="AY95" s="311" t="str">
        <f>INDEX(EPD_Calc_Units,2)</f>
        <v>kg</v>
      </c>
      <c r="AZ95" s="311" t="str">
        <f>INDEX(EPD_Calc_Units,3)</f>
        <v>kg</v>
      </c>
      <c r="BA95" s="311" t="str">
        <f>INDEX(EPD_Calc_Units,4)</f>
        <v>kg</v>
      </c>
      <c r="BB95" s="311" t="str">
        <f>INDEX(EPD_Calc_Units,5)</f>
        <v>kg</v>
      </c>
      <c r="BC95" s="311" t="str">
        <f>INDEX(EPD_Calc_Units,6)</f>
        <v>MJ</v>
      </c>
      <c r="BD95" s="311" t="str">
        <f>INDEX(EPD_Calc_Units,7)</f>
        <v>MJ</v>
      </c>
      <c r="BE95" s="311" t="str">
        <f>INDEX(EPD_Calc_Units,8)</f>
        <v>MJ</v>
      </c>
      <c r="BF95" s="311" t="str">
        <f>INDEX(EPD_Calc_Units,9)</f>
        <v>kg</v>
      </c>
      <c r="BG95" s="311" t="str">
        <f>INDEX(EPD_Calc_Units,10)</f>
        <v>kg</v>
      </c>
      <c r="BH95" s="311" t="str">
        <f>INDEX(EPD_Calc_Units,11)</f>
        <v>kg</v>
      </c>
      <c r="BI95" s="311" t="str">
        <f>INDEX(EPD_Calc_Units,12)</f>
        <v>m3</v>
      </c>
      <c r="BJ95" s="311" t="str">
        <f>INDEX(EPD_Calc_Units,13)</f>
        <v>kg</v>
      </c>
      <c r="BK95" s="312" t="str">
        <f>INDEX(EPD_Calc_Units,14)</f>
        <v>kg</v>
      </c>
      <c r="BM95" s="2" t="str">
        <f>INDEX(EPD_Calc_Units,1)</f>
        <v>kg</v>
      </c>
      <c r="BN95" s="2" t="str">
        <f>INDEX(EPD_Calc_Units,2)</f>
        <v>kg</v>
      </c>
      <c r="BO95" s="2" t="str">
        <f>INDEX(EPD_Calc_Units,3)</f>
        <v>kg</v>
      </c>
      <c r="BP95" s="2" t="str">
        <f>INDEX(EPD_Calc_Units,4)</f>
        <v>kg</v>
      </c>
      <c r="BQ95" s="2" t="str">
        <f>INDEX(EPD_Calc_Units,5)</f>
        <v>kg</v>
      </c>
      <c r="BR95" s="2" t="str">
        <f>INDEX(EPD_Calc_Units,6)</f>
        <v>MJ</v>
      </c>
      <c r="BS95" s="2" t="str">
        <f>INDEX(EPD_Calc_Units,7)</f>
        <v>MJ</v>
      </c>
      <c r="BT95" s="2" t="str">
        <f>INDEX(EPD_Calc_Units,8)</f>
        <v>MJ</v>
      </c>
      <c r="BU95" s="2" t="str">
        <f>INDEX(EPD_Calc_Units,9)</f>
        <v>kg</v>
      </c>
      <c r="BV95" s="2" t="str">
        <f>INDEX(EPD_Calc_Units,10)</f>
        <v>kg</v>
      </c>
      <c r="BW95" s="2" t="str">
        <f>INDEX(EPD_Calc_Units,11)</f>
        <v>kg</v>
      </c>
      <c r="BX95" s="2" t="str">
        <f>INDEX(EPD_Calc_Units,12)</f>
        <v>m3</v>
      </c>
      <c r="BY95" s="2" t="str">
        <f>INDEX(EPD_Calc_Units,13)</f>
        <v>kg</v>
      </c>
      <c r="BZ95" s="2" t="str">
        <f>INDEX(EPD_Calc_Units,14)</f>
        <v>kg</v>
      </c>
      <c r="CA95" s="2" t="str">
        <f>INDEX(EPD_Calc_Units,1)</f>
        <v>kg</v>
      </c>
      <c r="CB95" s="2" t="str">
        <f>INDEX(EPD_Calc_Units,2)</f>
        <v>kg</v>
      </c>
      <c r="CC95" s="2" t="str">
        <f>INDEX(EPD_Calc_Units,3)</f>
        <v>kg</v>
      </c>
      <c r="CD95" s="2" t="str">
        <f>INDEX(EPD_Calc_Units,4)</f>
        <v>kg</v>
      </c>
      <c r="CE95" s="2" t="str">
        <f>INDEX(EPD_Calc_Units,5)</f>
        <v>kg</v>
      </c>
      <c r="CF95" s="2" t="str">
        <f>INDEX(EPD_Calc_Units,6)</f>
        <v>MJ</v>
      </c>
      <c r="CG95" s="2" t="str">
        <f>INDEX(EPD_Calc_Units,7)</f>
        <v>MJ</v>
      </c>
      <c r="CH95" s="2" t="str">
        <f>INDEX(EPD_Calc_Units,8)</f>
        <v>MJ</v>
      </c>
      <c r="CI95" s="2" t="str">
        <f>INDEX(EPD_Calc_Units,9)</f>
        <v>kg</v>
      </c>
      <c r="CJ95" s="2" t="str">
        <f>INDEX(EPD_Calc_Units,10)</f>
        <v>kg</v>
      </c>
      <c r="CK95" s="2" t="str">
        <f>INDEX(EPD_Calc_Units,11)</f>
        <v>kg</v>
      </c>
      <c r="CL95" s="2" t="str">
        <f>INDEX(EPD_Calc_Units,12)</f>
        <v>m3</v>
      </c>
      <c r="CM95" s="2" t="str">
        <f>INDEX(EPD_Calc_Units,13)</f>
        <v>kg</v>
      </c>
      <c r="CN95" s="2" t="str">
        <f>INDEX(EPD_Calc_Units,14)</f>
        <v>kg</v>
      </c>
      <c r="CO95" s="2" t="str">
        <f>INDEX(EPD_Calc_Units,1)</f>
        <v>kg</v>
      </c>
      <c r="CP95" s="2" t="str">
        <f>INDEX(EPD_Calc_Units,2)</f>
        <v>kg</v>
      </c>
      <c r="CQ95" s="2" t="str">
        <f>INDEX(EPD_Calc_Units,3)</f>
        <v>kg</v>
      </c>
      <c r="CR95" s="2" t="str">
        <f>INDEX(EPD_Calc_Units,4)</f>
        <v>kg</v>
      </c>
      <c r="CS95" s="2" t="str">
        <f>INDEX(EPD_Calc_Units,5)</f>
        <v>kg</v>
      </c>
      <c r="CT95" s="2" t="str">
        <f>INDEX(EPD_Calc_Units,6)</f>
        <v>MJ</v>
      </c>
      <c r="CU95" s="2" t="str">
        <f>INDEX(EPD_Calc_Units,7)</f>
        <v>MJ</v>
      </c>
      <c r="CV95" s="2" t="str">
        <f>INDEX(EPD_Calc_Units,8)</f>
        <v>MJ</v>
      </c>
      <c r="CW95" s="2" t="str">
        <f>INDEX(EPD_Calc_Units,9)</f>
        <v>kg</v>
      </c>
      <c r="CX95" s="2" t="str">
        <f>INDEX(EPD_Calc_Units,10)</f>
        <v>kg</v>
      </c>
      <c r="CY95" s="2" t="str">
        <f>INDEX(EPD_Calc_Units,11)</f>
        <v>kg</v>
      </c>
      <c r="CZ95" s="2" t="str">
        <f>INDEX(EPD_Calc_Units,12)</f>
        <v>m3</v>
      </c>
      <c r="DA95" s="2" t="str">
        <f>INDEX(EPD_Calc_Units,13)</f>
        <v>kg</v>
      </c>
      <c r="DB95" s="2" t="str">
        <f>INDEX(EPD_Calc_Units,14)</f>
        <v>kg</v>
      </c>
      <c r="DC95" s="2" t="str">
        <f>INDEX(EPD_Calc_Units,1)</f>
        <v>kg</v>
      </c>
      <c r="DD95" s="2" t="str">
        <f>INDEX(EPD_Calc_Units,2)</f>
        <v>kg</v>
      </c>
      <c r="DE95" s="2" t="str">
        <f>INDEX(EPD_Calc_Units,3)</f>
        <v>kg</v>
      </c>
      <c r="DF95" s="2" t="str">
        <f>INDEX(EPD_Calc_Units,4)</f>
        <v>kg</v>
      </c>
      <c r="DG95" s="2" t="str">
        <f>INDEX(EPD_Calc_Units,5)</f>
        <v>kg</v>
      </c>
      <c r="DH95" s="2" t="str">
        <f>INDEX(EPD_Calc_Units,6)</f>
        <v>MJ</v>
      </c>
      <c r="DI95" s="2" t="str">
        <f>INDEX(EPD_Calc_Units,7)</f>
        <v>MJ</v>
      </c>
      <c r="DJ95" s="2" t="str">
        <f>INDEX(EPD_Calc_Units,8)</f>
        <v>MJ</v>
      </c>
      <c r="DK95" s="2" t="str">
        <f>INDEX(EPD_Calc_Units,9)</f>
        <v>kg</v>
      </c>
      <c r="DL95" s="2" t="str">
        <f>INDEX(EPD_Calc_Units,10)</f>
        <v>kg</v>
      </c>
      <c r="DM95" s="2" t="str">
        <f>INDEX(EPD_Calc_Units,11)</f>
        <v>kg</v>
      </c>
      <c r="DN95" s="2" t="str">
        <f>INDEX(EPD_Calc_Units,12)</f>
        <v>m3</v>
      </c>
      <c r="DO95" s="2" t="str">
        <f>INDEX(EPD_Calc_Units,13)</f>
        <v>kg</v>
      </c>
      <c r="DP95" s="2" t="str">
        <f>INDEX(EPD_Calc_Units,14)</f>
        <v>kg</v>
      </c>
      <c r="DQ95" s="2" t="str">
        <f>INDEX(EPD_Calc_Units,1)</f>
        <v>kg</v>
      </c>
      <c r="DR95" s="2" t="str">
        <f>INDEX(EPD_Calc_Units,2)</f>
        <v>kg</v>
      </c>
      <c r="DS95" s="2" t="str">
        <f>INDEX(EPD_Calc_Units,3)</f>
        <v>kg</v>
      </c>
      <c r="DT95" s="2" t="str">
        <f>INDEX(EPD_Calc_Units,4)</f>
        <v>kg</v>
      </c>
      <c r="DU95" s="2" t="str">
        <f>INDEX(EPD_Calc_Units,5)</f>
        <v>kg</v>
      </c>
      <c r="DV95" s="2" t="str">
        <f>INDEX(EPD_Calc_Units,6)</f>
        <v>MJ</v>
      </c>
      <c r="DW95" s="2" t="str">
        <f>INDEX(EPD_Calc_Units,7)</f>
        <v>MJ</v>
      </c>
      <c r="DX95" s="2" t="str">
        <f>INDEX(EPD_Calc_Units,8)</f>
        <v>MJ</v>
      </c>
      <c r="DY95" s="2" t="str">
        <f>INDEX(EPD_Calc_Units,9)</f>
        <v>kg</v>
      </c>
      <c r="DZ95" s="2" t="str">
        <f>INDEX(EPD_Calc_Units,10)</f>
        <v>kg</v>
      </c>
      <c r="EA95" s="2" t="str">
        <f>INDEX(EPD_Calc_Units,11)</f>
        <v>kg</v>
      </c>
      <c r="EB95" s="2" t="str">
        <f>INDEX(EPD_Calc_Units,12)</f>
        <v>m3</v>
      </c>
      <c r="EC95" s="2" t="str">
        <f>INDEX(EPD_Calc_Units,13)</f>
        <v>kg</v>
      </c>
      <c r="ED95" s="2" t="str">
        <f>INDEX(EPD_Calc_Units,14)</f>
        <v>kg</v>
      </c>
    </row>
    <row r="96" spans="2:134" ht="33.75" hidden="1" customHeight="1">
      <c r="C96" s="23" t="s">
        <v>2</v>
      </c>
      <c r="D96" s="24" t="s">
        <v>482</v>
      </c>
      <c r="E96" s="402" t="s">
        <v>116</v>
      </c>
      <c r="F96" s="304" t="s">
        <v>6</v>
      </c>
      <c r="G96" s="431" t="str">
        <f>"Waste for
Project #"&amp;$Y$2</f>
        <v>Waste for
Project #D</v>
      </c>
      <c r="H96" s="25" t="s">
        <v>6</v>
      </c>
      <c r="I96" s="598" t="s">
        <v>240</v>
      </c>
      <c r="J96"/>
      <c r="K96"/>
      <c r="L96"/>
      <c r="M96"/>
      <c r="N96"/>
      <c r="O96" s="12"/>
      <c r="P96"/>
      <c r="Q96"/>
      <c r="R96"/>
      <c r="S96"/>
      <c r="T96"/>
      <c r="Y96" s="13" t="s">
        <v>452</v>
      </c>
      <c r="Z96" s="13" t="s">
        <v>674</v>
      </c>
      <c r="AA96" s="13" t="s">
        <v>13</v>
      </c>
      <c r="AB96" s="13" t="s">
        <v>14</v>
      </c>
      <c r="AC96" s="13" t="s">
        <v>16</v>
      </c>
      <c r="AD96" s="13" t="s">
        <v>15</v>
      </c>
      <c r="AE96" s="13" t="s">
        <v>462</v>
      </c>
      <c r="AF96" s="13" t="s">
        <v>79</v>
      </c>
      <c r="AH96" s="13" t="s">
        <v>13</v>
      </c>
      <c r="AI96" s="13" t="s">
        <v>14</v>
      </c>
      <c r="AJ96" s="13" t="s">
        <v>16</v>
      </c>
      <c r="AK96" s="13" t="s">
        <v>15</v>
      </c>
      <c r="AO96" s="1" t="s">
        <v>212</v>
      </c>
      <c r="AP96" s="1" t="s">
        <v>129</v>
      </c>
      <c r="AQ96" s="1" t="s">
        <v>126</v>
      </c>
      <c r="AR96" s="87" t="s">
        <v>79</v>
      </c>
      <c r="AS96" s="87" t="s">
        <v>210</v>
      </c>
      <c r="AT96" s="331" t="str">
        <f>MassCalcUnit</f>
        <v>tonne</v>
      </c>
      <c r="AU96" s="87" t="str">
        <f>'CPCI Data'!$W$14</f>
        <v>kg</v>
      </c>
      <c r="AV96" s="329" t="str">
        <f>MassDisplayUnit</f>
        <v>short ton</v>
      </c>
      <c r="AW96" s="1"/>
      <c r="AX96" s="313" t="s">
        <v>131</v>
      </c>
      <c r="AY96" s="313"/>
      <c r="AZ96" s="313"/>
      <c r="BA96" s="313"/>
      <c r="BB96" s="313"/>
      <c r="BC96" s="312"/>
      <c r="BD96" s="312"/>
      <c r="BE96" s="312"/>
      <c r="BF96" s="312"/>
      <c r="BG96" s="312"/>
      <c r="BH96" s="312"/>
      <c r="BI96" s="312"/>
      <c r="BJ96" s="312"/>
      <c r="BK96" s="312"/>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row>
    <row r="97" spans="2:134" hidden="1">
      <c r="B97" s="53">
        <f t="shared" ref="B97:B102" si="69">X97</f>
        <v>0</v>
      </c>
      <c r="C97" s="26">
        <f t="shared" ref="C97:C102" si="70">ROW($C97)-ROW($C$97)+1</f>
        <v>1</v>
      </c>
      <c r="D97" s="41" t="s">
        <v>647</v>
      </c>
      <c r="E97" s="594">
        <f>IF('Plant Inputs'!$AT$22=0,0,'Plant Inputs'!$AV97/'Plant Inputs'!$AT$22)</f>
        <v>0</v>
      </c>
      <c r="F97" s="213" t="str">
        <f t="shared" ref="F97:F102" si="71">MassDisplayUnit&amp;"/"&amp;MassDisplayUnit</f>
        <v>short ton/short ton</v>
      </c>
      <c r="G97" s="158">
        <f>$E97*$AT$18</f>
        <v>0</v>
      </c>
      <c r="H97" s="204" t="str">
        <f t="shared" ref="H97:H102" si="72">MassDisplayUnit</f>
        <v>short ton</v>
      </c>
      <c r="I97" s="156">
        <f t="shared" ref="I97" si="73">IF($G$68=0,0,G97/$G$68)</f>
        <v>0</v>
      </c>
      <c r="J97"/>
      <c r="K97"/>
      <c r="L97"/>
      <c r="M97"/>
      <c r="N97"/>
      <c r="O97" s="12"/>
      <c r="P97"/>
      <c r="Q97"/>
      <c r="R97"/>
      <c r="S97"/>
      <c r="T97"/>
      <c r="X97" s="65">
        <f>'Plant Inputs'!$X97</f>
        <v>0</v>
      </c>
      <c r="Y97" s="216">
        <f>IF(AND($X97=2,'Plant Inputs'!$Y97=1),1,0)</f>
        <v>0</v>
      </c>
      <c r="Z97" s="216">
        <v>2</v>
      </c>
      <c r="AA97" s="216">
        <f>IF($Y97=0,0,IF('Plant Inputs'!J97="",0,'Plant Inputs'!J97))</f>
        <v>0</v>
      </c>
      <c r="AB97" s="216">
        <f>IF($Y97=0,0,IF('Plant Inputs'!K97="",0,'Plant Inputs'!K97))</f>
        <v>0</v>
      </c>
      <c r="AC97" s="216">
        <f>IF($Y97=0,0,IF('Plant Inputs'!L97="",0,'Plant Inputs'!L97))</f>
        <v>0</v>
      </c>
      <c r="AD97" s="216">
        <f>IF($Y97=0,0,IF('Plant Inputs'!M97="",0,'Plant Inputs'!M97))</f>
        <v>0</v>
      </c>
      <c r="AE97" s="217" t="str">
        <f>'Plant Inputs'!$N97</f>
        <v>mile</v>
      </c>
      <c r="AF97" s="217">
        <f t="shared" ref="AF97:AF102" si="74">INDEX(Conversion_Table,MATCH($AE97,Conversion_Rows,0),MATCH($AG$27,Conversion_Columns,0))</f>
        <v>1.6093473468862911</v>
      </c>
      <c r="AG97" s="216" t="str">
        <f t="shared" ref="AG97:AG102" si="75">$AG$27&amp;"/"&amp;$AE97</f>
        <v>km/mile</v>
      </c>
      <c r="AH97" s="216">
        <f t="shared" ref="AH97:AK100" si="76">AA97*$AF97</f>
        <v>0</v>
      </c>
      <c r="AI97" s="216">
        <f t="shared" si="76"/>
        <v>0</v>
      </c>
      <c r="AJ97" s="216">
        <f t="shared" si="76"/>
        <v>0</v>
      </c>
      <c r="AK97" s="216">
        <f t="shared" si="76"/>
        <v>0</v>
      </c>
      <c r="AL97" s="216"/>
      <c r="AM97" s="1" t="str">
        <f t="shared" ref="AM97:AM102" si="77">D97</f>
        <v>Hazardous Waste to Landfill</v>
      </c>
      <c r="AN97" t="s">
        <v>127</v>
      </c>
      <c r="AO97">
        <f t="shared" ref="AO97:AO102" si="78">VLOOKUP(AM97,Material_Densities,2,FALSE)</f>
        <v>0</v>
      </c>
      <c r="AP97" s="1">
        <f>IF($G97="",0,$G97)</f>
        <v>0</v>
      </c>
      <c r="AQ97" s="164" t="str">
        <f>H97</f>
        <v>short ton</v>
      </c>
      <c r="AR97" s="1">
        <f t="shared" ref="AR97:AR102" si="79">IFERROR(IF($AN97="M",INDEX(Conversion_Table,MATCH($AQ97,Conversion_Rows,0),MATCH($AT$29,Conversion_Columns,0)),IF($AN97="V",INDEX(Conversion_Table,MATCH($AQ97,Conversion_Rows,0),MATCH("m3",Conversion_Columns,0))*$AO97)),NA())</f>
        <v>0.90718499588591606</v>
      </c>
      <c r="AS97" s="87" t="str">
        <f>$AT$96&amp;"/"&amp;AQ97</f>
        <v>tonne/short ton</v>
      </c>
      <c r="AT97" s="87">
        <f t="shared" ref="AT97:AT102" si="80">AP97*AR97</f>
        <v>0</v>
      </c>
      <c r="AU97" s="87">
        <f t="shared" ref="AU97:AU102" si="81">INDEX(Conversion_Table,MATCH($AT$29,Conversion_Rows,0),MATCH($AU$29,Conversion_Columns,0))*AT97</f>
        <v>0</v>
      </c>
      <c r="AV97" s="87">
        <f t="shared" ref="AV97:AV102" si="82">$AT97*INDEX(Conversion_Table,MATCH($AT$96,Conversion_Rows,0),MATCH($AV$96,Conversion_Columns,0))</f>
        <v>0</v>
      </c>
      <c r="AW97" s="1" t="str">
        <f t="shared" ref="AW97:AW102" si="83">AM97</f>
        <v>Hazardous Waste to Landfill</v>
      </c>
      <c r="AX97" s="313">
        <f t="array" ref="AX97">IFERROR(INDEX(LCIA_Data,MATCH($AO$15&amp;AX$94,LCIA_Rows_B&amp;LCIA_Rows_C,0),MATCH($D97,LCIA_Columns,0)),0)*$AU97</f>
        <v>0</v>
      </c>
      <c r="AY97" s="313">
        <f t="array" ref="AY97">IFERROR(INDEX(LCIA_Data,MATCH($AO$15&amp;AY$94,LCIA_Rows_B&amp;LCIA_Rows_C,0),MATCH($D97,LCIA_Columns,0)),0)*$AU97</f>
        <v>0</v>
      </c>
      <c r="AZ97" s="313">
        <f t="array" ref="AZ97">IFERROR(INDEX(LCIA_Data,MATCH($AO$15&amp;AZ$94,LCIA_Rows_B&amp;LCIA_Rows_C,0),MATCH($D97,LCIA_Columns,0)),0)*$AU97</f>
        <v>0</v>
      </c>
      <c r="BA97" s="313">
        <f t="array" ref="BA97">IFERROR(INDEX(LCIA_Data,MATCH($AO$15&amp;BA$94,LCIA_Rows_B&amp;LCIA_Rows_C,0),MATCH($D97,LCIA_Columns,0)),0)*$AU97</f>
        <v>0</v>
      </c>
      <c r="BB97" s="313">
        <f t="array" ref="BB97">IFERROR(INDEX(LCIA_Data,MATCH($AO$15&amp;BB$94,LCIA_Rows_B&amp;LCIA_Rows_C,0),MATCH($D97,LCIA_Columns,0)),0)*$AU97</f>
        <v>0</v>
      </c>
      <c r="BC97" s="313">
        <f t="array" ref="BC97">IFERROR(INDEX(LCIA_Data,MATCH($AO$15&amp;BC$94,LCIA_Rows_B&amp;LCIA_Rows_C,0),MATCH($D97,LCIA_Columns,0)),0)*$AU97</f>
        <v>0</v>
      </c>
      <c r="BD97" s="313">
        <f t="array" ref="BD97">IFERROR(INDEX(LCIA_Data,MATCH($AO$15&amp;BD$94,LCIA_Rows_B&amp;LCIA_Rows_C,0),MATCH($D97,LCIA_Columns,0)),0)*$AU97</f>
        <v>0</v>
      </c>
      <c r="BE97" s="313">
        <f t="array" ref="BE97">IFERROR(INDEX(LCIA_Data,MATCH($AO$15&amp;BE$94,LCIA_Rows_B&amp;LCIA_Rows_C,0),MATCH($D97,LCIA_Columns,0)),0)*$AU97</f>
        <v>0</v>
      </c>
      <c r="BF97" s="313">
        <f t="array" ref="BF97">IFERROR(INDEX(LCIA_Data,MATCH($AO$15&amp;BF$94,LCIA_Rows_B&amp;LCIA_Rows_C,0),MATCH($D97,LCIA_Columns,0)),0)*$AU97</f>
        <v>0</v>
      </c>
      <c r="BG97" s="313">
        <f t="array" ref="BG97">IFERROR(INDEX(LCIA_Data,MATCH($AO$15&amp;BG$94,LCIA_Rows_B&amp;LCIA_Rows_C,0),MATCH($D97,LCIA_Columns,0)),0)*$AU97</f>
        <v>0</v>
      </c>
      <c r="BH97" s="313">
        <f t="array" ref="BH97">IFERROR(INDEX(LCIA_Data,MATCH($AO$15&amp;BH$94,LCIA_Rows_B&amp;LCIA_Rows_C,0),MATCH($D97,LCIA_Columns,0)),0)*$AU97</f>
        <v>0</v>
      </c>
      <c r="BI97" s="313">
        <f t="array" ref="BI97">IFERROR(INDEX(LCIA_Data,MATCH($AO$15&amp;BI$94,LCIA_Rows_B&amp;LCIA_Rows_C,0),MATCH($D97,LCIA_Columns,0)),0)*$AU97</f>
        <v>0</v>
      </c>
      <c r="BJ97" s="313">
        <f t="array" ref="BJ97">IFERROR(INDEX(LCIA_Data,MATCH($AO$15&amp;BJ$94,LCIA_Rows_B&amp;LCIA_Rows_C,0),MATCH($D97,LCIA_Columns,0)),0)*$AU97</f>
        <v>0</v>
      </c>
      <c r="BK97" s="313">
        <f t="array" ref="BK97">IFERROR(INDEX(LCIA_Data,MATCH($AO$15&amp;BK$94,LCIA_Rows_B&amp;LCIA_Rows_C,0),MATCH($D97,LCIA_Columns,0)),0)*$AU97</f>
        <v>0</v>
      </c>
      <c r="BM97" s="1">
        <f t="array" ref="BM97">IFERROR(INDEX(LCIA_Data,MATCH($AO$15&amp;BM$94,LCIA_Rows_B&amp;LCIA_Rows_C,0),MATCH(BM$93,LCIA_Columns,0)),0)*$AT97*$AH97*$BN$90</f>
        <v>0</v>
      </c>
      <c r="BN97" s="1">
        <f t="array" ref="BN97">IFERROR(INDEX(LCIA_Data,MATCH($AO$15&amp;BN$94,LCIA_Rows_B&amp;LCIA_Rows_C,0),MATCH(BN$93,LCIA_Columns,0)),0)*$AT97*$AH97*$BN$90</f>
        <v>0</v>
      </c>
      <c r="BO97" s="1">
        <f t="array" ref="BO97">IFERROR(INDEX(LCIA_Data,MATCH($AO$15&amp;BO$94,LCIA_Rows_B&amp;LCIA_Rows_C,0),MATCH(BO$93,LCIA_Columns,0)),0)*$AT97*$AH97*$BN$90</f>
        <v>0</v>
      </c>
      <c r="BP97" s="1">
        <f t="array" ref="BP97">IFERROR(INDEX(LCIA_Data,MATCH($AO$15&amp;BP$94,LCIA_Rows_B&amp;LCIA_Rows_C,0),MATCH(BP$93,LCIA_Columns,0)),0)*$AT97*$AH97*$BN$90</f>
        <v>0</v>
      </c>
      <c r="BQ97" s="1">
        <f t="array" ref="BQ97">IFERROR(INDEX(LCIA_Data,MATCH($AO$15&amp;BQ$94,LCIA_Rows_B&amp;LCIA_Rows_C,0),MATCH(BQ$93,LCIA_Columns,0)),0)*$AT97*$AH97*$BN$90</f>
        <v>0</v>
      </c>
      <c r="BR97" s="1">
        <f t="array" ref="BR97">IFERROR(INDEX(LCIA_Data,MATCH($AO$15&amp;BR$94,LCIA_Rows_B&amp;LCIA_Rows_C,0),MATCH(BR$93,LCIA_Columns,0)),0)*$AT97*$AH97*$BN$90</f>
        <v>0</v>
      </c>
      <c r="BS97" s="1">
        <f t="array" ref="BS97">IFERROR(INDEX(LCIA_Data,MATCH($AO$15&amp;BS$94,LCIA_Rows_B&amp;LCIA_Rows_C,0),MATCH(BS$93,LCIA_Columns,0)),0)*$AT97*$AH97*$BN$90</f>
        <v>0</v>
      </c>
      <c r="BT97" s="1">
        <f t="array" ref="BT97">IFERROR(INDEX(LCIA_Data,MATCH($AO$15&amp;BT$94,LCIA_Rows_B&amp;LCIA_Rows_C,0),MATCH(BT$93,LCIA_Columns,0)),0)*$AT97*$AH97*$BN$90</f>
        <v>0</v>
      </c>
      <c r="BU97" s="1">
        <f t="array" ref="BU97">IFERROR(INDEX(LCIA_Data,MATCH($AO$15&amp;BU$94,LCIA_Rows_B&amp;LCIA_Rows_C,0),MATCH(BU$93,LCIA_Columns,0)),0)*$AT97*$AH97*$BN$90</f>
        <v>0</v>
      </c>
      <c r="BV97" s="1">
        <f t="array" ref="BV97">IFERROR(INDEX(LCIA_Data,MATCH($AO$15&amp;BV$94,LCIA_Rows_B&amp;LCIA_Rows_C,0),MATCH(BV$93,LCIA_Columns,0)),0)*$AT97*$AH97*$BN$90</f>
        <v>0</v>
      </c>
      <c r="BW97" s="1">
        <f t="array" ref="BW97">IFERROR(INDEX(LCIA_Data,MATCH($AO$15&amp;BW$94,LCIA_Rows_B&amp;LCIA_Rows_C,0),MATCH(BW$93,LCIA_Columns,0)),0)*$AT97*$AH97*$BN$90</f>
        <v>0</v>
      </c>
      <c r="BX97" s="1">
        <f t="array" ref="BX97">IFERROR(INDEX(LCIA_Data,MATCH($AO$15&amp;BX$94,LCIA_Rows_B&amp;LCIA_Rows_C,0),MATCH(BX$93,LCIA_Columns,0)),0)*$AT97*$AH97*$BN$90</f>
        <v>0</v>
      </c>
      <c r="BY97" s="1">
        <f t="array" ref="BY97">IFERROR(INDEX(LCIA_Data,MATCH($AO$15&amp;BY$94,LCIA_Rows_B&amp;LCIA_Rows_C,0),MATCH(BY$93,LCIA_Columns,0)),0)*$AT97*$AH97*$BN$90</f>
        <v>0</v>
      </c>
      <c r="BZ97" s="1">
        <f t="array" ref="BZ97">IFERROR(INDEX(LCIA_Data,MATCH($AO$15&amp;BZ$94,LCIA_Rows_B&amp;LCIA_Rows_C,0),MATCH(BZ$93,LCIA_Columns,0)),0)*$AT97*$AH97*$BN$90</f>
        <v>0</v>
      </c>
      <c r="CA97" s="1">
        <f t="array" ref="CA97">IFERROR(INDEX(LCIA_Data,MATCH($AO$15&amp;CA$94,LCIA_Rows_B&amp;LCIA_Rows_C,0),MATCH(CA$93,LCIA_Columns,0)),0)*$AT97*$AI97*$BN$90</f>
        <v>0</v>
      </c>
      <c r="CB97" s="1">
        <f t="array" ref="CB97">IFERROR(INDEX(LCIA_Data,MATCH($AO$15&amp;CB$94,LCIA_Rows_B&amp;LCIA_Rows_C,0),MATCH(CB$93,LCIA_Columns,0)),0)*$AT97*$AI97*$BN$90</f>
        <v>0</v>
      </c>
      <c r="CC97" s="1">
        <f t="array" ref="CC97">IFERROR(INDEX(LCIA_Data,MATCH($AO$15&amp;CC$94,LCIA_Rows_B&amp;LCIA_Rows_C,0),MATCH(CC$93,LCIA_Columns,0)),0)*$AT97*$AI97*$BN$90</f>
        <v>0</v>
      </c>
      <c r="CD97" s="1">
        <f t="array" ref="CD97">IFERROR(INDEX(LCIA_Data,MATCH($AO$15&amp;CD$94,LCIA_Rows_B&amp;LCIA_Rows_C,0),MATCH(CD$93,LCIA_Columns,0)),0)*$AT97*$AI97*$BN$90</f>
        <v>0</v>
      </c>
      <c r="CE97" s="1">
        <f t="array" ref="CE97">IFERROR(INDEX(LCIA_Data,MATCH($AO$15&amp;CE$94,LCIA_Rows_B&amp;LCIA_Rows_C,0),MATCH(CE$93,LCIA_Columns,0)),0)*$AT97*$AI97*$BN$90</f>
        <v>0</v>
      </c>
      <c r="CF97" s="1">
        <f t="array" ref="CF97">IFERROR(INDEX(LCIA_Data,MATCH($AO$15&amp;CF$94,LCIA_Rows_B&amp;LCIA_Rows_C,0),MATCH(CF$93,LCIA_Columns,0)),0)*$AT97*$AI97*$BN$90</f>
        <v>0</v>
      </c>
      <c r="CG97" s="1">
        <f t="array" ref="CG97">IFERROR(INDEX(LCIA_Data,MATCH($AO$15&amp;CG$94,LCIA_Rows_B&amp;LCIA_Rows_C,0),MATCH(CG$93,LCIA_Columns,0)),0)*$AT97*$AI97*$BN$90</f>
        <v>0</v>
      </c>
      <c r="CH97" s="1">
        <f t="array" ref="CH97">IFERROR(INDEX(LCIA_Data,MATCH($AO$15&amp;CH$94,LCIA_Rows_B&amp;LCIA_Rows_C,0),MATCH(CH$93,LCIA_Columns,0)),0)*$AT97*$AI97*$BN$90</f>
        <v>0</v>
      </c>
      <c r="CI97" s="1">
        <f t="array" ref="CI97">IFERROR(INDEX(LCIA_Data,MATCH($AO$15&amp;CI$94,LCIA_Rows_B&amp;LCIA_Rows_C,0),MATCH(CI$93,LCIA_Columns,0)),0)*$AT97*$AI97*$BN$90</f>
        <v>0</v>
      </c>
      <c r="CJ97" s="1">
        <f t="array" ref="CJ97">IFERROR(INDEX(LCIA_Data,MATCH($AO$15&amp;CJ$94,LCIA_Rows_B&amp;LCIA_Rows_C,0),MATCH(CJ$93,LCIA_Columns,0)),0)*$AT97*$AI97*$BN$90</f>
        <v>0</v>
      </c>
      <c r="CK97" s="1">
        <f t="array" ref="CK97">IFERROR(INDEX(LCIA_Data,MATCH($AO$15&amp;CK$94,LCIA_Rows_B&amp;LCIA_Rows_C,0),MATCH(CK$93,LCIA_Columns,0)),0)*$AT97*$AI97*$BN$90</f>
        <v>0</v>
      </c>
      <c r="CL97" s="1">
        <f t="array" ref="CL97">IFERROR(INDEX(LCIA_Data,MATCH($AO$15&amp;CL$94,LCIA_Rows_B&amp;LCIA_Rows_C,0),MATCH(CL$93,LCIA_Columns,0)),0)*$AT97*$AI97*$BN$90</f>
        <v>0</v>
      </c>
      <c r="CM97" s="1">
        <f t="array" ref="CM97">IFERROR(INDEX(LCIA_Data,MATCH($AO$15&amp;CM$94,LCIA_Rows_B&amp;LCIA_Rows_C,0),MATCH(CM$93,LCIA_Columns,0)),0)*$AT97*$AI97*$BN$90</f>
        <v>0</v>
      </c>
      <c r="CN97" s="1">
        <f t="array" ref="CN97">IFERROR(INDEX(LCIA_Data,MATCH($AO$15&amp;CN$94,LCIA_Rows_B&amp;LCIA_Rows_C,0),MATCH(CN$93,LCIA_Columns,0)),0)*$AT97*$AI97*$BN$90</f>
        <v>0</v>
      </c>
      <c r="CO97" s="1">
        <f t="array" ref="CO97">IFERROR(INDEX(LCIA_Data,MATCH($AO$15&amp;CO$94,LCIA_Rows_B&amp;LCIA_Rows_C,0),MATCH(CO$93,LCIA_Columns,0)),0)*$AT97*$AI97*$BN$90</f>
        <v>0</v>
      </c>
      <c r="CP97" s="1">
        <f t="array" ref="CP97">IFERROR(INDEX(LCIA_Data,MATCH($AO$15&amp;CP$94,LCIA_Rows_B&amp;LCIA_Rows_C,0),MATCH(CP$93,LCIA_Columns,0)),0)*$AT97*$AI97*$BN$90</f>
        <v>0</v>
      </c>
      <c r="CQ97" s="1">
        <f t="array" ref="CQ97">IFERROR(INDEX(LCIA_Data,MATCH($AO$15&amp;CQ$94,LCIA_Rows_B&amp;LCIA_Rows_C,0),MATCH(CQ$93,LCIA_Columns,0)),0)*$AT97*$AI97*$BN$90</f>
        <v>0</v>
      </c>
      <c r="CR97" s="1">
        <f t="array" ref="CR97">IFERROR(INDEX(LCIA_Data,MATCH($AO$15&amp;CR$94,LCIA_Rows_B&amp;LCIA_Rows_C,0),MATCH(CR$93,LCIA_Columns,0)),0)*$AT97*$AI97*$BN$90</f>
        <v>0</v>
      </c>
      <c r="CS97" s="1">
        <f t="array" ref="CS97">IFERROR(INDEX(LCIA_Data,MATCH($AO$15&amp;CS$94,LCIA_Rows_B&amp;LCIA_Rows_C,0),MATCH(CS$93,LCIA_Columns,0)),0)*$AT97*$AI97*$BN$90</f>
        <v>0</v>
      </c>
      <c r="CT97" s="1">
        <f t="array" ref="CT97">IFERROR(INDEX(LCIA_Data,MATCH($AO$15&amp;CT$94,LCIA_Rows_B&amp;LCIA_Rows_C,0),MATCH(CT$93,LCIA_Columns,0)),0)*$AT97*$AI97*$BN$90</f>
        <v>0</v>
      </c>
      <c r="CU97" s="1">
        <f t="array" ref="CU97">IFERROR(INDEX(LCIA_Data,MATCH($AO$15&amp;CU$94,LCIA_Rows_B&amp;LCIA_Rows_C,0),MATCH(CU$93,LCIA_Columns,0)),0)*$AT97*$AI97*$BN$90</f>
        <v>0</v>
      </c>
      <c r="CV97" s="1">
        <f t="array" ref="CV97">IFERROR(INDEX(LCIA_Data,MATCH($AO$15&amp;CV$94,LCIA_Rows_B&amp;LCIA_Rows_C,0),MATCH(CV$93,LCIA_Columns,0)),0)*$AT97*$AI97*$BN$90</f>
        <v>0</v>
      </c>
      <c r="CW97" s="1">
        <f t="array" ref="CW97">IFERROR(INDEX(LCIA_Data,MATCH($AO$15&amp;CW$94,LCIA_Rows_B&amp;LCIA_Rows_C,0),MATCH(CW$93,LCIA_Columns,0)),0)*$AT97*$AI97*$BN$90</f>
        <v>0</v>
      </c>
      <c r="CX97" s="1">
        <f t="array" ref="CX97">IFERROR(INDEX(LCIA_Data,MATCH($AO$15&amp;CX$94,LCIA_Rows_B&amp;LCIA_Rows_C,0),MATCH(CX$93,LCIA_Columns,0)),0)*$AT97*$AI97*$BN$90</f>
        <v>0</v>
      </c>
      <c r="CY97" s="1">
        <f t="array" ref="CY97">IFERROR(INDEX(LCIA_Data,MATCH($AO$15&amp;CY$94,LCIA_Rows_B&amp;LCIA_Rows_C,0),MATCH(CY$93,LCIA_Columns,0)),0)*$AT97*$AI97*$BN$90</f>
        <v>0</v>
      </c>
      <c r="CZ97" s="1">
        <f t="array" ref="CZ97">IFERROR(INDEX(LCIA_Data,MATCH($AO$15&amp;CZ$94,LCIA_Rows_B&amp;LCIA_Rows_C,0),MATCH(CZ$93,LCIA_Columns,0)),0)*$AT97*$AI97*$BN$90</f>
        <v>0</v>
      </c>
      <c r="DA97" s="1">
        <f t="array" ref="DA97">IFERROR(INDEX(LCIA_Data,MATCH($AO$15&amp;DA$94,LCIA_Rows_B&amp;LCIA_Rows_C,0),MATCH(DA$93,LCIA_Columns,0)),0)*$AT97*$AI97*$BN$90</f>
        <v>0</v>
      </c>
      <c r="DB97" s="1">
        <f t="array" ref="DB97">IFERROR(INDEX(LCIA_Data,MATCH($AO$15&amp;DB$94,LCIA_Rows_B&amp;LCIA_Rows_C,0),MATCH(DB$93,LCIA_Columns,0)),0)*$AT97*$AI97*$BN$90</f>
        <v>0</v>
      </c>
      <c r="DC97" s="1">
        <f t="array" ref="DC97">IFERROR(INDEX(LCIA_Data,MATCH($AO$15&amp;DC$94,LCIA_Rows_B&amp;LCIA_Rows_C,0),MATCH(DC$93,LCIA_Columns,0)),0)*$AT97*$AI97*$BN$90</f>
        <v>0</v>
      </c>
      <c r="DD97" s="1">
        <f t="array" ref="DD97">IFERROR(INDEX(LCIA_Data,MATCH($AO$15&amp;DD$94,LCIA_Rows_B&amp;LCIA_Rows_C,0),MATCH(DD$93,LCIA_Columns,0)),0)*$AT97*$AI97*$BN$90</f>
        <v>0</v>
      </c>
      <c r="DE97" s="1">
        <f t="array" ref="DE97">IFERROR(INDEX(LCIA_Data,MATCH($AO$15&amp;DE$94,LCIA_Rows_B&amp;LCIA_Rows_C,0),MATCH(DE$93,LCIA_Columns,0)),0)*$AT97*$AI97*$BN$90</f>
        <v>0</v>
      </c>
      <c r="DF97" s="1">
        <f t="array" ref="DF97">IFERROR(INDEX(LCIA_Data,MATCH($AO$15&amp;DF$94,LCIA_Rows_B&amp;LCIA_Rows_C,0),MATCH(DF$93,LCIA_Columns,0)),0)*$AT97*$AI97*$BN$90</f>
        <v>0</v>
      </c>
      <c r="DG97" s="1">
        <f t="array" ref="DG97">IFERROR(INDEX(LCIA_Data,MATCH($AO$15&amp;DG$94,LCIA_Rows_B&amp;LCIA_Rows_C,0),MATCH(DG$93,LCIA_Columns,0)),0)*$AT97*$AI97*$BN$90</f>
        <v>0</v>
      </c>
      <c r="DH97" s="1">
        <f t="array" ref="DH97">IFERROR(INDEX(LCIA_Data,MATCH($AO$15&amp;DH$94,LCIA_Rows_B&amp;LCIA_Rows_C,0),MATCH(DH$93,LCIA_Columns,0)),0)*$AT97*$AI97*$BN$90</f>
        <v>0</v>
      </c>
      <c r="DI97" s="1">
        <f t="array" ref="DI97">IFERROR(INDEX(LCIA_Data,MATCH($AO$15&amp;DI$94,LCIA_Rows_B&amp;LCIA_Rows_C,0),MATCH(DI$93,LCIA_Columns,0)),0)*$AT97*$AI97*$BN$90</f>
        <v>0</v>
      </c>
      <c r="DJ97" s="1">
        <f t="array" ref="DJ97">IFERROR(INDEX(LCIA_Data,MATCH($AO$15&amp;DJ$94,LCIA_Rows_B&amp;LCIA_Rows_C,0),MATCH(DJ$93,LCIA_Columns,0)),0)*$AT97*$AI97*$BN$90</f>
        <v>0</v>
      </c>
      <c r="DK97" s="1">
        <f t="array" ref="DK97">IFERROR(INDEX(LCIA_Data,MATCH($AO$15&amp;DK$94,LCIA_Rows_B&amp;LCIA_Rows_C,0),MATCH(DK$93,LCIA_Columns,0)),0)*$AT97*$AI97*$BN$90</f>
        <v>0</v>
      </c>
      <c r="DL97" s="1">
        <f t="array" ref="DL97">IFERROR(INDEX(LCIA_Data,MATCH($AO$15&amp;DL$94,LCIA_Rows_B&amp;LCIA_Rows_C,0),MATCH(DL$93,LCIA_Columns,0)),0)*$AT97*$AI97*$BN$90</f>
        <v>0</v>
      </c>
      <c r="DM97" s="1">
        <f t="array" ref="DM97">IFERROR(INDEX(LCIA_Data,MATCH($AO$15&amp;DM$94,LCIA_Rows_B&amp;LCIA_Rows_C,0),MATCH(DM$93,LCIA_Columns,0)),0)*$AT97*$AI97*$BN$90</f>
        <v>0</v>
      </c>
      <c r="DN97" s="1">
        <f t="array" ref="DN97">IFERROR(INDEX(LCIA_Data,MATCH($AO$15&amp;DN$94,LCIA_Rows_B&amp;LCIA_Rows_C,0),MATCH(DN$93,LCIA_Columns,0)),0)*$AT97*$AI97*$BN$90</f>
        <v>0</v>
      </c>
      <c r="DO97" s="1">
        <f t="array" ref="DO97">IFERROR(INDEX(LCIA_Data,MATCH($AO$15&amp;DO$94,LCIA_Rows_B&amp;LCIA_Rows_C,0),MATCH(DO$93,LCIA_Columns,0)),0)*$AT97*$AI97*$BN$90</f>
        <v>0</v>
      </c>
      <c r="DP97" s="1">
        <f t="array" ref="DP97">IFERROR(INDEX(LCIA_Data,MATCH($AO$15&amp;DP$94,LCIA_Rows_B&amp;LCIA_Rows_C,0),MATCH(DP$93,LCIA_Columns,0)),0)*$AT97*$AI97*$BN$90</f>
        <v>0</v>
      </c>
      <c r="DQ97">
        <f t="shared" ref="DQ97:EA102" si="84">BM97+CA97+CO97+DC97</f>
        <v>0</v>
      </c>
      <c r="DR97">
        <f t="shared" si="84"/>
        <v>0</v>
      </c>
      <c r="DS97">
        <f t="shared" si="84"/>
        <v>0</v>
      </c>
      <c r="DT97">
        <f t="shared" si="84"/>
        <v>0</v>
      </c>
      <c r="DU97">
        <f t="shared" si="84"/>
        <v>0</v>
      </c>
      <c r="DV97">
        <f t="shared" si="84"/>
        <v>0</v>
      </c>
      <c r="DW97">
        <f t="shared" si="84"/>
        <v>0</v>
      </c>
      <c r="DX97">
        <f t="shared" si="84"/>
        <v>0</v>
      </c>
      <c r="DY97">
        <f t="shared" si="84"/>
        <v>0</v>
      </c>
      <c r="DZ97">
        <f t="shared" si="84"/>
        <v>0</v>
      </c>
      <c r="EA97">
        <f t="shared" si="84"/>
        <v>0</v>
      </c>
      <c r="EB97"/>
      <c r="EC97"/>
      <c r="ED97">
        <f t="shared" ref="ED97:ED102" si="85">BZ97+CN97+DB97+DP97</f>
        <v>0</v>
      </c>
    </row>
    <row r="98" spans="2:134" hidden="1">
      <c r="B98" s="53">
        <f t="shared" si="69"/>
        <v>0</v>
      </c>
      <c r="C98" s="26">
        <f t="shared" si="70"/>
        <v>2</v>
      </c>
      <c r="D98" s="41" t="s">
        <v>648</v>
      </c>
      <c r="E98" s="594">
        <f>IF('Plant Inputs'!$AT$22=0,0,'Plant Inputs'!$AV98/'Plant Inputs'!$AT$22)</f>
        <v>0</v>
      </c>
      <c r="F98" s="213" t="str">
        <f t="shared" si="71"/>
        <v>short ton/short ton</v>
      </c>
      <c r="G98" s="158">
        <f t="shared" ref="G98:G102" si="86">$E98*$AT$18</f>
        <v>0</v>
      </c>
      <c r="H98" s="204" t="str">
        <f t="shared" si="72"/>
        <v>short ton</v>
      </c>
      <c r="I98" s="156">
        <f>IF($G$68=0,0,G98/$G$68)</f>
        <v>0</v>
      </c>
      <c r="J98"/>
      <c r="K98"/>
      <c r="L98"/>
      <c r="M98"/>
      <c r="N98"/>
      <c r="O98" s="12"/>
      <c r="P98"/>
      <c r="Q98"/>
      <c r="R98"/>
      <c r="S98"/>
      <c r="T98"/>
      <c r="X98" s="65">
        <f>'Plant Inputs'!$X98</f>
        <v>0</v>
      </c>
      <c r="Y98" s="216">
        <f>IF(AND($X98=2,'Plant Inputs'!$Y98=1),1,0)</f>
        <v>0</v>
      </c>
      <c r="Z98" s="216">
        <v>2</v>
      </c>
      <c r="AA98" s="216">
        <f>IF($Y98=0,0,IF('Plant Inputs'!J98="",0,'Plant Inputs'!J98))</f>
        <v>0</v>
      </c>
      <c r="AB98" s="216">
        <f>IF($Y98=0,0,IF('Plant Inputs'!K98="",0,'Plant Inputs'!K98))</f>
        <v>0</v>
      </c>
      <c r="AC98" s="216">
        <f>IF($Y98=0,0,IF('Plant Inputs'!L98="",0,'Plant Inputs'!L98))</f>
        <v>0</v>
      </c>
      <c r="AD98" s="216">
        <f>IF($Y98=0,0,IF('Plant Inputs'!M98="",0,'Plant Inputs'!M98))</f>
        <v>0</v>
      </c>
      <c r="AE98" s="217" t="str">
        <f>'Plant Inputs'!$N98</f>
        <v>mile</v>
      </c>
      <c r="AF98" s="217">
        <f t="shared" si="74"/>
        <v>1.6093473468862911</v>
      </c>
      <c r="AG98" s="216" t="str">
        <f t="shared" si="75"/>
        <v>km/mile</v>
      </c>
      <c r="AH98" s="216">
        <f t="shared" si="76"/>
        <v>0</v>
      </c>
      <c r="AI98" s="216">
        <f t="shared" si="76"/>
        <v>0</v>
      </c>
      <c r="AJ98" s="216">
        <f t="shared" si="76"/>
        <v>0</v>
      </c>
      <c r="AK98" s="216">
        <f t="shared" si="76"/>
        <v>0</v>
      </c>
      <c r="AL98" s="216"/>
      <c r="AM98" s="1" t="str">
        <f t="shared" si="77"/>
        <v>Hazardous Waste to Recycling Facility</v>
      </c>
      <c r="AN98" t="s">
        <v>127</v>
      </c>
      <c r="AO98">
        <f t="shared" si="78"/>
        <v>0</v>
      </c>
      <c r="AP98" s="1">
        <f t="shared" ref="AP98:AP102" si="87">IF($G98="",0,$G98)</f>
        <v>0</v>
      </c>
      <c r="AQ98" s="164" t="str">
        <f t="shared" ref="AQ98:AQ102" si="88">H98</f>
        <v>short ton</v>
      </c>
      <c r="AR98" s="1">
        <f t="shared" si="79"/>
        <v>0.90718499588591606</v>
      </c>
      <c r="AS98" s="87" t="str">
        <f t="shared" ref="AS98:AS102" si="89">$AT$96&amp;"/"&amp;AQ98</f>
        <v>tonne/short ton</v>
      </c>
      <c r="AT98" s="87">
        <f t="shared" si="80"/>
        <v>0</v>
      </c>
      <c r="AU98" s="87">
        <f t="shared" si="81"/>
        <v>0</v>
      </c>
      <c r="AV98" s="87">
        <f t="shared" si="82"/>
        <v>0</v>
      </c>
      <c r="AW98" s="1" t="str">
        <f t="shared" si="83"/>
        <v>Hazardous Waste to Recycling Facility</v>
      </c>
      <c r="AX98" s="313">
        <f t="array" ref="AX98">IFERROR(INDEX(LCIA_Data,MATCH($AO$15&amp;AX$94,LCIA_Rows_B&amp;LCIA_Rows_C,0),MATCH($D98,LCIA_Columns,0)),0)*$AU98</f>
        <v>0</v>
      </c>
      <c r="AY98" s="313">
        <f t="array" ref="AY98">IFERROR(INDEX(LCIA_Data,MATCH($AO$15&amp;AY$94,LCIA_Rows_B&amp;LCIA_Rows_C,0),MATCH($D98,LCIA_Columns,0)),0)*$AU98</f>
        <v>0</v>
      </c>
      <c r="AZ98" s="313">
        <f t="array" ref="AZ98">IFERROR(INDEX(LCIA_Data,MATCH($AO$15&amp;AZ$94,LCIA_Rows_B&amp;LCIA_Rows_C,0),MATCH($D98,LCIA_Columns,0)),0)*$AU98</f>
        <v>0</v>
      </c>
      <c r="BA98" s="313">
        <f t="array" ref="BA98">IFERROR(INDEX(LCIA_Data,MATCH($AO$15&amp;BA$94,LCIA_Rows_B&amp;LCIA_Rows_C,0),MATCH($D98,LCIA_Columns,0)),0)*$AU98</f>
        <v>0</v>
      </c>
      <c r="BB98" s="313">
        <f t="array" ref="BB98">IFERROR(INDEX(LCIA_Data,MATCH($AO$15&amp;BB$94,LCIA_Rows_B&amp;LCIA_Rows_C,0),MATCH($D98,LCIA_Columns,0)),0)*$AU98</f>
        <v>0</v>
      </c>
      <c r="BC98" s="313">
        <f t="array" ref="BC98">IFERROR(INDEX(LCIA_Data,MATCH($AO$15&amp;BC$94,LCIA_Rows_B&amp;LCIA_Rows_C,0),MATCH($D98,LCIA_Columns,0)),0)*$AU98</f>
        <v>0</v>
      </c>
      <c r="BD98" s="313">
        <f t="array" ref="BD98">IFERROR(INDEX(LCIA_Data,MATCH($AO$15&amp;BD$94,LCIA_Rows_B&amp;LCIA_Rows_C,0),MATCH($D98,LCIA_Columns,0)),0)*$AU98</f>
        <v>0</v>
      </c>
      <c r="BE98" s="313">
        <f t="array" ref="BE98">IFERROR(INDEX(LCIA_Data,MATCH($AO$15&amp;BE$94,LCIA_Rows_B&amp;LCIA_Rows_C,0),MATCH($D98,LCIA_Columns,0)),0)*$AU98</f>
        <v>0</v>
      </c>
      <c r="BF98" s="313">
        <f t="array" ref="BF98">IFERROR(INDEX(LCIA_Data,MATCH($AO$15&amp;BF$94,LCIA_Rows_B&amp;LCIA_Rows_C,0),MATCH($D98,LCIA_Columns,0)),0)*$AU98</f>
        <v>0</v>
      </c>
      <c r="BG98" s="313">
        <f t="array" ref="BG98">IFERROR(INDEX(LCIA_Data,MATCH($AO$15&amp;BG$94,LCIA_Rows_B&amp;LCIA_Rows_C,0),MATCH($D98,LCIA_Columns,0)),0)*$AU98</f>
        <v>0</v>
      </c>
      <c r="BH98" s="313">
        <f t="array" ref="BH98">IFERROR(INDEX(LCIA_Data,MATCH($AO$15&amp;BH$94,LCIA_Rows_B&amp;LCIA_Rows_C,0),MATCH($D98,LCIA_Columns,0)),0)*$AU98</f>
        <v>0</v>
      </c>
      <c r="BI98" s="313">
        <f t="array" ref="BI98">IFERROR(INDEX(LCIA_Data,MATCH($AO$15&amp;BI$94,LCIA_Rows_B&amp;LCIA_Rows_C,0),MATCH($D98,LCIA_Columns,0)),0)*$AU98</f>
        <v>0</v>
      </c>
      <c r="BJ98" s="313">
        <f t="array" ref="BJ98">IFERROR(INDEX(LCIA_Data,MATCH($AO$15&amp;BJ$94,LCIA_Rows_B&amp;LCIA_Rows_C,0),MATCH($D98,LCIA_Columns,0)),0)*$AU98</f>
        <v>0</v>
      </c>
      <c r="BK98" s="313">
        <f t="array" ref="BK98">IFERROR(INDEX(LCIA_Data,MATCH($AO$15&amp;BK$94,LCIA_Rows_B&amp;LCIA_Rows_C,0),MATCH($D98,LCIA_Columns,0)),0)*$AU98</f>
        <v>0</v>
      </c>
      <c r="BM98" s="1">
        <f t="array" ref="BM98">IFERROR(INDEX(LCIA_Data,MATCH($AO$15&amp;BM$94,LCIA_Rows_B&amp;LCIA_Rows_C,0),MATCH(BM$93,LCIA_Columns,0)),0)*$AT98*$AH98*$BN$90</f>
        <v>0</v>
      </c>
      <c r="BN98" s="1">
        <f t="array" ref="BN98">IFERROR(INDEX(LCIA_Data,MATCH($AO$15&amp;BN$94,LCIA_Rows_B&amp;LCIA_Rows_C,0),MATCH(BN$93,LCIA_Columns,0)),0)*$AT98*$AH98*$BN$90</f>
        <v>0</v>
      </c>
      <c r="BO98" s="1">
        <f t="array" ref="BO98">IFERROR(INDEX(LCIA_Data,MATCH($AO$15&amp;BO$94,LCIA_Rows_B&amp;LCIA_Rows_C,0),MATCH(BO$93,LCIA_Columns,0)),0)*$AT98*$AH98*$BN$90</f>
        <v>0</v>
      </c>
      <c r="BP98" s="1">
        <f t="array" ref="BP98">IFERROR(INDEX(LCIA_Data,MATCH($AO$15&amp;BP$94,LCIA_Rows_B&amp;LCIA_Rows_C,0),MATCH(BP$93,LCIA_Columns,0)),0)*$AT98*$AH98*$BN$90</f>
        <v>0</v>
      </c>
      <c r="BQ98" s="1">
        <f t="array" ref="BQ98">IFERROR(INDEX(LCIA_Data,MATCH($AO$15&amp;BQ$94,LCIA_Rows_B&amp;LCIA_Rows_C,0),MATCH(BQ$93,LCIA_Columns,0)),0)*$AT98*$AH98*$BN$90</f>
        <v>0</v>
      </c>
      <c r="BR98" s="1">
        <f t="array" ref="BR98">IFERROR(INDEX(LCIA_Data,MATCH($AO$15&amp;BR$94,LCIA_Rows_B&amp;LCIA_Rows_C,0),MATCH(BR$93,LCIA_Columns,0)),0)*$AT98*$AH98*$BN$90</f>
        <v>0</v>
      </c>
      <c r="BS98" s="1">
        <f t="array" ref="BS98">IFERROR(INDEX(LCIA_Data,MATCH($AO$15&amp;BS$94,LCIA_Rows_B&amp;LCIA_Rows_C,0),MATCH(BS$93,LCIA_Columns,0)),0)*$AT98*$AH98*$BN$90</f>
        <v>0</v>
      </c>
      <c r="BT98" s="1">
        <f t="array" ref="BT98">IFERROR(INDEX(LCIA_Data,MATCH($AO$15&amp;BT$94,LCIA_Rows_B&amp;LCIA_Rows_C,0),MATCH(BT$93,LCIA_Columns,0)),0)*$AT98*$AH98*$BN$90</f>
        <v>0</v>
      </c>
      <c r="BU98" s="1">
        <f t="array" ref="BU98">IFERROR(INDEX(LCIA_Data,MATCH($AO$15&amp;BU$94,LCIA_Rows_B&amp;LCIA_Rows_C,0),MATCH(BU$93,LCIA_Columns,0)),0)*$AT98*$AH98*$BN$90</f>
        <v>0</v>
      </c>
      <c r="BV98" s="1">
        <f t="array" ref="BV98">IFERROR(INDEX(LCIA_Data,MATCH($AO$15&amp;BV$94,LCIA_Rows_B&amp;LCIA_Rows_C,0),MATCH(BV$93,LCIA_Columns,0)),0)*$AT98*$AH98*$BN$90</f>
        <v>0</v>
      </c>
      <c r="BW98" s="1">
        <f t="array" ref="BW98">IFERROR(INDEX(LCIA_Data,MATCH($AO$15&amp;BW$94,LCIA_Rows_B&amp;LCIA_Rows_C,0),MATCH(BW$93,LCIA_Columns,0)),0)*$AT98*$AH98*$BN$90</f>
        <v>0</v>
      </c>
      <c r="BX98" s="1">
        <f t="array" ref="BX98">IFERROR(INDEX(LCIA_Data,MATCH($AO$15&amp;BX$94,LCIA_Rows_B&amp;LCIA_Rows_C,0),MATCH(BX$93,LCIA_Columns,0)),0)*$AT98*$AH98*$BN$90</f>
        <v>0</v>
      </c>
      <c r="BY98" s="1">
        <f t="array" ref="BY98">IFERROR(INDEX(LCIA_Data,MATCH($AO$15&amp;BY$94,LCIA_Rows_B&amp;LCIA_Rows_C,0),MATCH(BY$93,LCIA_Columns,0)),0)*$AT98*$AH98*$BN$90</f>
        <v>0</v>
      </c>
      <c r="BZ98" s="1">
        <f t="array" ref="BZ98">IFERROR(INDEX(LCIA_Data,MATCH($AO$15&amp;BZ$94,LCIA_Rows_B&amp;LCIA_Rows_C,0),MATCH(BZ$93,LCIA_Columns,0)),0)*$AT98*$AH98*$BN$90</f>
        <v>0</v>
      </c>
      <c r="CA98" s="1">
        <f t="array" ref="CA98">IFERROR(INDEX(LCIA_Data,MATCH($AO$15&amp;CA$94,LCIA_Rows_B&amp;LCIA_Rows_C,0),MATCH(CA$93,LCIA_Columns,0)),0)*$AT98*$AI98*$BN$90</f>
        <v>0</v>
      </c>
      <c r="CB98" s="1">
        <f t="array" ref="CB98">IFERROR(INDEX(LCIA_Data,MATCH($AO$15&amp;CB$94,LCIA_Rows_B&amp;LCIA_Rows_C,0),MATCH(CB$93,LCIA_Columns,0)),0)*$AT98*$AI98*$BN$90</f>
        <v>0</v>
      </c>
      <c r="CC98" s="1">
        <f t="array" ref="CC98">IFERROR(INDEX(LCIA_Data,MATCH($AO$15&amp;CC$94,LCIA_Rows_B&amp;LCIA_Rows_C,0),MATCH(CC$93,LCIA_Columns,0)),0)*$AT98*$AI98*$BN$90</f>
        <v>0</v>
      </c>
      <c r="CD98" s="1">
        <f t="array" ref="CD98">IFERROR(INDEX(LCIA_Data,MATCH($AO$15&amp;CD$94,LCIA_Rows_B&amp;LCIA_Rows_C,0),MATCH(CD$93,LCIA_Columns,0)),0)*$AT98*$AI98*$BN$90</f>
        <v>0</v>
      </c>
      <c r="CE98" s="1">
        <f t="array" ref="CE98">IFERROR(INDEX(LCIA_Data,MATCH($AO$15&amp;CE$94,LCIA_Rows_B&amp;LCIA_Rows_C,0),MATCH(CE$93,LCIA_Columns,0)),0)*$AT98*$AI98*$BN$90</f>
        <v>0</v>
      </c>
      <c r="CF98" s="1">
        <f t="array" ref="CF98">IFERROR(INDEX(LCIA_Data,MATCH($AO$15&amp;CF$94,LCIA_Rows_B&amp;LCIA_Rows_C,0),MATCH(CF$93,LCIA_Columns,0)),0)*$AT98*$AI98*$BN$90</f>
        <v>0</v>
      </c>
      <c r="CG98" s="1">
        <f t="array" ref="CG98">IFERROR(INDEX(LCIA_Data,MATCH($AO$15&amp;CG$94,LCIA_Rows_B&amp;LCIA_Rows_C,0),MATCH(CG$93,LCIA_Columns,0)),0)*$AT98*$AI98*$BN$90</f>
        <v>0</v>
      </c>
      <c r="CH98" s="1">
        <f t="array" ref="CH98">IFERROR(INDEX(LCIA_Data,MATCH($AO$15&amp;CH$94,LCIA_Rows_B&amp;LCIA_Rows_C,0),MATCH(CH$93,LCIA_Columns,0)),0)*$AT98*$AI98*$BN$90</f>
        <v>0</v>
      </c>
      <c r="CI98" s="1">
        <f t="array" ref="CI98">IFERROR(INDEX(LCIA_Data,MATCH($AO$15&amp;CI$94,LCIA_Rows_B&amp;LCIA_Rows_C,0),MATCH(CI$93,LCIA_Columns,0)),0)*$AT98*$AI98*$BN$90</f>
        <v>0</v>
      </c>
      <c r="CJ98" s="1">
        <f t="array" ref="CJ98">IFERROR(INDEX(LCIA_Data,MATCH($AO$15&amp;CJ$94,LCIA_Rows_B&amp;LCIA_Rows_C,0),MATCH(CJ$93,LCIA_Columns,0)),0)*$AT98*$AI98*$BN$90</f>
        <v>0</v>
      </c>
      <c r="CK98" s="1">
        <f t="array" ref="CK98">IFERROR(INDEX(LCIA_Data,MATCH($AO$15&amp;CK$94,LCIA_Rows_B&amp;LCIA_Rows_C,0),MATCH(CK$93,LCIA_Columns,0)),0)*$AT98*$AI98*$BN$90</f>
        <v>0</v>
      </c>
      <c r="CL98" s="1">
        <f t="array" ref="CL98">IFERROR(INDEX(LCIA_Data,MATCH($AO$15&amp;CL$94,LCIA_Rows_B&amp;LCIA_Rows_C,0),MATCH(CL$93,LCIA_Columns,0)),0)*$AT98*$AI98*$BN$90</f>
        <v>0</v>
      </c>
      <c r="CM98" s="1">
        <f t="array" ref="CM98">IFERROR(INDEX(LCIA_Data,MATCH($AO$15&amp;CM$94,LCIA_Rows_B&amp;LCIA_Rows_C,0),MATCH(CM$93,LCIA_Columns,0)),0)*$AT98*$AI98*$BN$90</f>
        <v>0</v>
      </c>
      <c r="CN98" s="1">
        <f t="array" ref="CN98">IFERROR(INDEX(LCIA_Data,MATCH($AO$15&amp;CN$94,LCIA_Rows_B&amp;LCIA_Rows_C,0),MATCH(CN$93,LCIA_Columns,0)),0)*$AT98*$AI98*$BN$90</f>
        <v>0</v>
      </c>
      <c r="CO98" s="1">
        <f t="array" ref="CO98">IFERROR(INDEX(LCIA_Data,MATCH($AO$15&amp;CO$94,LCIA_Rows_B&amp;LCIA_Rows_C,0),MATCH(CO$93,LCIA_Columns,0)),0)*$AT98*$AI98*$BN$90</f>
        <v>0</v>
      </c>
      <c r="CP98" s="1">
        <f t="array" ref="CP98">IFERROR(INDEX(LCIA_Data,MATCH($AO$15&amp;CP$94,LCIA_Rows_B&amp;LCIA_Rows_C,0),MATCH(CP$93,LCIA_Columns,0)),0)*$AT98*$AI98*$BN$90</f>
        <v>0</v>
      </c>
      <c r="CQ98" s="1">
        <f t="array" ref="CQ98">IFERROR(INDEX(LCIA_Data,MATCH($AO$15&amp;CQ$94,LCIA_Rows_B&amp;LCIA_Rows_C,0),MATCH(CQ$93,LCIA_Columns,0)),0)*$AT98*$AI98*$BN$90</f>
        <v>0</v>
      </c>
      <c r="CR98" s="1">
        <f t="array" ref="CR98">IFERROR(INDEX(LCIA_Data,MATCH($AO$15&amp;CR$94,LCIA_Rows_B&amp;LCIA_Rows_C,0),MATCH(CR$93,LCIA_Columns,0)),0)*$AT98*$AI98*$BN$90</f>
        <v>0</v>
      </c>
      <c r="CS98" s="1">
        <f t="array" ref="CS98">IFERROR(INDEX(LCIA_Data,MATCH($AO$15&amp;CS$94,LCIA_Rows_B&amp;LCIA_Rows_C,0),MATCH(CS$93,LCIA_Columns,0)),0)*$AT98*$AI98*$BN$90</f>
        <v>0</v>
      </c>
      <c r="CT98" s="1">
        <f t="array" ref="CT98">IFERROR(INDEX(LCIA_Data,MATCH($AO$15&amp;CT$94,LCIA_Rows_B&amp;LCIA_Rows_C,0),MATCH(CT$93,LCIA_Columns,0)),0)*$AT98*$AI98*$BN$90</f>
        <v>0</v>
      </c>
      <c r="CU98" s="1">
        <f t="array" ref="CU98">IFERROR(INDEX(LCIA_Data,MATCH($AO$15&amp;CU$94,LCIA_Rows_B&amp;LCIA_Rows_C,0),MATCH(CU$93,LCIA_Columns,0)),0)*$AT98*$AI98*$BN$90</f>
        <v>0</v>
      </c>
      <c r="CV98" s="1">
        <f t="array" ref="CV98">IFERROR(INDEX(LCIA_Data,MATCH($AO$15&amp;CV$94,LCIA_Rows_B&amp;LCIA_Rows_C,0),MATCH(CV$93,LCIA_Columns,0)),0)*$AT98*$AI98*$BN$90</f>
        <v>0</v>
      </c>
      <c r="CW98" s="1">
        <f t="array" ref="CW98">IFERROR(INDEX(LCIA_Data,MATCH($AO$15&amp;CW$94,LCIA_Rows_B&amp;LCIA_Rows_C,0),MATCH(CW$93,LCIA_Columns,0)),0)*$AT98*$AI98*$BN$90</f>
        <v>0</v>
      </c>
      <c r="CX98" s="1">
        <f t="array" ref="CX98">IFERROR(INDEX(LCIA_Data,MATCH($AO$15&amp;CX$94,LCIA_Rows_B&amp;LCIA_Rows_C,0),MATCH(CX$93,LCIA_Columns,0)),0)*$AT98*$AI98*$BN$90</f>
        <v>0</v>
      </c>
      <c r="CY98" s="1">
        <f t="array" ref="CY98">IFERROR(INDEX(LCIA_Data,MATCH($AO$15&amp;CY$94,LCIA_Rows_B&amp;LCIA_Rows_C,0),MATCH(CY$93,LCIA_Columns,0)),0)*$AT98*$AI98*$BN$90</f>
        <v>0</v>
      </c>
      <c r="CZ98" s="1">
        <f t="array" ref="CZ98">IFERROR(INDEX(LCIA_Data,MATCH($AO$15&amp;CZ$94,LCIA_Rows_B&amp;LCIA_Rows_C,0),MATCH(CZ$93,LCIA_Columns,0)),0)*$AT98*$AI98*$BN$90</f>
        <v>0</v>
      </c>
      <c r="DA98" s="1">
        <f t="array" ref="DA98">IFERROR(INDEX(LCIA_Data,MATCH($AO$15&amp;DA$94,LCIA_Rows_B&amp;LCIA_Rows_C,0),MATCH(DA$93,LCIA_Columns,0)),0)*$AT98*$AI98*$BN$90</f>
        <v>0</v>
      </c>
      <c r="DB98" s="1">
        <f t="array" ref="DB98">IFERROR(INDEX(LCIA_Data,MATCH($AO$15&amp;DB$94,LCIA_Rows_B&amp;LCIA_Rows_C,0),MATCH(DB$93,LCIA_Columns,0)),0)*$AT98*$AI98*$BN$90</f>
        <v>0</v>
      </c>
      <c r="DC98" s="1">
        <f t="array" ref="DC98">IFERROR(INDEX(LCIA_Data,MATCH($AO$15&amp;DC$94,LCIA_Rows_B&amp;LCIA_Rows_C,0),MATCH(DC$93,LCIA_Columns,0)),0)*$AT98*$AI98*$BN$90</f>
        <v>0</v>
      </c>
      <c r="DD98" s="1">
        <f t="array" ref="DD98">IFERROR(INDEX(LCIA_Data,MATCH($AO$15&amp;DD$94,LCIA_Rows_B&amp;LCIA_Rows_C,0),MATCH(DD$93,LCIA_Columns,0)),0)*$AT98*$AI98*$BN$90</f>
        <v>0</v>
      </c>
      <c r="DE98" s="1">
        <f t="array" ref="DE98">IFERROR(INDEX(LCIA_Data,MATCH($AO$15&amp;DE$94,LCIA_Rows_B&amp;LCIA_Rows_C,0),MATCH(DE$93,LCIA_Columns,0)),0)*$AT98*$AI98*$BN$90</f>
        <v>0</v>
      </c>
      <c r="DF98" s="1">
        <f t="array" ref="DF98">IFERROR(INDEX(LCIA_Data,MATCH($AO$15&amp;DF$94,LCIA_Rows_B&amp;LCIA_Rows_C,0),MATCH(DF$93,LCIA_Columns,0)),0)*$AT98*$AI98*$BN$90</f>
        <v>0</v>
      </c>
      <c r="DG98" s="1">
        <f t="array" ref="DG98">IFERROR(INDEX(LCIA_Data,MATCH($AO$15&amp;DG$94,LCIA_Rows_B&amp;LCIA_Rows_C,0),MATCH(DG$93,LCIA_Columns,0)),0)*$AT98*$AI98*$BN$90</f>
        <v>0</v>
      </c>
      <c r="DH98" s="1">
        <f t="array" ref="DH98">IFERROR(INDEX(LCIA_Data,MATCH($AO$15&amp;DH$94,LCIA_Rows_B&amp;LCIA_Rows_C,0),MATCH(DH$93,LCIA_Columns,0)),0)*$AT98*$AI98*$BN$90</f>
        <v>0</v>
      </c>
      <c r="DI98" s="1">
        <f t="array" ref="DI98">IFERROR(INDEX(LCIA_Data,MATCH($AO$15&amp;DI$94,LCIA_Rows_B&amp;LCIA_Rows_C,0),MATCH(DI$93,LCIA_Columns,0)),0)*$AT98*$AI98*$BN$90</f>
        <v>0</v>
      </c>
      <c r="DJ98" s="1">
        <f t="array" ref="DJ98">IFERROR(INDEX(LCIA_Data,MATCH($AO$15&amp;DJ$94,LCIA_Rows_B&amp;LCIA_Rows_C,0),MATCH(DJ$93,LCIA_Columns,0)),0)*$AT98*$AI98*$BN$90</f>
        <v>0</v>
      </c>
      <c r="DK98" s="1">
        <f t="array" ref="DK98">IFERROR(INDEX(LCIA_Data,MATCH($AO$15&amp;DK$94,LCIA_Rows_B&amp;LCIA_Rows_C,0),MATCH(DK$93,LCIA_Columns,0)),0)*$AT98*$AI98*$BN$90</f>
        <v>0</v>
      </c>
      <c r="DL98" s="1">
        <f t="array" ref="DL98">IFERROR(INDEX(LCIA_Data,MATCH($AO$15&amp;DL$94,LCIA_Rows_B&amp;LCIA_Rows_C,0),MATCH(DL$93,LCIA_Columns,0)),0)*$AT98*$AI98*$BN$90</f>
        <v>0</v>
      </c>
      <c r="DM98" s="1">
        <f t="array" ref="DM98">IFERROR(INDEX(LCIA_Data,MATCH($AO$15&amp;DM$94,LCIA_Rows_B&amp;LCIA_Rows_C,0),MATCH(DM$93,LCIA_Columns,0)),0)*$AT98*$AI98*$BN$90</f>
        <v>0</v>
      </c>
      <c r="DN98" s="1">
        <f t="array" ref="DN98">IFERROR(INDEX(LCIA_Data,MATCH($AO$15&amp;DN$94,LCIA_Rows_B&amp;LCIA_Rows_C,0),MATCH(DN$93,LCIA_Columns,0)),0)*$AT98*$AI98*$BN$90</f>
        <v>0</v>
      </c>
      <c r="DO98" s="1">
        <f t="array" ref="DO98">IFERROR(INDEX(LCIA_Data,MATCH($AO$15&amp;DO$94,LCIA_Rows_B&amp;LCIA_Rows_C,0),MATCH(DO$93,LCIA_Columns,0)),0)*$AT98*$AI98*$BN$90</f>
        <v>0</v>
      </c>
      <c r="DP98" s="1">
        <f t="array" ref="DP98">IFERROR(INDEX(LCIA_Data,MATCH($AO$15&amp;DP$94,LCIA_Rows_B&amp;LCIA_Rows_C,0),MATCH(DP$93,LCIA_Columns,0)),0)*$AT98*$AI98*$BN$90</f>
        <v>0</v>
      </c>
      <c r="DQ98">
        <f t="shared" si="84"/>
        <v>0</v>
      </c>
      <c r="DR98">
        <f t="shared" si="84"/>
        <v>0</v>
      </c>
      <c r="DS98">
        <f t="shared" si="84"/>
        <v>0</v>
      </c>
      <c r="DT98">
        <f t="shared" si="84"/>
        <v>0</v>
      </c>
      <c r="DU98">
        <f t="shared" si="84"/>
        <v>0</v>
      </c>
      <c r="DV98">
        <f t="shared" si="84"/>
        <v>0</v>
      </c>
      <c r="DW98">
        <f t="shared" si="84"/>
        <v>0</v>
      </c>
      <c r="DX98">
        <f t="shared" si="84"/>
        <v>0</v>
      </c>
      <c r="DY98">
        <f t="shared" si="84"/>
        <v>0</v>
      </c>
      <c r="DZ98">
        <f t="shared" si="84"/>
        <v>0</v>
      </c>
      <c r="EA98">
        <f t="shared" si="84"/>
        <v>0</v>
      </c>
      <c r="EB98"/>
      <c r="EC98"/>
      <c r="ED98">
        <f t="shared" si="85"/>
        <v>0</v>
      </c>
    </row>
    <row r="99" spans="2:134" hidden="1">
      <c r="B99" s="53">
        <f t="shared" si="69"/>
        <v>0</v>
      </c>
      <c r="C99" s="26">
        <f t="shared" si="70"/>
        <v>3</v>
      </c>
      <c r="D99" s="41" t="s">
        <v>652</v>
      </c>
      <c r="E99" s="594">
        <f>IF('Plant Inputs'!$AT$22=0,0,'Plant Inputs'!$AV99/'Plant Inputs'!$AT$22)</f>
        <v>0</v>
      </c>
      <c r="F99" s="213" t="str">
        <f t="shared" si="71"/>
        <v>short ton/short ton</v>
      </c>
      <c r="G99" s="158">
        <f t="shared" si="86"/>
        <v>0</v>
      </c>
      <c r="H99" s="204" t="str">
        <f t="shared" si="72"/>
        <v>short ton</v>
      </c>
      <c r="I99" s="156">
        <f>IF($G$68=0,0,G99/$G$68)</f>
        <v>0</v>
      </c>
      <c r="J99"/>
      <c r="K99"/>
      <c r="L99"/>
      <c r="M99"/>
      <c r="N99"/>
      <c r="O99" s="12"/>
      <c r="P99"/>
      <c r="Q99"/>
      <c r="R99"/>
      <c r="S99"/>
      <c r="T99"/>
      <c r="X99" s="65">
        <f>'Plant Inputs'!$X99</f>
        <v>0</v>
      </c>
      <c r="Y99" s="216">
        <f>IF(AND($X99=2,'Plant Inputs'!$Y99=1),1,0)</f>
        <v>0</v>
      </c>
      <c r="Z99" s="216">
        <v>2</v>
      </c>
      <c r="AA99" s="216">
        <f>IF($Y99=0,0,IF('Plant Inputs'!J99="",0,'Plant Inputs'!J99))</f>
        <v>0</v>
      </c>
      <c r="AB99" s="216">
        <f>IF($Y99=0,0,IF('Plant Inputs'!K99="",0,'Plant Inputs'!K99))</f>
        <v>0</v>
      </c>
      <c r="AC99" s="216">
        <f>IF($Y99=0,0,IF('Plant Inputs'!L99="",0,'Plant Inputs'!L99))</f>
        <v>0</v>
      </c>
      <c r="AD99" s="216">
        <f>IF($Y99=0,0,IF('Plant Inputs'!M99="",0,'Plant Inputs'!M99))</f>
        <v>0</v>
      </c>
      <c r="AE99" s="217" t="str">
        <f>'Plant Inputs'!$N99</f>
        <v>mile</v>
      </c>
      <c r="AF99" s="217">
        <f t="shared" si="74"/>
        <v>1.6093473468862911</v>
      </c>
      <c r="AG99" s="216" t="str">
        <f t="shared" si="75"/>
        <v>km/mile</v>
      </c>
      <c r="AH99" s="216">
        <f t="shared" si="76"/>
        <v>0</v>
      </c>
      <c r="AI99" s="216">
        <f t="shared" si="76"/>
        <v>0</v>
      </c>
      <c r="AJ99" s="216">
        <f t="shared" si="76"/>
        <v>0</v>
      </c>
      <c r="AK99" s="216">
        <f t="shared" si="76"/>
        <v>0</v>
      </c>
      <c r="AL99" s="216"/>
      <c r="AM99" s="1" t="str">
        <f t="shared" si="77"/>
        <v>Hazardous Waste to Incineration Facility</v>
      </c>
      <c r="AN99" t="s">
        <v>127</v>
      </c>
      <c r="AO99">
        <f t="shared" si="78"/>
        <v>0</v>
      </c>
      <c r="AP99" s="1">
        <f t="shared" si="87"/>
        <v>0</v>
      </c>
      <c r="AQ99" s="164" t="str">
        <f t="shared" si="88"/>
        <v>short ton</v>
      </c>
      <c r="AR99" s="1">
        <f t="shared" si="79"/>
        <v>0.90718499588591606</v>
      </c>
      <c r="AS99" s="87" t="str">
        <f t="shared" si="89"/>
        <v>tonne/short ton</v>
      </c>
      <c r="AT99" s="87">
        <f t="shared" si="80"/>
        <v>0</v>
      </c>
      <c r="AU99" s="87">
        <f t="shared" si="81"/>
        <v>0</v>
      </c>
      <c r="AV99" s="87">
        <f t="shared" si="82"/>
        <v>0</v>
      </c>
      <c r="AW99" s="1" t="str">
        <f t="shared" si="83"/>
        <v>Hazardous Waste to Incineration Facility</v>
      </c>
      <c r="AX99" s="313">
        <f t="array" ref="AX99">IFERROR(INDEX(LCIA_Data,MATCH($AO$15&amp;AX$94,LCIA_Rows_B&amp;LCIA_Rows_C,0),MATCH($D99,LCIA_Columns,0)),0)*$AU99</f>
        <v>0</v>
      </c>
      <c r="AY99" s="313">
        <f t="array" ref="AY99">IFERROR(INDEX(LCIA_Data,MATCH($AO$15&amp;AY$94,LCIA_Rows_B&amp;LCIA_Rows_C,0),MATCH($D99,LCIA_Columns,0)),0)*$AU99</f>
        <v>0</v>
      </c>
      <c r="AZ99" s="313">
        <f t="array" ref="AZ99">IFERROR(INDEX(LCIA_Data,MATCH($AO$15&amp;AZ$94,LCIA_Rows_B&amp;LCIA_Rows_C,0),MATCH($D99,LCIA_Columns,0)),0)*$AU99</f>
        <v>0</v>
      </c>
      <c r="BA99" s="313">
        <f t="array" ref="BA99">IFERROR(INDEX(LCIA_Data,MATCH($AO$15&amp;BA$94,LCIA_Rows_B&amp;LCIA_Rows_C,0),MATCH($D99,LCIA_Columns,0)),0)*$AU99</f>
        <v>0</v>
      </c>
      <c r="BB99" s="313">
        <f t="array" ref="BB99">IFERROR(INDEX(LCIA_Data,MATCH($AO$15&amp;BB$94,LCIA_Rows_B&amp;LCIA_Rows_C,0),MATCH($D99,LCIA_Columns,0)),0)*$AU99</f>
        <v>0</v>
      </c>
      <c r="BC99" s="313">
        <f t="array" ref="BC99">IFERROR(INDEX(LCIA_Data,MATCH($AO$15&amp;BC$94,LCIA_Rows_B&amp;LCIA_Rows_C,0),MATCH($D99,LCIA_Columns,0)),0)*$AU99</f>
        <v>0</v>
      </c>
      <c r="BD99" s="313">
        <f t="array" ref="BD99">IFERROR(INDEX(LCIA_Data,MATCH($AO$15&amp;BD$94,LCIA_Rows_B&amp;LCIA_Rows_C,0),MATCH($D99,LCIA_Columns,0)),0)*$AU99</f>
        <v>0</v>
      </c>
      <c r="BE99" s="313">
        <f t="array" ref="BE99">IFERROR(INDEX(LCIA_Data,MATCH($AO$15&amp;BE$94,LCIA_Rows_B&amp;LCIA_Rows_C,0),MATCH($D99,LCIA_Columns,0)),0)*$AU99</f>
        <v>0</v>
      </c>
      <c r="BF99" s="313">
        <f t="array" ref="BF99">IFERROR(INDEX(LCIA_Data,MATCH($AO$15&amp;BF$94,LCIA_Rows_B&amp;LCIA_Rows_C,0),MATCH($D99,LCIA_Columns,0)),0)*$AU99</f>
        <v>0</v>
      </c>
      <c r="BG99" s="313">
        <f t="array" ref="BG99">IFERROR(INDEX(LCIA_Data,MATCH($AO$15&amp;BG$94,LCIA_Rows_B&amp;LCIA_Rows_C,0),MATCH($D99,LCIA_Columns,0)),0)*$AU99</f>
        <v>0</v>
      </c>
      <c r="BH99" s="313">
        <f t="array" ref="BH99">IFERROR(INDEX(LCIA_Data,MATCH($AO$15&amp;BH$94,LCIA_Rows_B&amp;LCIA_Rows_C,0),MATCH($D99,LCIA_Columns,0)),0)*$AU99</f>
        <v>0</v>
      </c>
      <c r="BI99" s="313">
        <f t="array" ref="BI99">IFERROR(INDEX(LCIA_Data,MATCH($AO$15&amp;BI$94,LCIA_Rows_B&amp;LCIA_Rows_C,0),MATCH($D99,LCIA_Columns,0)),0)*$AU99</f>
        <v>0</v>
      </c>
      <c r="BJ99" s="313">
        <f t="array" ref="BJ99">IFERROR(INDEX(LCIA_Data,MATCH($AO$15&amp;BJ$94,LCIA_Rows_B&amp;LCIA_Rows_C,0),MATCH($D99,LCIA_Columns,0)),0)*$AU99</f>
        <v>0</v>
      </c>
      <c r="BK99" s="313">
        <f t="array" ref="BK99">IFERROR(INDEX(LCIA_Data,MATCH($AO$15&amp;BK$94,LCIA_Rows_B&amp;LCIA_Rows_C,0),MATCH($D99,LCIA_Columns,0)),0)*$AU99</f>
        <v>0</v>
      </c>
      <c r="BM99" s="1">
        <f t="array" ref="BM99">IFERROR(INDEX(LCIA_Data,MATCH($AO$15&amp;BM$94,LCIA_Rows_B&amp;LCIA_Rows_C,0),MATCH(BM$93,LCIA_Columns,0)),0)*$AT99*$AH99*$BN$90</f>
        <v>0</v>
      </c>
      <c r="BN99" s="1">
        <f t="array" ref="BN99">IFERROR(INDEX(LCIA_Data,MATCH($AO$15&amp;BN$94,LCIA_Rows_B&amp;LCIA_Rows_C,0),MATCH(BN$93,LCIA_Columns,0)),0)*$AT99*$AH99*$BN$90</f>
        <v>0</v>
      </c>
      <c r="BO99" s="1">
        <f t="array" ref="BO99">IFERROR(INDEX(LCIA_Data,MATCH($AO$15&amp;BO$94,LCIA_Rows_B&amp;LCIA_Rows_C,0),MATCH(BO$93,LCIA_Columns,0)),0)*$AT99*$AH99*$BN$90</f>
        <v>0</v>
      </c>
      <c r="BP99" s="1">
        <f t="array" ref="BP99">IFERROR(INDEX(LCIA_Data,MATCH($AO$15&amp;BP$94,LCIA_Rows_B&amp;LCIA_Rows_C,0),MATCH(BP$93,LCIA_Columns,0)),0)*$AT99*$AH99*$BN$90</f>
        <v>0</v>
      </c>
      <c r="BQ99" s="1">
        <f t="array" ref="BQ99">IFERROR(INDEX(LCIA_Data,MATCH($AO$15&amp;BQ$94,LCIA_Rows_B&amp;LCIA_Rows_C,0),MATCH(BQ$93,LCIA_Columns,0)),0)*$AT99*$AH99*$BN$90</f>
        <v>0</v>
      </c>
      <c r="BR99" s="1">
        <f t="array" ref="BR99">IFERROR(INDEX(LCIA_Data,MATCH($AO$15&amp;BR$94,LCIA_Rows_B&amp;LCIA_Rows_C,0),MATCH(BR$93,LCIA_Columns,0)),0)*$AT99*$AH99*$BN$90</f>
        <v>0</v>
      </c>
      <c r="BS99" s="1">
        <f t="array" ref="BS99">IFERROR(INDEX(LCIA_Data,MATCH($AO$15&amp;BS$94,LCIA_Rows_B&amp;LCIA_Rows_C,0),MATCH(BS$93,LCIA_Columns,0)),0)*$AT99*$AH99*$BN$90</f>
        <v>0</v>
      </c>
      <c r="BT99" s="1">
        <f t="array" ref="BT99">IFERROR(INDEX(LCIA_Data,MATCH($AO$15&amp;BT$94,LCIA_Rows_B&amp;LCIA_Rows_C,0),MATCH(BT$93,LCIA_Columns,0)),0)*$AT99*$AH99*$BN$90</f>
        <v>0</v>
      </c>
      <c r="BU99" s="1">
        <f t="array" ref="BU99">IFERROR(INDEX(LCIA_Data,MATCH($AO$15&amp;BU$94,LCIA_Rows_B&amp;LCIA_Rows_C,0),MATCH(BU$93,LCIA_Columns,0)),0)*$AT99*$AH99*$BN$90</f>
        <v>0</v>
      </c>
      <c r="BV99" s="1">
        <f t="array" ref="BV99">IFERROR(INDEX(LCIA_Data,MATCH($AO$15&amp;BV$94,LCIA_Rows_B&amp;LCIA_Rows_C,0),MATCH(BV$93,LCIA_Columns,0)),0)*$AT99*$AH99*$BN$90</f>
        <v>0</v>
      </c>
      <c r="BW99" s="1">
        <f t="array" ref="BW99">IFERROR(INDEX(LCIA_Data,MATCH($AO$15&amp;BW$94,LCIA_Rows_B&amp;LCIA_Rows_C,0),MATCH(BW$93,LCIA_Columns,0)),0)*$AT99*$AH99*$BN$90</f>
        <v>0</v>
      </c>
      <c r="BX99" s="1">
        <f t="array" ref="BX99">IFERROR(INDEX(LCIA_Data,MATCH($AO$15&amp;BX$94,LCIA_Rows_B&amp;LCIA_Rows_C,0),MATCH(BX$93,LCIA_Columns,0)),0)*$AT99*$AH99*$BN$90</f>
        <v>0</v>
      </c>
      <c r="BY99" s="1">
        <f t="array" ref="BY99">IFERROR(INDEX(LCIA_Data,MATCH($AO$15&amp;BY$94,LCIA_Rows_B&amp;LCIA_Rows_C,0),MATCH(BY$93,LCIA_Columns,0)),0)*$AT99*$AH99*$BN$90</f>
        <v>0</v>
      </c>
      <c r="BZ99" s="1">
        <f t="array" ref="BZ99">IFERROR(INDEX(LCIA_Data,MATCH($AO$15&amp;BZ$94,LCIA_Rows_B&amp;LCIA_Rows_C,0),MATCH(BZ$93,LCIA_Columns,0)),0)*$AT99*$AH99*$BN$90</f>
        <v>0</v>
      </c>
      <c r="CA99" s="1">
        <f t="array" ref="CA99">IFERROR(INDEX(LCIA_Data,MATCH($AO$15&amp;CA$94,LCIA_Rows_B&amp;LCIA_Rows_C,0),MATCH(CA$93,LCIA_Columns,0)),0)*$AT99*$AI99*$BN$90</f>
        <v>0</v>
      </c>
      <c r="CB99" s="1">
        <f t="array" ref="CB99">IFERROR(INDEX(LCIA_Data,MATCH($AO$15&amp;CB$94,LCIA_Rows_B&amp;LCIA_Rows_C,0),MATCH(CB$93,LCIA_Columns,0)),0)*$AT99*$AI99*$BN$90</f>
        <v>0</v>
      </c>
      <c r="CC99" s="1">
        <f t="array" ref="CC99">IFERROR(INDEX(LCIA_Data,MATCH($AO$15&amp;CC$94,LCIA_Rows_B&amp;LCIA_Rows_C,0),MATCH(CC$93,LCIA_Columns,0)),0)*$AT99*$AI99*$BN$90</f>
        <v>0</v>
      </c>
      <c r="CD99" s="1">
        <f t="array" ref="CD99">IFERROR(INDEX(LCIA_Data,MATCH($AO$15&amp;CD$94,LCIA_Rows_B&amp;LCIA_Rows_C,0),MATCH(CD$93,LCIA_Columns,0)),0)*$AT99*$AI99*$BN$90</f>
        <v>0</v>
      </c>
      <c r="CE99" s="1">
        <f t="array" ref="CE99">IFERROR(INDEX(LCIA_Data,MATCH($AO$15&amp;CE$94,LCIA_Rows_B&amp;LCIA_Rows_C,0),MATCH(CE$93,LCIA_Columns,0)),0)*$AT99*$AI99*$BN$90</f>
        <v>0</v>
      </c>
      <c r="CF99" s="1">
        <f t="array" ref="CF99">IFERROR(INDEX(LCIA_Data,MATCH($AO$15&amp;CF$94,LCIA_Rows_B&amp;LCIA_Rows_C,0),MATCH(CF$93,LCIA_Columns,0)),0)*$AT99*$AI99*$BN$90</f>
        <v>0</v>
      </c>
      <c r="CG99" s="1">
        <f t="array" ref="CG99">IFERROR(INDEX(LCIA_Data,MATCH($AO$15&amp;CG$94,LCIA_Rows_B&amp;LCIA_Rows_C,0),MATCH(CG$93,LCIA_Columns,0)),0)*$AT99*$AI99*$BN$90</f>
        <v>0</v>
      </c>
      <c r="CH99" s="1">
        <f t="array" ref="CH99">IFERROR(INDEX(LCIA_Data,MATCH($AO$15&amp;CH$94,LCIA_Rows_B&amp;LCIA_Rows_C,0),MATCH(CH$93,LCIA_Columns,0)),0)*$AT99*$AI99*$BN$90</f>
        <v>0</v>
      </c>
      <c r="CI99" s="1">
        <f t="array" ref="CI99">IFERROR(INDEX(LCIA_Data,MATCH($AO$15&amp;CI$94,LCIA_Rows_B&amp;LCIA_Rows_C,0),MATCH(CI$93,LCIA_Columns,0)),0)*$AT99*$AI99*$BN$90</f>
        <v>0</v>
      </c>
      <c r="CJ99" s="1">
        <f t="array" ref="CJ99">IFERROR(INDEX(LCIA_Data,MATCH($AO$15&amp;CJ$94,LCIA_Rows_B&amp;LCIA_Rows_C,0),MATCH(CJ$93,LCIA_Columns,0)),0)*$AT99*$AI99*$BN$90</f>
        <v>0</v>
      </c>
      <c r="CK99" s="1">
        <f t="array" ref="CK99">IFERROR(INDEX(LCIA_Data,MATCH($AO$15&amp;CK$94,LCIA_Rows_B&amp;LCIA_Rows_C,0),MATCH(CK$93,LCIA_Columns,0)),0)*$AT99*$AI99*$BN$90</f>
        <v>0</v>
      </c>
      <c r="CL99" s="1">
        <f t="array" ref="CL99">IFERROR(INDEX(LCIA_Data,MATCH($AO$15&amp;CL$94,LCIA_Rows_B&amp;LCIA_Rows_C,0),MATCH(CL$93,LCIA_Columns,0)),0)*$AT99*$AI99*$BN$90</f>
        <v>0</v>
      </c>
      <c r="CM99" s="1">
        <f t="array" ref="CM99">IFERROR(INDEX(LCIA_Data,MATCH($AO$15&amp;CM$94,LCIA_Rows_B&amp;LCIA_Rows_C,0),MATCH(CM$93,LCIA_Columns,0)),0)*$AT99*$AI99*$BN$90</f>
        <v>0</v>
      </c>
      <c r="CN99" s="1">
        <f t="array" ref="CN99">IFERROR(INDEX(LCIA_Data,MATCH($AO$15&amp;CN$94,LCIA_Rows_B&amp;LCIA_Rows_C,0),MATCH(CN$93,LCIA_Columns,0)),0)*$AT99*$AI99*$BN$90</f>
        <v>0</v>
      </c>
      <c r="CO99" s="1">
        <f t="array" ref="CO99">IFERROR(INDEX(LCIA_Data,MATCH($AO$15&amp;CO$94,LCIA_Rows_B&amp;LCIA_Rows_C,0),MATCH(CO$93,LCIA_Columns,0)),0)*$AT99*$AI99*$BN$90</f>
        <v>0</v>
      </c>
      <c r="CP99" s="1">
        <f t="array" ref="CP99">IFERROR(INDEX(LCIA_Data,MATCH($AO$15&amp;CP$94,LCIA_Rows_B&amp;LCIA_Rows_C,0),MATCH(CP$93,LCIA_Columns,0)),0)*$AT99*$AI99*$BN$90</f>
        <v>0</v>
      </c>
      <c r="CQ99" s="1">
        <f t="array" ref="CQ99">IFERROR(INDEX(LCIA_Data,MATCH($AO$15&amp;CQ$94,LCIA_Rows_B&amp;LCIA_Rows_C,0),MATCH(CQ$93,LCIA_Columns,0)),0)*$AT99*$AI99*$BN$90</f>
        <v>0</v>
      </c>
      <c r="CR99" s="1">
        <f t="array" ref="CR99">IFERROR(INDEX(LCIA_Data,MATCH($AO$15&amp;CR$94,LCIA_Rows_B&amp;LCIA_Rows_C,0),MATCH(CR$93,LCIA_Columns,0)),0)*$AT99*$AI99*$BN$90</f>
        <v>0</v>
      </c>
      <c r="CS99" s="1">
        <f t="array" ref="CS99">IFERROR(INDEX(LCIA_Data,MATCH($AO$15&amp;CS$94,LCIA_Rows_B&amp;LCIA_Rows_C,0),MATCH(CS$93,LCIA_Columns,0)),0)*$AT99*$AI99*$BN$90</f>
        <v>0</v>
      </c>
      <c r="CT99" s="1">
        <f t="array" ref="CT99">IFERROR(INDEX(LCIA_Data,MATCH($AO$15&amp;CT$94,LCIA_Rows_B&amp;LCIA_Rows_C,0),MATCH(CT$93,LCIA_Columns,0)),0)*$AT99*$AI99*$BN$90</f>
        <v>0</v>
      </c>
      <c r="CU99" s="1">
        <f t="array" ref="CU99">IFERROR(INDEX(LCIA_Data,MATCH($AO$15&amp;CU$94,LCIA_Rows_B&amp;LCIA_Rows_C,0),MATCH(CU$93,LCIA_Columns,0)),0)*$AT99*$AI99*$BN$90</f>
        <v>0</v>
      </c>
      <c r="CV99" s="1">
        <f t="array" ref="CV99">IFERROR(INDEX(LCIA_Data,MATCH($AO$15&amp;CV$94,LCIA_Rows_B&amp;LCIA_Rows_C,0),MATCH(CV$93,LCIA_Columns,0)),0)*$AT99*$AI99*$BN$90</f>
        <v>0</v>
      </c>
      <c r="CW99" s="1">
        <f t="array" ref="CW99">IFERROR(INDEX(LCIA_Data,MATCH($AO$15&amp;CW$94,LCIA_Rows_B&amp;LCIA_Rows_C,0),MATCH(CW$93,LCIA_Columns,0)),0)*$AT99*$AI99*$BN$90</f>
        <v>0</v>
      </c>
      <c r="CX99" s="1">
        <f t="array" ref="CX99">IFERROR(INDEX(LCIA_Data,MATCH($AO$15&amp;CX$94,LCIA_Rows_B&amp;LCIA_Rows_C,0),MATCH(CX$93,LCIA_Columns,0)),0)*$AT99*$AI99*$BN$90</f>
        <v>0</v>
      </c>
      <c r="CY99" s="1">
        <f t="array" ref="CY99">IFERROR(INDEX(LCIA_Data,MATCH($AO$15&amp;CY$94,LCIA_Rows_B&amp;LCIA_Rows_C,0),MATCH(CY$93,LCIA_Columns,0)),0)*$AT99*$AI99*$BN$90</f>
        <v>0</v>
      </c>
      <c r="CZ99" s="1">
        <f t="array" ref="CZ99">IFERROR(INDEX(LCIA_Data,MATCH($AO$15&amp;CZ$94,LCIA_Rows_B&amp;LCIA_Rows_C,0),MATCH(CZ$93,LCIA_Columns,0)),0)*$AT99*$AI99*$BN$90</f>
        <v>0</v>
      </c>
      <c r="DA99" s="1">
        <f t="array" ref="DA99">IFERROR(INDEX(LCIA_Data,MATCH($AO$15&amp;DA$94,LCIA_Rows_B&amp;LCIA_Rows_C,0),MATCH(DA$93,LCIA_Columns,0)),0)*$AT99*$AI99*$BN$90</f>
        <v>0</v>
      </c>
      <c r="DB99" s="1">
        <f t="array" ref="DB99">IFERROR(INDEX(LCIA_Data,MATCH($AO$15&amp;DB$94,LCIA_Rows_B&amp;LCIA_Rows_C,0),MATCH(DB$93,LCIA_Columns,0)),0)*$AT99*$AI99*$BN$90</f>
        <v>0</v>
      </c>
      <c r="DC99" s="1">
        <f t="array" ref="DC99">IFERROR(INDEX(LCIA_Data,MATCH($AO$15&amp;DC$94,LCIA_Rows_B&amp;LCIA_Rows_C,0),MATCH(DC$93,LCIA_Columns,0)),0)*$AT99*$AI99*$BN$90</f>
        <v>0</v>
      </c>
      <c r="DD99" s="1">
        <f t="array" ref="DD99">IFERROR(INDEX(LCIA_Data,MATCH($AO$15&amp;DD$94,LCIA_Rows_B&amp;LCIA_Rows_C,0),MATCH(DD$93,LCIA_Columns,0)),0)*$AT99*$AI99*$BN$90</f>
        <v>0</v>
      </c>
      <c r="DE99" s="1">
        <f t="array" ref="DE99">IFERROR(INDEX(LCIA_Data,MATCH($AO$15&amp;DE$94,LCIA_Rows_B&amp;LCIA_Rows_C,0),MATCH(DE$93,LCIA_Columns,0)),0)*$AT99*$AI99*$BN$90</f>
        <v>0</v>
      </c>
      <c r="DF99" s="1">
        <f t="array" ref="DF99">IFERROR(INDEX(LCIA_Data,MATCH($AO$15&amp;DF$94,LCIA_Rows_B&amp;LCIA_Rows_C,0),MATCH(DF$93,LCIA_Columns,0)),0)*$AT99*$AI99*$BN$90</f>
        <v>0</v>
      </c>
      <c r="DG99" s="1">
        <f t="array" ref="DG99">IFERROR(INDEX(LCIA_Data,MATCH($AO$15&amp;DG$94,LCIA_Rows_B&amp;LCIA_Rows_C,0),MATCH(DG$93,LCIA_Columns,0)),0)*$AT99*$AI99*$BN$90</f>
        <v>0</v>
      </c>
      <c r="DH99" s="1">
        <f t="array" ref="DH99">IFERROR(INDEX(LCIA_Data,MATCH($AO$15&amp;DH$94,LCIA_Rows_B&amp;LCIA_Rows_C,0),MATCH(DH$93,LCIA_Columns,0)),0)*$AT99*$AI99*$BN$90</f>
        <v>0</v>
      </c>
      <c r="DI99" s="1">
        <f t="array" ref="DI99">IFERROR(INDEX(LCIA_Data,MATCH($AO$15&amp;DI$94,LCIA_Rows_B&amp;LCIA_Rows_C,0),MATCH(DI$93,LCIA_Columns,0)),0)*$AT99*$AI99*$BN$90</f>
        <v>0</v>
      </c>
      <c r="DJ99" s="1">
        <f t="array" ref="DJ99">IFERROR(INDEX(LCIA_Data,MATCH($AO$15&amp;DJ$94,LCIA_Rows_B&amp;LCIA_Rows_C,0),MATCH(DJ$93,LCIA_Columns,0)),0)*$AT99*$AI99*$BN$90</f>
        <v>0</v>
      </c>
      <c r="DK99" s="1">
        <f t="array" ref="DK99">IFERROR(INDEX(LCIA_Data,MATCH($AO$15&amp;DK$94,LCIA_Rows_B&amp;LCIA_Rows_C,0),MATCH(DK$93,LCIA_Columns,0)),0)*$AT99*$AI99*$BN$90</f>
        <v>0</v>
      </c>
      <c r="DL99" s="1">
        <f t="array" ref="DL99">IFERROR(INDEX(LCIA_Data,MATCH($AO$15&amp;DL$94,LCIA_Rows_B&amp;LCIA_Rows_C,0),MATCH(DL$93,LCIA_Columns,0)),0)*$AT99*$AI99*$BN$90</f>
        <v>0</v>
      </c>
      <c r="DM99" s="1">
        <f t="array" ref="DM99">IFERROR(INDEX(LCIA_Data,MATCH($AO$15&amp;DM$94,LCIA_Rows_B&amp;LCIA_Rows_C,0),MATCH(DM$93,LCIA_Columns,0)),0)*$AT99*$AI99*$BN$90</f>
        <v>0</v>
      </c>
      <c r="DN99" s="1">
        <f t="array" ref="DN99">IFERROR(INDEX(LCIA_Data,MATCH($AO$15&amp;DN$94,LCIA_Rows_B&amp;LCIA_Rows_C,0),MATCH(DN$93,LCIA_Columns,0)),0)*$AT99*$AI99*$BN$90</f>
        <v>0</v>
      </c>
      <c r="DO99" s="1">
        <f t="array" ref="DO99">IFERROR(INDEX(LCIA_Data,MATCH($AO$15&amp;DO$94,LCIA_Rows_B&amp;LCIA_Rows_C,0),MATCH(DO$93,LCIA_Columns,0)),0)*$AT99*$AI99*$BN$90</f>
        <v>0</v>
      </c>
      <c r="DP99" s="1">
        <f t="array" ref="DP99">IFERROR(INDEX(LCIA_Data,MATCH($AO$15&amp;DP$94,LCIA_Rows_B&amp;LCIA_Rows_C,0),MATCH(DP$93,LCIA_Columns,0)),0)*$AT99*$AI99*$BN$90</f>
        <v>0</v>
      </c>
      <c r="DQ99">
        <f t="shared" si="84"/>
        <v>0</v>
      </c>
      <c r="DR99">
        <f t="shared" si="84"/>
        <v>0</v>
      </c>
      <c r="DS99">
        <f t="shared" si="84"/>
        <v>0</v>
      </c>
      <c r="DT99">
        <f t="shared" si="84"/>
        <v>0</v>
      </c>
      <c r="DU99">
        <f t="shared" si="84"/>
        <v>0</v>
      </c>
      <c r="DV99">
        <f t="shared" si="84"/>
        <v>0</v>
      </c>
      <c r="DW99">
        <f t="shared" si="84"/>
        <v>0</v>
      </c>
      <c r="DX99">
        <f t="shared" si="84"/>
        <v>0</v>
      </c>
      <c r="DY99">
        <f t="shared" si="84"/>
        <v>0</v>
      </c>
      <c r="DZ99">
        <f t="shared" si="84"/>
        <v>0</v>
      </c>
      <c r="EA99">
        <f t="shared" si="84"/>
        <v>0</v>
      </c>
      <c r="EB99"/>
      <c r="EC99"/>
      <c r="ED99">
        <f t="shared" si="85"/>
        <v>0</v>
      </c>
    </row>
    <row r="100" spans="2:134" hidden="1">
      <c r="B100" s="53">
        <f t="shared" si="69"/>
        <v>0</v>
      </c>
      <c r="C100" s="26">
        <f t="shared" si="70"/>
        <v>4</v>
      </c>
      <c r="D100" s="41" t="s">
        <v>649</v>
      </c>
      <c r="E100" s="594">
        <f>IF('Plant Inputs'!$AT$22=0,0,'Plant Inputs'!$AV100/'Plant Inputs'!$AT$22)</f>
        <v>0</v>
      </c>
      <c r="F100" s="213" t="str">
        <f t="shared" si="71"/>
        <v>short ton/short ton</v>
      </c>
      <c r="G100" s="158">
        <f t="shared" si="86"/>
        <v>0</v>
      </c>
      <c r="H100" s="204" t="str">
        <f t="shared" si="72"/>
        <v>short ton</v>
      </c>
      <c r="I100" s="156">
        <f t="shared" ref="I100" si="90">IF($G$68=0,0,G100/$G$68)</f>
        <v>0</v>
      </c>
      <c r="J100"/>
      <c r="K100"/>
      <c r="L100"/>
      <c r="M100"/>
      <c r="N100"/>
      <c r="O100" s="12"/>
      <c r="P100"/>
      <c r="Q100"/>
      <c r="R100"/>
      <c r="S100"/>
      <c r="T100"/>
      <c r="X100" s="65">
        <f>'Plant Inputs'!$X100</f>
        <v>0</v>
      </c>
      <c r="Y100" s="216">
        <f>IF(AND($X100=2,'Plant Inputs'!$Y100=1),1,0)</f>
        <v>0</v>
      </c>
      <c r="Z100" s="216">
        <v>2</v>
      </c>
      <c r="AA100" s="216">
        <f>IF($Y100=0,0,IF('Plant Inputs'!J100="",0,'Plant Inputs'!J100))</f>
        <v>0</v>
      </c>
      <c r="AB100" s="216">
        <f>IF($Y100=0,0,IF('Plant Inputs'!K100="",0,'Plant Inputs'!K100))</f>
        <v>0</v>
      </c>
      <c r="AC100" s="216">
        <f>IF($Y100=0,0,IF('Plant Inputs'!L100="",0,'Plant Inputs'!L100))</f>
        <v>0</v>
      </c>
      <c r="AD100" s="216">
        <f>IF($Y100=0,0,IF('Plant Inputs'!M100="",0,'Plant Inputs'!M100))</f>
        <v>0</v>
      </c>
      <c r="AE100" s="217" t="str">
        <f>'Plant Inputs'!$N100</f>
        <v>mile</v>
      </c>
      <c r="AF100" s="217">
        <f t="shared" si="74"/>
        <v>1.6093473468862911</v>
      </c>
      <c r="AG100" s="216" t="str">
        <f t="shared" si="75"/>
        <v>km/mile</v>
      </c>
      <c r="AH100" s="216">
        <f t="shared" si="76"/>
        <v>0</v>
      </c>
      <c r="AI100" s="216">
        <f t="shared" si="76"/>
        <v>0</v>
      </c>
      <c r="AJ100" s="216">
        <f t="shared" si="76"/>
        <v>0</v>
      </c>
      <c r="AK100" s="216">
        <f t="shared" si="76"/>
        <v>0</v>
      </c>
      <c r="AL100" s="216"/>
      <c r="AM100" s="1" t="str">
        <f t="shared" si="77"/>
        <v>Non-Hazardous Waste to Landfill</v>
      </c>
      <c r="AN100" t="s">
        <v>127</v>
      </c>
      <c r="AO100">
        <f t="shared" si="78"/>
        <v>0</v>
      </c>
      <c r="AP100" s="1">
        <f t="shared" si="87"/>
        <v>0</v>
      </c>
      <c r="AQ100" s="164" t="str">
        <f t="shared" si="88"/>
        <v>short ton</v>
      </c>
      <c r="AR100" s="1">
        <f t="shared" si="79"/>
        <v>0.90718499588591606</v>
      </c>
      <c r="AS100" s="87" t="str">
        <f t="shared" si="89"/>
        <v>tonne/short ton</v>
      </c>
      <c r="AT100" s="87">
        <f t="shared" si="80"/>
        <v>0</v>
      </c>
      <c r="AU100" s="87">
        <f t="shared" si="81"/>
        <v>0</v>
      </c>
      <c r="AV100" s="87">
        <f t="shared" si="82"/>
        <v>0</v>
      </c>
      <c r="AW100" s="1" t="str">
        <f t="shared" si="83"/>
        <v>Non-Hazardous Waste to Landfill</v>
      </c>
      <c r="AX100" s="313">
        <f t="array" ref="AX100">IFERROR(INDEX(LCIA_Data,MATCH($AO$15&amp;AX$94,LCIA_Rows_B&amp;LCIA_Rows_C,0),MATCH($D100,LCIA_Columns,0)),0)*$AU100</f>
        <v>0</v>
      </c>
      <c r="AY100" s="313">
        <f t="array" ref="AY100">IFERROR(INDEX(LCIA_Data,MATCH($AO$15&amp;AY$94,LCIA_Rows_B&amp;LCIA_Rows_C,0),MATCH($D100,LCIA_Columns,0)),0)*$AU100</f>
        <v>0</v>
      </c>
      <c r="AZ100" s="313">
        <f t="array" ref="AZ100">IFERROR(INDEX(LCIA_Data,MATCH($AO$15&amp;AZ$94,LCIA_Rows_B&amp;LCIA_Rows_C,0),MATCH($D100,LCIA_Columns,0)),0)*$AU100</f>
        <v>0</v>
      </c>
      <c r="BA100" s="313">
        <f t="array" ref="BA100">IFERROR(INDEX(LCIA_Data,MATCH($AO$15&amp;BA$94,LCIA_Rows_B&amp;LCIA_Rows_C,0),MATCH($D100,LCIA_Columns,0)),0)*$AU100</f>
        <v>0</v>
      </c>
      <c r="BB100" s="313">
        <f t="array" ref="BB100">IFERROR(INDEX(LCIA_Data,MATCH($AO$15&amp;BB$94,LCIA_Rows_B&amp;LCIA_Rows_C,0),MATCH($D100,LCIA_Columns,0)),0)*$AU100</f>
        <v>0</v>
      </c>
      <c r="BC100" s="313">
        <f t="array" ref="BC100">IFERROR(INDEX(LCIA_Data,MATCH($AO$15&amp;BC$94,LCIA_Rows_B&amp;LCIA_Rows_C,0),MATCH($D100,LCIA_Columns,0)),0)*$AU100</f>
        <v>0</v>
      </c>
      <c r="BD100" s="313">
        <f t="array" ref="BD100">IFERROR(INDEX(LCIA_Data,MATCH($AO$15&amp;BD$94,LCIA_Rows_B&amp;LCIA_Rows_C,0),MATCH($D100,LCIA_Columns,0)),0)*$AU100</f>
        <v>0</v>
      </c>
      <c r="BE100" s="313">
        <f t="array" ref="BE100">IFERROR(INDEX(LCIA_Data,MATCH($AO$15&amp;BE$94,LCIA_Rows_B&amp;LCIA_Rows_C,0),MATCH($D100,LCIA_Columns,0)),0)*$AU100</f>
        <v>0</v>
      </c>
      <c r="BF100" s="313">
        <f t="array" ref="BF100">IFERROR(INDEX(LCIA_Data,MATCH($AO$15&amp;BF$94,LCIA_Rows_B&amp;LCIA_Rows_C,0),MATCH($D100,LCIA_Columns,0)),0)*$AU100</f>
        <v>0</v>
      </c>
      <c r="BG100" s="313">
        <f t="array" ref="BG100">IFERROR(INDEX(LCIA_Data,MATCH($AO$15&amp;BG$94,LCIA_Rows_B&amp;LCIA_Rows_C,0),MATCH($D100,LCIA_Columns,0)),0)*$AU100</f>
        <v>0</v>
      </c>
      <c r="BH100" s="313">
        <f t="array" ref="BH100">IFERROR(INDEX(LCIA_Data,MATCH($AO$15&amp;BH$94,LCIA_Rows_B&amp;LCIA_Rows_C,0),MATCH($D100,LCIA_Columns,0)),0)*$AU100</f>
        <v>0</v>
      </c>
      <c r="BI100" s="313">
        <f t="array" ref="BI100">IFERROR(INDEX(LCIA_Data,MATCH($AO$15&amp;BI$94,LCIA_Rows_B&amp;LCIA_Rows_C,0),MATCH($D100,LCIA_Columns,0)),0)*$AU100</f>
        <v>0</v>
      </c>
      <c r="BJ100" s="313">
        <f t="array" ref="BJ100">IFERROR(INDEX(LCIA_Data,MATCH($AO$15&amp;BJ$94,LCIA_Rows_B&amp;LCIA_Rows_C,0),MATCH($D100,LCIA_Columns,0)),0)*$AU100</f>
        <v>0</v>
      </c>
      <c r="BK100" s="313">
        <f t="array" ref="BK100">IFERROR(INDEX(LCIA_Data,MATCH($AO$15&amp;BK$94,LCIA_Rows_B&amp;LCIA_Rows_C,0),MATCH($D100,LCIA_Columns,0)),0)*$AU100</f>
        <v>0</v>
      </c>
      <c r="BM100" s="1">
        <f t="array" ref="BM100">IFERROR(INDEX(LCIA_Data,MATCH($AO$15&amp;BM$94,LCIA_Rows_B&amp;LCIA_Rows_C,0),MATCH(BM$93,LCIA_Columns,0)),0)*$AT100*$AH100*$BN$90</f>
        <v>0</v>
      </c>
      <c r="BN100" s="1">
        <f t="array" ref="BN100">IFERROR(INDEX(LCIA_Data,MATCH($AO$15&amp;BN$94,LCIA_Rows_B&amp;LCIA_Rows_C,0),MATCH(BN$93,LCIA_Columns,0)),0)*$AT100*$AH100*$BN$90</f>
        <v>0</v>
      </c>
      <c r="BO100" s="1">
        <f t="array" ref="BO100">IFERROR(INDEX(LCIA_Data,MATCH($AO$15&amp;BO$94,LCIA_Rows_B&amp;LCIA_Rows_C,0),MATCH(BO$93,LCIA_Columns,0)),0)*$AT100*$AH100*$BN$90</f>
        <v>0</v>
      </c>
      <c r="BP100" s="1">
        <f t="array" ref="BP100">IFERROR(INDEX(LCIA_Data,MATCH($AO$15&amp;BP$94,LCIA_Rows_B&amp;LCIA_Rows_C,0),MATCH(BP$93,LCIA_Columns,0)),0)*$AT100*$AH100*$BN$90</f>
        <v>0</v>
      </c>
      <c r="BQ100" s="1">
        <f t="array" ref="BQ100">IFERROR(INDEX(LCIA_Data,MATCH($AO$15&amp;BQ$94,LCIA_Rows_B&amp;LCIA_Rows_C,0),MATCH(BQ$93,LCIA_Columns,0)),0)*$AT100*$AH100*$BN$90</f>
        <v>0</v>
      </c>
      <c r="BR100" s="1">
        <f t="array" ref="BR100">IFERROR(INDEX(LCIA_Data,MATCH($AO$15&amp;BR$94,LCIA_Rows_B&amp;LCIA_Rows_C,0),MATCH(BR$93,LCIA_Columns,0)),0)*$AT100*$AH100*$BN$90</f>
        <v>0</v>
      </c>
      <c r="BS100" s="1">
        <f t="array" ref="BS100">IFERROR(INDEX(LCIA_Data,MATCH($AO$15&amp;BS$94,LCIA_Rows_B&amp;LCIA_Rows_C,0),MATCH(BS$93,LCIA_Columns,0)),0)*$AT100*$AH100*$BN$90</f>
        <v>0</v>
      </c>
      <c r="BT100" s="1">
        <f t="array" ref="BT100">IFERROR(INDEX(LCIA_Data,MATCH($AO$15&amp;BT$94,LCIA_Rows_B&amp;LCIA_Rows_C,0),MATCH(BT$93,LCIA_Columns,0)),0)*$AT100*$AH100*$BN$90</f>
        <v>0</v>
      </c>
      <c r="BU100" s="1">
        <f t="array" ref="BU100">IFERROR(INDEX(LCIA_Data,MATCH($AO$15&amp;BU$94,LCIA_Rows_B&amp;LCIA_Rows_C,0),MATCH(BU$93,LCIA_Columns,0)),0)*$AT100*$AH100*$BN$90</f>
        <v>0</v>
      </c>
      <c r="BV100" s="1">
        <f t="array" ref="BV100">IFERROR(INDEX(LCIA_Data,MATCH($AO$15&amp;BV$94,LCIA_Rows_B&amp;LCIA_Rows_C,0),MATCH(BV$93,LCIA_Columns,0)),0)*$AT100*$AH100*$BN$90</f>
        <v>0</v>
      </c>
      <c r="BW100" s="1">
        <f t="array" ref="BW100">IFERROR(INDEX(LCIA_Data,MATCH($AO$15&amp;BW$94,LCIA_Rows_B&amp;LCIA_Rows_C,0),MATCH(BW$93,LCIA_Columns,0)),0)*$AT100*$AH100*$BN$90</f>
        <v>0</v>
      </c>
      <c r="BX100" s="1">
        <f t="array" ref="BX100">IFERROR(INDEX(LCIA_Data,MATCH($AO$15&amp;BX$94,LCIA_Rows_B&amp;LCIA_Rows_C,0),MATCH(BX$93,LCIA_Columns,0)),0)*$AT100*$AH100*$BN$90</f>
        <v>0</v>
      </c>
      <c r="BY100" s="1">
        <f t="array" ref="BY100">IFERROR(INDEX(LCIA_Data,MATCH($AO$15&amp;BY$94,LCIA_Rows_B&amp;LCIA_Rows_C,0),MATCH(BY$93,LCIA_Columns,0)),0)*$AT100*$AH100*$BN$90</f>
        <v>0</v>
      </c>
      <c r="BZ100" s="1">
        <f t="array" ref="BZ100">IFERROR(INDEX(LCIA_Data,MATCH($AO$15&amp;BZ$94,LCIA_Rows_B&amp;LCIA_Rows_C,0),MATCH(BZ$93,LCIA_Columns,0)),0)*$AT100*$AH100*$BN$90</f>
        <v>0</v>
      </c>
      <c r="CA100" s="1">
        <f t="array" ref="CA100">IFERROR(INDEX(LCIA_Data,MATCH($AO$15&amp;CA$94,LCIA_Rows_B&amp;LCIA_Rows_C,0),MATCH(CA$93,LCIA_Columns,0)),0)*$AT100*$AI100*$BN$90</f>
        <v>0</v>
      </c>
      <c r="CB100" s="1">
        <f t="array" ref="CB100">IFERROR(INDEX(LCIA_Data,MATCH($AO$15&amp;CB$94,LCIA_Rows_B&amp;LCIA_Rows_C,0),MATCH(CB$93,LCIA_Columns,0)),0)*$AT100*$AI100*$BN$90</f>
        <v>0</v>
      </c>
      <c r="CC100" s="1">
        <f t="array" ref="CC100">IFERROR(INDEX(LCIA_Data,MATCH($AO$15&amp;CC$94,LCIA_Rows_B&amp;LCIA_Rows_C,0),MATCH(CC$93,LCIA_Columns,0)),0)*$AT100*$AI100*$BN$90</f>
        <v>0</v>
      </c>
      <c r="CD100" s="1">
        <f t="array" ref="CD100">IFERROR(INDEX(LCIA_Data,MATCH($AO$15&amp;CD$94,LCIA_Rows_B&amp;LCIA_Rows_C,0),MATCH(CD$93,LCIA_Columns,0)),0)*$AT100*$AI100*$BN$90</f>
        <v>0</v>
      </c>
      <c r="CE100" s="1">
        <f t="array" ref="CE100">IFERROR(INDEX(LCIA_Data,MATCH($AO$15&amp;CE$94,LCIA_Rows_B&amp;LCIA_Rows_C,0),MATCH(CE$93,LCIA_Columns,0)),0)*$AT100*$AI100*$BN$90</f>
        <v>0</v>
      </c>
      <c r="CF100" s="1">
        <f t="array" ref="CF100">IFERROR(INDEX(LCIA_Data,MATCH($AO$15&amp;CF$94,LCIA_Rows_B&amp;LCIA_Rows_C,0),MATCH(CF$93,LCIA_Columns,0)),0)*$AT100*$AI100*$BN$90</f>
        <v>0</v>
      </c>
      <c r="CG100" s="1">
        <f t="array" ref="CG100">IFERROR(INDEX(LCIA_Data,MATCH($AO$15&amp;CG$94,LCIA_Rows_B&amp;LCIA_Rows_C,0),MATCH(CG$93,LCIA_Columns,0)),0)*$AT100*$AI100*$BN$90</f>
        <v>0</v>
      </c>
      <c r="CH100" s="1">
        <f t="array" ref="CH100">IFERROR(INDEX(LCIA_Data,MATCH($AO$15&amp;CH$94,LCIA_Rows_B&amp;LCIA_Rows_C,0),MATCH(CH$93,LCIA_Columns,0)),0)*$AT100*$AI100*$BN$90</f>
        <v>0</v>
      </c>
      <c r="CI100" s="1">
        <f t="array" ref="CI100">IFERROR(INDEX(LCIA_Data,MATCH($AO$15&amp;CI$94,LCIA_Rows_B&amp;LCIA_Rows_C,0),MATCH(CI$93,LCIA_Columns,0)),0)*$AT100*$AI100*$BN$90</f>
        <v>0</v>
      </c>
      <c r="CJ100" s="1">
        <f t="array" ref="CJ100">IFERROR(INDEX(LCIA_Data,MATCH($AO$15&amp;CJ$94,LCIA_Rows_B&amp;LCIA_Rows_C,0),MATCH(CJ$93,LCIA_Columns,0)),0)*$AT100*$AI100*$BN$90</f>
        <v>0</v>
      </c>
      <c r="CK100" s="1">
        <f t="array" ref="CK100">IFERROR(INDEX(LCIA_Data,MATCH($AO$15&amp;CK$94,LCIA_Rows_B&amp;LCIA_Rows_C,0),MATCH(CK$93,LCIA_Columns,0)),0)*$AT100*$AI100*$BN$90</f>
        <v>0</v>
      </c>
      <c r="CL100" s="1">
        <f t="array" ref="CL100">IFERROR(INDEX(LCIA_Data,MATCH($AO$15&amp;CL$94,LCIA_Rows_B&amp;LCIA_Rows_C,0),MATCH(CL$93,LCIA_Columns,0)),0)*$AT100*$AI100*$BN$90</f>
        <v>0</v>
      </c>
      <c r="CM100" s="1">
        <f t="array" ref="CM100">IFERROR(INDEX(LCIA_Data,MATCH($AO$15&amp;CM$94,LCIA_Rows_B&amp;LCIA_Rows_C,0),MATCH(CM$93,LCIA_Columns,0)),0)*$AT100*$AI100*$BN$90</f>
        <v>0</v>
      </c>
      <c r="CN100" s="1">
        <f t="array" ref="CN100">IFERROR(INDEX(LCIA_Data,MATCH($AO$15&amp;CN$94,LCIA_Rows_B&amp;LCIA_Rows_C,0),MATCH(CN$93,LCIA_Columns,0)),0)*$AT100*$AI100*$BN$90</f>
        <v>0</v>
      </c>
      <c r="CO100" s="1">
        <f t="array" ref="CO100">IFERROR(INDEX(LCIA_Data,MATCH($AO$15&amp;CO$94,LCIA_Rows_B&amp;LCIA_Rows_C,0),MATCH(CO$93,LCIA_Columns,0)),0)*$AT100*$AI100*$BN$90</f>
        <v>0</v>
      </c>
      <c r="CP100" s="1">
        <f t="array" ref="CP100">IFERROR(INDEX(LCIA_Data,MATCH($AO$15&amp;CP$94,LCIA_Rows_B&amp;LCIA_Rows_C,0),MATCH(CP$93,LCIA_Columns,0)),0)*$AT100*$AI100*$BN$90</f>
        <v>0</v>
      </c>
      <c r="CQ100" s="1">
        <f t="array" ref="CQ100">IFERROR(INDEX(LCIA_Data,MATCH($AO$15&amp;CQ$94,LCIA_Rows_B&amp;LCIA_Rows_C,0),MATCH(CQ$93,LCIA_Columns,0)),0)*$AT100*$AI100*$BN$90</f>
        <v>0</v>
      </c>
      <c r="CR100" s="1">
        <f t="array" ref="CR100">IFERROR(INDEX(LCIA_Data,MATCH($AO$15&amp;CR$94,LCIA_Rows_B&amp;LCIA_Rows_C,0),MATCH(CR$93,LCIA_Columns,0)),0)*$AT100*$AI100*$BN$90</f>
        <v>0</v>
      </c>
      <c r="CS100" s="1">
        <f t="array" ref="CS100">IFERROR(INDEX(LCIA_Data,MATCH($AO$15&amp;CS$94,LCIA_Rows_B&amp;LCIA_Rows_C,0),MATCH(CS$93,LCIA_Columns,0)),0)*$AT100*$AI100*$BN$90</f>
        <v>0</v>
      </c>
      <c r="CT100" s="1">
        <f t="array" ref="CT100">IFERROR(INDEX(LCIA_Data,MATCH($AO$15&amp;CT$94,LCIA_Rows_B&amp;LCIA_Rows_C,0),MATCH(CT$93,LCIA_Columns,0)),0)*$AT100*$AI100*$BN$90</f>
        <v>0</v>
      </c>
      <c r="CU100" s="1">
        <f t="array" ref="CU100">IFERROR(INDEX(LCIA_Data,MATCH($AO$15&amp;CU$94,LCIA_Rows_B&amp;LCIA_Rows_C,0),MATCH(CU$93,LCIA_Columns,0)),0)*$AT100*$AI100*$BN$90</f>
        <v>0</v>
      </c>
      <c r="CV100" s="1">
        <f t="array" ref="CV100">IFERROR(INDEX(LCIA_Data,MATCH($AO$15&amp;CV$94,LCIA_Rows_B&amp;LCIA_Rows_C,0),MATCH(CV$93,LCIA_Columns,0)),0)*$AT100*$AI100*$BN$90</f>
        <v>0</v>
      </c>
      <c r="CW100" s="1">
        <f t="array" ref="CW100">IFERROR(INDEX(LCIA_Data,MATCH($AO$15&amp;CW$94,LCIA_Rows_B&amp;LCIA_Rows_C,0),MATCH(CW$93,LCIA_Columns,0)),0)*$AT100*$AI100*$BN$90</f>
        <v>0</v>
      </c>
      <c r="CX100" s="1">
        <f t="array" ref="CX100">IFERROR(INDEX(LCIA_Data,MATCH($AO$15&amp;CX$94,LCIA_Rows_B&amp;LCIA_Rows_C,0),MATCH(CX$93,LCIA_Columns,0)),0)*$AT100*$AI100*$BN$90</f>
        <v>0</v>
      </c>
      <c r="CY100" s="1">
        <f t="array" ref="CY100">IFERROR(INDEX(LCIA_Data,MATCH($AO$15&amp;CY$94,LCIA_Rows_B&amp;LCIA_Rows_C,0),MATCH(CY$93,LCIA_Columns,0)),0)*$AT100*$AI100*$BN$90</f>
        <v>0</v>
      </c>
      <c r="CZ100" s="1">
        <f t="array" ref="CZ100">IFERROR(INDEX(LCIA_Data,MATCH($AO$15&amp;CZ$94,LCIA_Rows_B&amp;LCIA_Rows_C,0),MATCH(CZ$93,LCIA_Columns,0)),0)*$AT100*$AI100*$BN$90</f>
        <v>0</v>
      </c>
      <c r="DA100" s="1">
        <f t="array" ref="DA100">IFERROR(INDEX(LCIA_Data,MATCH($AO$15&amp;DA$94,LCIA_Rows_B&amp;LCIA_Rows_C,0),MATCH(DA$93,LCIA_Columns,0)),0)*$AT100*$AI100*$BN$90</f>
        <v>0</v>
      </c>
      <c r="DB100" s="1">
        <f t="array" ref="DB100">IFERROR(INDEX(LCIA_Data,MATCH($AO$15&amp;DB$94,LCIA_Rows_B&amp;LCIA_Rows_C,0),MATCH(DB$93,LCIA_Columns,0)),0)*$AT100*$AI100*$BN$90</f>
        <v>0</v>
      </c>
      <c r="DC100" s="1">
        <f t="array" ref="DC100">IFERROR(INDEX(LCIA_Data,MATCH($AO$15&amp;DC$94,LCIA_Rows_B&amp;LCIA_Rows_C,0),MATCH(DC$93,LCIA_Columns,0)),0)*$AT100*$AI100*$BN$90</f>
        <v>0</v>
      </c>
      <c r="DD100" s="1">
        <f t="array" ref="DD100">IFERROR(INDEX(LCIA_Data,MATCH($AO$15&amp;DD$94,LCIA_Rows_B&amp;LCIA_Rows_C,0),MATCH(DD$93,LCIA_Columns,0)),0)*$AT100*$AI100*$BN$90</f>
        <v>0</v>
      </c>
      <c r="DE100" s="1">
        <f t="array" ref="DE100">IFERROR(INDEX(LCIA_Data,MATCH($AO$15&amp;DE$94,LCIA_Rows_B&amp;LCIA_Rows_C,0),MATCH(DE$93,LCIA_Columns,0)),0)*$AT100*$AI100*$BN$90</f>
        <v>0</v>
      </c>
      <c r="DF100" s="1">
        <f t="array" ref="DF100">IFERROR(INDEX(LCIA_Data,MATCH($AO$15&amp;DF$94,LCIA_Rows_B&amp;LCIA_Rows_C,0),MATCH(DF$93,LCIA_Columns,0)),0)*$AT100*$AI100*$BN$90</f>
        <v>0</v>
      </c>
      <c r="DG100" s="1">
        <f t="array" ref="DG100">IFERROR(INDEX(LCIA_Data,MATCH($AO$15&amp;DG$94,LCIA_Rows_B&amp;LCIA_Rows_C,0),MATCH(DG$93,LCIA_Columns,0)),0)*$AT100*$AI100*$BN$90</f>
        <v>0</v>
      </c>
      <c r="DH100" s="1">
        <f t="array" ref="DH100">IFERROR(INDEX(LCIA_Data,MATCH($AO$15&amp;DH$94,LCIA_Rows_B&amp;LCIA_Rows_C,0),MATCH(DH$93,LCIA_Columns,0)),0)*$AT100*$AI100*$BN$90</f>
        <v>0</v>
      </c>
      <c r="DI100" s="1">
        <f t="array" ref="DI100">IFERROR(INDEX(LCIA_Data,MATCH($AO$15&amp;DI$94,LCIA_Rows_B&amp;LCIA_Rows_C,0),MATCH(DI$93,LCIA_Columns,0)),0)*$AT100*$AI100*$BN$90</f>
        <v>0</v>
      </c>
      <c r="DJ100" s="1">
        <f t="array" ref="DJ100">IFERROR(INDEX(LCIA_Data,MATCH($AO$15&amp;DJ$94,LCIA_Rows_B&amp;LCIA_Rows_C,0),MATCH(DJ$93,LCIA_Columns,0)),0)*$AT100*$AI100*$BN$90</f>
        <v>0</v>
      </c>
      <c r="DK100" s="1">
        <f t="array" ref="DK100">IFERROR(INDEX(LCIA_Data,MATCH($AO$15&amp;DK$94,LCIA_Rows_B&amp;LCIA_Rows_C,0),MATCH(DK$93,LCIA_Columns,0)),0)*$AT100*$AI100*$BN$90</f>
        <v>0</v>
      </c>
      <c r="DL100" s="1">
        <f t="array" ref="DL100">IFERROR(INDEX(LCIA_Data,MATCH($AO$15&amp;DL$94,LCIA_Rows_B&amp;LCIA_Rows_C,0),MATCH(DL$93,LCIA_Columns,0)),0)*$AT100*$AI100*$BN$90</f>
        <v>0</v>
      </c>
      <c r="DM100" s="1">
        <f t="array" ref="DM100">IFERROR(INDEX(LCIA_Data,MATCH($AO$15&amp;DM$94,LCIA_Rows_B&amp;LCIA_Rows_C,0),MATCH(DM$93,LCIA_Columns,0)),0)*$AT100*$AI100*$BN$90</f>
        <v>0</v>
      </c>
      <c r="DN100" s="1">
        <f t="array" ref="DN100">IFERROR(INDEX(LCIA_Data,MATCH($AO$15&amp;DN$94,LCIA_Rows_B&amp;LCIA_Rows_C,0),MATCH(DN$93,LCIA_Columns,0)),0)*$AT100*$AI100*$BN$90</f>
        <v>0</v>
      </c>
      <c r="DO100" s="1">
        <f t="array" ref="DO100">IFERROR(INDEX(LCIA_Data,MATCH($AO$15&amp;DO$94,LCIA_Rows_B&amp;LCIA_Rows_C,0),MATCH(DO$93,LCIA_Columns,0)),0)*$AT100*$AI100*$BN$90</f>
        <v>0</v>
      </c>
      <c r="DP100" s="1">
        <f t="array" ref="DP100">IFERROR(INDEX(LCIA_Data,MATCH($AO$15&amp;DP$94,LCIA_Rows_B&amp;LCIA_Rows_C,0),MATCH(DP$93,LCIA_Columns,0)),0)*$AT100*$AI100*$BN$90</f>
        <v>0</v>
      </c>
      <c r="DQ100">
        <f t="shared" si="84"/>
        <v>0</v>
      </c>
      <c r="DR100">
        <f t="shared" si="84"/>
        <v>0</v>
      </c>
      <c r="DS100">
        <f t="shared" si="84"/>
        <v>0</v>
      </c>
      <c r="DT100">
        <f t="shared" si="84"/>
        <v>0</v>
      </c>
      <c r="DU100">
        <f t="shared" si="84"/>
        <v>0</v>
      </c>
      <c r="DV100">
        <f t="shared" si="84"/>
        <v>0</v>
      </c>
      <c r="DW100">
        <f t="shared" si="84"/>
        <v>0</v>
      </c>
      <c r="DX100">
        <f t="shared" si="84"/>
        <v>0</v>
      </c>
      <c r="DY100">
        <f t="shared" si="84"/>
        <v>0</v>
      </c>
      <c r="DZ100">
        <f t="shared" si="84"/>
        <v>0</v>
      </c>
      <c r="EA100">
        <f t="shared" si="84"/>
        <v>0</v>
      </c>
      <c r="EB100"/>
      <c r="EC100"/>
      <c r="ED100">
        <f t="shared" si="85"/>
        <v>0</v>
      </c>
    </row>
    <row r="101" spans="2:134" hidden="1">
      <c r="B101" s="53">
        <f t="shared" si="69"/>
        <v>0</v>
      </c>
      <c r="C101" s="26">
        <f t="shared" si="70"/>
        <v>5</v>
      </c>
      <c r="D101" s="41" t="s">
        <v>650</v>
      </c>
      <c r="E101" s="594">
        <f>IF('Plant Inputs'!$AT$22=0,0,'Plant Inputs'!$AV101/'Plant Inputs'!$AT$22)</f>
        <v>0</v>
      </c>
      <c r="F101" s="213" t="str">
        <f t="shared" si="71"/>
        <v>short ton/short ton</v>
      </c>
      <c r="G101" s="158">
        <f t="shared" si="86"/>
        <v>0</v>
      </c>
      <c r="H101" s="204" t="str">
        <f t="shared" si="72"/>
        <v>short ton</v>
      </c>
      <c r="I101" s="156">
        <f>IF($G$68=0,0,G101/$G$68)</f>
        <v>0</v>
      </c>
      <c r="J101"/>
      <c r="K101"/>
      <c r="L101"/>
      <c r="M101"/>
      <c r="N101"/>
      <c r="O101" s="12"/>
      <c r="P101"/>
      <c r="Q101"/>
      <c r="R101"/>
      <c r="S101"/>
      <c r="T101"/>
      <c r="X101" s="65">
        <f>'Plant Inputs'!$X101</f>
        <v>0</v>
      </c>
      <c r="Y101" s="216">
        <f>IF(AND($X101=2,'Plant Inputs'!$Y101=1),1,0)</f>
        <v>0</v>
      </c>
      <c r="Z101" s="216">
        <v>2</v>
      </c>
      <c r="AA101" s="216">
        <f>IF($Y101=0,0,IF('Plant Inputs'!J101="",0,'Plant Inputs'!J101))</f>
        <v>0</v>
      </c>
      <c r="AB101" s="216">
        <f>IF($Y101=0,0,IF('Plant Inputs'!K101="",0,'Plant Inputs'!K101))</f>
        <v>0</v>
      </c>
      <c r="AC101" s="216">
        <f>IF($Y101=0,0,IF('Plant Inputs'!L101="",0,'Plant Inputs'!L101))</f>
        <v>0</v>
      </c>
      <c r="AD101" s="216">
        <f>IF($Y101=0,0,IF('Plant Inputs'!M101="",0,'Plant Inputs'!M101))</f>
        <v>0</v>
      </c>
      <c r="AE101" s="217" t="str">
        <f>'Plant Inputs'!$N101</f>
        <v>mile</v>
      </c>
      <c r="AF101" s="217">
        <f t="shared" si="74"/>
        <v>1.6093473468862911</v>
      </c>
      <c r="AG101" s="216" t="str">
        <f t="shared" si="75"/>
        <v>km/mile</v>
      </c>
      <c r="AH101" s="216">
        <f>AA101*$AF101</f>
        <v>0</v>
      </c>
      <c r="AI101" s="216">
        <f>AB101*$AF101</f>
        <v>0</v>
      </c>
      <c r="AJ101" s="216">
        <f>AC101*$AF101</f>
        <v>0</v>
      </c>
      <c r="AK101" s="216">
        <f>AD101*$AF101</f>
        <v>0</v>
      </c>
      <c r="AL101" s="216"/>
      <c r="AM101" s="1" t="str">
        <f t="shared" si="77"/>
        <v>Non-Hazardous Waste to Recycling Facility</v>
      </c>
      <c r="AN101" t="s">
        <v>127</v>
      </c>
      <c r="AO101">
        <f t="shared" si="78"/>
        <v>0</v>
      </c>
      <c r="AP101" s="1">
        <f t="shared" si="87"/>
        <v>0</v>
      </c>
      <c r="AQ101" s="164" t="str">
        <f t="shared" si="88"/>
        <v>short ton</v>
      </c>
      <c r="AR101" s="1">
        <f t="shared" si="79"/>
        <v>0.90718499588591606</v>
      </c>
      <c r="AS101" s="87" t="str">
        <f t="shared" si="89"/>
        <v>tonne/short ton</v>
      </c>
      <c r="AT101" s="87">
        <f t="shared" si="80"/>
        <v>0</v>
      </c>
      <c r="AU101" s="87">
        <f t="shared" si="81"/>
        <v>0</v>
      </c>
      <c r="AV101" s="87">
        <f t="shared" si="82"/>
        <v>0</v>
      </c>
      <c r="AW101" s="1" t="str">
        <f t="shared" si="83"/>
        <v>Non-Hazardous Waste to Recycling Facility</v>
      </c>
      <c r="AX101" s="313">
        <f t="array" ref="AX101">IFERROR(INDEX(LCIA_Data,MATCH($AO$15&amp;AX$94,LCIA_Rows_B&amp;LCIA_Rows_C,0),MATCH($D101,LCIA_Columns,0)),0)*$AU101</f>
        <v>0</v>
      </c>
      <c r="AY101" s="313">
        <f t="array" ref="AY101">IFERROR(INDEX(LCIA_Data,MATCH($AO$15&amp;AY$94,LCIA_Rows_B&amp;LCIA_Rows_C,0),MATCH($D101,LCIA_Columns,0)),0)*$AU101</f>
        <v>0</v>
      </c>
      <c r="AZ101" s="313">
        <f t="array" ref="AZ101">IFERROR(INDEX(LCIA_Data,MATCH($AO$15&amp;AZ$94,LCIA_Rows_B&amp;LCIA_Rows_C,0),MATCH($D101,LCIA_Columns,0)),0)*$AU101</f>
        <v>0</v>
      </c>
      <c r="BA101" s="313">
        <f t="array" ref="BA101">IFERROR(INDEX(LCIA_Data,MATCH($AO$15&amp;BA$94,LCIA_Rows_B&amp;LCIA_Rows_C,0),MATCH($D101,LCIA_Columns,0)),0)*$AU101</f>
        <v>0</v>
      </c>
      <c r="BB101" s="313">
        <f t="array" ref="BB101">IFERROR(INDEX(LCIA_Data,MATCH($AO$15&amp;BB$94,LCIA_Rows_B&amp;LCIA_Rows_C,0),MATCH($D101,LCIA_Columns,0)),0)*$AU101</f>
        <v>0</v>
      </c>
      <c r="BC101" s="313">
        <f t="array" ref="BC101">IFERROR(INDEX(LCIA_Data,MATCH($AO$15&amp;BC$94,LCIA_Rows_B&amp;LCIA_Rows_C,0),MATCH($D101,LCIA_Columns,0)),0)*$AU101</f>
        <v>0</v>
      </c>
      <c r="BD101" s="313">
        <f t="array" ref="BD101">IFERROR(INDEX(LCIA_Data,MATCH($AO$15&amp;BD$94,LCIA_Rows_B&amp;LCIA_Rows_C,0),MATCH($D101,LCIA_Columns,0)),0)*$AU101</f>
        <v>0</v>
      </c>
      <c r="BE101" s="313">
        <f t="array" ref="BE101">IFERROR(INDEX(LCIA_Data,MATCH($AO$15&amp;BE$94,LCIA_Rows_B&amp;LCIA_Rows_C,0),MATCH($D101,LCIA_Columns,0)),0)*$AU101</f>
        <v>0</v>
      </c>
      <c r="BF101" s="313">
        <f t="array" ref="BF101">IFERROR(INDEX(LCIA_Data,MATCH($AO$15&amp;BF$94,LCIA_Rows_B&amp;LCIA_Rows_C,0),MATCH($D101,LCIA_Columns,0)),0)*$AU101</f>
        <v>0</v>
      </c>
      <c r="BG101" s="313">
        <f t="array" ref="BG101">IFERROR(INDEX(LCIA_Data,MATCH($AO$15&amp;BG$94,LCIA_Rows_B&amp;LCIA_Rows_C,0),MATCH($D101,LCIA_Columns,0)),0)*$AU101</f>
        <v>0</v>
      </c>
      <c r="BH101" s="313">
        <f t="array" ref="BH101">IFERROR(INDEX(LCIA_Data,MATCH($AO$15&amp;BH$94,LCIA_Rows_B&amp;LCIA_Rows_C,0),MATCH($D101,LCIA_Columns,0)),0)*$AU101</f>
        <v>0</v>
      </c>
      <c r="BI101" s="313">
        <f t="array" ref="BI101">IFERROR(INDEX(LCIA_Data,MATCH($AO$15&amp;BI$94,LCIA_Rows_B&amp;LCIA_Rows_C,0),MATCH($D101,LCIA_Columns,0)),0)*$AU101</f>
        <v>0</v>
      </c>
      <c r="BJ101" s="313">
        <f t="array" ref="BJ101">IFERROR(INDEX(LCIA_Data,MATCH($AO$15&amp;BJ$94,LCIA_Rows_B&amp;LCIA_Rows_C,0),MATCH($D101,LCIA_Columns,0)),0)*$AU101</f>
        <v>0</v>
      </c>
      <c r="BK101" s="313">
        <f t="array" ref="BK101">IFERROR(INDEX(LCIA_Data,MATCH($AO$15&amp;BK$94,LCIA_Rows_B&amp;LCIA_Rows_C,0),MATCH($D101,LCIA_Columns,0)),0)*$AU101</f>
        <v>0</v>
      </c>
      <c r="BM101" s="1">
        <f t="array" ref="BM101">IFERROR(INDEX(LCIA_Data,MATCH($AO$15&amp;BM$94,LCIA_Rows_B&amp;LCIA_Rows_C,0),MATCH(BM$93,LCIA_Columns,0)),0)*$AT101*$AH101*$BN$90</f>
        <v>0</v>
      </c>
      <c r="BN101" s="1">
        <f t="array" ref="BN101">IFERROR(INDEX(LCIA_Data,MATCH($AO$15&amp;BN$94,LCIA_Rows_B&amp;LCIA_Rows_C,0),MATCH(BN$93,LCIA_Columns,0)),0)*$AT101*$AH101*$BN$90</f>
        <v>0</v>
      </c>
      <c r="BO101" s="1">
        <f t="array" ref="BO101">IFERROR(INDEX(LCIA_Data,MATCH($AO$15&amp;BO$94,LCIA_Rows_B&amp;LCIA_Rows_C,0),MATCH(BO$93,LCIA_Columns,0)),0)*$AT101*$AH101*$BN$90</f>
        <v>0</v>
      </c>
      <c r="BP101" s="1">
        <f t="array" ref="BP101">IFERROR(INDEX(LCIA_Data,MATCH($AO$15&amp;BP$94,LCIA_Rows_B&amp;LCIA_Rows_C,0),MATCH(BP$93,LCIA_Columns,0)),0)*$AT101*$AH101*$BN$90</f>
        <v>0</v>
      </c>
      <c r="BQ101" s="1">
        <f t="array" ref="BQ101">IFERROR(INDEX(LCIA_Data,MATCH($AO$15&amp;BQ$94,LCIA_Rows_B&amp;LCIA_Rows_C,0),MATCH(BQ$93,LCIA_Columns,0)),0)*$AT101*$AH101*$BN$90</f>
        <v>0</v>
      </c>
      <c r="BR101" s="1">
        <f t="array" ref="BR101">IFERROR(INDEX(LCIA_Data,MATCH($AO$15&amp;BR$94,LCIA_Rows_B&amp;LCIA_Rows_C,0),MATCH(BR$93,LCIA_Columns,0)),0)*$AT101*$AH101*$BN$90</f>
        <v>0</v>
      </c>
      <c r="BS101" s="1">
        <f t="array" ref="BS101">IFERROR(INDEX(LCIA_Data,MATCH($AO$15&amp;BS$94,LCIA_Rows_B&amp;LCIA_Rows_C,0),MATCH(BS$93,LCIA_Columns,0)),0)*$AT101*$AH101*$BN$90</f>
        <v>0</v>
      </c>
      <c r="BT101" s="1">
        <f t="array" ref="BT101">IFERROR(INDEX(LCIA_Data,MATCH($AO$15&amp;BT$94,LCIA_Rows_B&amp;LCIA_Rows_C,0),MATCH(BT$93,LCIA_Columns,0)),0)*$AT101*$AH101*$BN$90</f>
        <v>0</v>
      </c>
      <c r="BU101" s="1">
        <f t="array" ref="BU101">IFERROR(INDEX(LCIA_Data,MATCH($AO$15&amp;BU$94,LCIA_Rows_B&amp;LCIA_Rows_C,0),MATCH(BU$93,LCIA_Columns,0)),0)*$AT101*$AH101*$BN$90</f>
        <v>0</v>
      </c>
      <c r="BV101" s="1">
        <f t="array" ref="BV101">IFERROR(INDEX(LCIA_Data,MATCH($AO$15&amp;BV$94,LCIA_Rows_B&amp;LCIA_Rows_C,0),MATCH(BV$93,LCIA_Columns,0)),0)*$AT101*$AH101*$BN$90</f>
        <v>0</v>
      </c>
      <c r="BW101" s="1">
        <f t="array" ref="BW101">IFERROR(INDEX(LCIA_Data,MATCH($AO$15&amp;BW$94,LCIA_Rows_B&amp;LCIA_Rows_C,0),MATCH(BW$93,LCIA_Columns,0)),0)*$AT101*$AH101*$BN$90</f>
        <v>0</v>
      </c>
      <c r="BX101" s="1">
        <f t="array" ref="BX101">IFERROR(INDEX(LCIA_Data,MATCH($AO$15&amp;BX$94,LCIA_Rows_B&amp;LCIA_Rows_C,0),MATCH(BX$93,LCIA_Columns,0)),0)*$AT101*$AH101*$BN$90</f>
        <v>0</v>
      </c>
      <c r="BY101" s="1">
        <f t="array" ref="BY101">IFERROR(INDEX(LCIA_Data,MATCH($AO$15&amp;BY$94,LCIA_Rows_B&amp;LCIA_Rows_C,0),MATCH(BY$93,LCIA_Columns,0)),0)*$AT101*$AH101*$BN$90</f>
        <v>0</v>
      </c>
      <c r="BZ101" s="1">
        <f t="array" ref="BZ101">IFERROR(INDEX(LCIA_Data,MATCH($AO$15&amp;BZ$94,LCIA_Rows_B&amp;LCIA_Rows_C,0),MATCH(BZ$93,LCIA_Columns,0)),0)*$AT101*$AH101*$BN$90</f>
        <v>0</v>
      </c>
      <c r="CA101" s="1">
        <f t="array" ref="CA101">IFERROR(INDEX(LCIA_Data,MATCH($AO$15&amp;CA$94,LCIA_Rows_B&amp;LCIA_Rows_C,0),MATCH(CA$93,LCIA_Columns,0)),0)*$AT101*$AI101*$BN$90</f>
        <v>0</v>
      </c>
      <c r="CB101" s="1">
        <f t="array" ref="CB101">IFERROR(INDEX(LCIA_Data,MATCH($AO$15&amp;CB$94,LCIA_Rows_B&amp;LCIA_Rows_C,0),MATCH(CB$93,LCIA_Columns,0)),0)*$AT101*$AI101*$BN$90</f>
        <v>0</v>
      </c>
      <c r="CC101" s="1">
        <f t="array" ref="CC101">IFERROR(INDEX(LCIA_Data,MATCH($AO$15&amp;CC$94,LCIA_Rows_B&amp;LCIA_Rows_C,0),MATCH(CC$93,LCIA_Columns,0)),0)*$AT101*$AI101*$BN$90</f>
        <v>0</v>
      </c>
      <c r="CD101" s="1">
        <f t="array" ref="CD101">IFERROR(INDEX(LCIA_Data,MATCH($AO$15&amp;CD$94,LCIA_Rows_B&amp;LCIA_Rows_C,0),MATCH(CD$93,LCIA_Columns,0)),0)*$AT101*$AI101*$BN$90</f>
        <v>0</v>
      </c>
      <c r="CE101" s="1">
        <f t="array" ref="CE101">IFERROR(INDEX(LCIA_Data,MATCH($AO$15&amp;CE$94,LCIA_Rows_B&amp;LCIA_Rows_C,0),MATCH(CE$93,LCIA_Columns,0)),0)*$AT101*$AI101*$BN$90</f>
        <v>0</v>
      </c>
      <c r="CF101" s="1">
        <f t="array" ref="CF101">IFERROR(INDEX(LCIA_Data,MATCH($AO$15&amp;CF$94,LCIA_Rows_B&amp;LCIA_Rows_C,0),MATCH(CF$93,LCIA_Columns,0)),0)*$AT101*$AI101*$BN$90</f>
        <v>0</v>
      </c>
      <c r="CG101" s="1">
        <f t="array" ref="CG101">IFERROR(INDEX(LCIA_Data,MATCH($AO$15&amp;CG$94,LCIA_Rows_B&amp;LCIA_Rows_C,0),MATCH(CG$93,LCIA_Columns,0)),0)*$AT101*$AI101*$BN$90</f>
        <v>0</v>
      </c>
      <c r="CH101" s="1">
        <f t="array" ref="CH101">IFERROR(INDEX(LCIA_Data,MATCH($AO$15&amp;CH$94,LCIA_Rows_B&amp;LCIA_Rows_C,0),MATCH(CH$93,LCIA_Columns,0)),0)*$AT101*$AI101*$BN$90</f>
        <v>0</v>
      </c>
      <c r="CI101" s="1">
        <f t="array" ref="CI101">IFERROR(INDEX(LCIA_Data,MATCH($AO$15&amp;CI$94,LCIA_Rows_B&amp;LCIA_Rows_C,0),MATCH(CI$93,LCIA_Columns,0)),0)*$AT101*$AI101*$BN$90</f>
        <v>0</v>
      </c>
      <c r="CJ101" s="1">
        <f t="array" ref="CJ101">IFERROR(INDEX(LCIA_Data,MATCH($AO$15&amp;CJ$94,LCIA_Rows_B&amp;LCIA_Rows_C,0),MATCH(CJ$93,LCIA_Columns,0)),0)*$AT101*$AI101*$BN$90</f>
        <v>0</v>
      </c>
      <c r="CK101" s="1">
        <f t="array" ref="CK101">IFERROR(INDEX(LCIA_Data,MATCH($AO$15&amp;CK$94,LCIA_Rows_B&amp;LCIA_Rows_C,0),MATCH(CK$93,LCIA_Columns,0)),0)*$AT101*$AI101*$BN$90</f>
        <v>0</v>
      </c>
      <c r="CL101" s="1">
        <f t="array" ref="CL101">IFERROR(INDEX(LCIA_Data,MATCH($AO$15&amp;CL$94,LCIA_Rows_B&amp;LCIA_Rows_C,0),MATCH(CL$93,LCIA_Columns,0)),0)*$AT101*$AI101*$BN$90</f>
        <v>0</v>
      </c>
      <c r="CM101" s="1">
        <f t="array" ref="CM101">IFERROR(INDEX(LCIA_Data,MATCH($AO$15&amp;CM$94,LCIA_Rows_B&amp;LCIA_Rows_C,0),MATCH(CM$93,LCIA_Columns,0)),0)*$AT101*$AI101*$BN$90</f>
        <v>0</v>
      </c>
      <c r="CN101" s="1">
        <f t="array" ref="CN101">IFERROR(INDEX(LCIA_Data,MATCH($AO$15&amp;CN$94,LCIA_Rows_B&amp;LCIA_Rows_C,0),MATCH(CN$93,LCIA_Columns,0)),0)*$AT101*$AI101*$BN$90</f>
        <v>0</v>
      </c>
      <c r="CO101" s="1">
        <f t="array" ref="CO101">IFERROR(INDEX(LCIA_Data,MATCH($AO$15&amp;CO$94,LCIA_Rows_B&amp;LCIA_Rows_C,0),MATCH(CO$93,LCIA_Columns,0)),0)*$AT101*$AI101*$BN$90</f>
        <v>0</v>
      </c>
      <c r="CP101" s="1">
        <f t="array" ref="CP101">IFERROR(INDEX(LCIA_Data,MATCH($AO$15&amp;CP$94,LCIA_Rows_B&amp;LCIA_Rows_C,0),MATCH(CP$93,LCIA_Columns,0)),0)*$AT101*$AI101*$BN$90</f>
        <v>0</v>
      </c>
      <c r="CQ101" s="1">
        <f t="array" ref="CQ101">IFERROR(INDEX(LCIA_Data,MATCH($AO$15&amp;CQ$94,LCIA_Rows_B&amp;LCIA_Rows_C,0),MATCH(CQ$93,LCIA_Columns,0)),0)*$AT101*$AI101*$BN$90</f>
        <v>0</v>
      </c>
      <c r="CR101" s="1">
        <f t="array" ref="CR101">IFERROR(INDEX(LCIA_Data,MATCH($AO$15&amp;CR$94,LCIA_Rows_B&amp;LCIA_Rows_C,0),MATCH(CR$93,LCIA_Columns,0)),0)*$AT101*$AI101*$BN$90</f>
        <v>0</v>
      </c>
      <c r="CS101" s="1">
        <f t="array" ref="CS101">IFERROR(INDEX(LCIA_Data,MATCH($AO$15&amp;CS$94,LCIA_Rows_B&amp;LCIA_Rows_C,0),MATCH(CS$93,LCIA_Columns,0)),0)*$AT101*$AI101*$BN$90</f>
        <v>0</v>
      </c>
      <c r="CT101" s="1">
        <f t="array" ref="CT101">IFERROR(INDEX(LCIA_Data,MATCH($AO$15&amp;CT$94,LCIA_Rows_B&amp;LCIA_Rows_C,0),MATCH(CT$93,LCIA_Columns,0)),0)*$AT101*$AI101*$BN$90</f>
        <v>0</v>
      </c>
      <c r="CU101" s="1">
        <f t="array" ref="CU101">IFERROR(INDEX(LCIA_Data,MATCH($AO$15&amp;CU$94,LCIA_Rows_B&amp;LCIA_Rows_C,0),MATCH(CU$93,LCIA_Columns,0)),0)*$AT101*$AI101*$BN$90</f>
        <v>0</v>
      </c>
      <c r="CV101" s="1">
        <f t="array" ref="CV101">IFERROR(INDEX(LCIA_Data,MATCH($AO$15&amp;CV$94,LCIA_Rows_B&amp;LCIA_Rows_C,0),MATCH(CV$93,LCIA_Columns,0)),0)*$AT101*$AI101*$BN$90</f>
        <v>0</v>
      </c>
      <c r="CW101" s="1">
        <f t="array" ref="CW101">IFERROR(INDEX(LCIA_Data,MATCH($AO$15&amp;CW$94,LCIA_Rows_B&amp;LCIA_Rows_C,0),MATCH(CW$93,LCIA_Columns,0)),0)*$AT101*$AI101*$BN$90</f>
        <v>0</v>
      </c>
      <c r="CX101" s="1">
        <f t="array" ref="CX101">IFERROR(INDEX(LCIA_Data,MATCH($AO$15&amp;CX$94,LCIA_Rows_B&amp;LCIA_Rows_C,0),MATCH(CX$93,LCIA_Columns,0)),0)*$AT101*$AI101*$BN$90</f>
        <v>0</v>
      </c>
      <c r="CY101" s="1">
        <f t="array" ref="CY101">IFERROR(INDEX(LCIA_Data,MATCH($AO$15&amp;CY$94,LCIA_Rows_B&amp;LCIA_Rows_C,0),MATCH(CY$93,LCIA_Columns,0)),0)*$AT101*$AI101*$BN$90</f>
        <v>0</v>
      </c>
      <c r="CZ101" s="1">
        <f t="array" ref="CZ101">IFERROR(INDEX(LCIA_Data,MATCH($AO$15&amp;CZ$94,LCIA_Rows_B&amp;LCIA_Rows_C,0),MATCH(CZ$93,LCIA_Columns,0)),0)*$AT101*$AI101*$BN$90</f>
        <v>0</v>
      </c>
      <c r="DA101" s="1">
        <f t="array" ref="DA101">IFERROR(INDEX(LCIA_Data,MATCH($AO$15&amp;DA$94,LCIA_Rows_B&amp;LCIA_Rows_C,0),MATCH(DA$93,LCIA_Columns,0)),0)*$AT101*$AI101*$BN$90</f>
        <v>0</v>
      </c>
      <c r="DB101" s="1">
        <f t="array" ref="DB101">IFERROR(INDEX(LCIA_Data,MATCH($AO$15&amp;DB$94,LCIA_Rows_B&amp;LCIA_Rows_C,0),MATCH(DB$93,LCIA_Columns,0)),0)*$AT101*$AI101*$BN$90</f>
        <v>0</v>
      </c>
      <c r="DC101" s="1">
        <f t="array" ref="DC101">IFERROR(INDEX(LCIA_Data,MATCH($AO$15&amp;DC$94,LCIA_Rows_B&amp;LCIA_Rows_C,0),MATCH(DC$93,LCIA_Columns,0)),0)*$AT101*$AI101*$BN$90</f>
        <v>0</v>
      </c>
      <c r="DD101" s="1">
        <f t="array" ref="DD101">IFERROR(INDEX(LCIA_Data,MATCH($AO$15&amp;DD$94,LCIA_Rows_B&amp;LCIA_Rows_C,0),MATCH(DD$93,LCIA_Columns,0)),0)*$AT101*$AI101*$BN$90</f>
        <v>0</v>
      </c>
      <c r="DE101" s="1">
        <f t="array" ref="DE101">IFERROR(INDEX(LCIA_Data,MATCH($AO$15&amp;DE$94,LCIA_Rows_B&amp;LCIA_Rows_C,0),MATCH(DE$93,LCIA_Columns,0)),0)*$AT101*$AI101*$BN$90</f>
        <v>0</v>
      </c>
      <c r="DF101" s="1">
        <f t="array" ref="DF101">IFERROR(INDEX(LCIA_Data,MATCH($AO$15&amp;DF$94,LCIA_Rows_B&amp;LCIA_Rows_C,0),MATCH(DF$93,LCIA_Columns,0)),0)*$AT101*$AI101*$BN$90</f>
        <v>0</v>
      </c>
      <c r="DG101" s="1">
        <f t="array" ref="DG101">IFERROR(INDEX(LCIA_Data,MATCH($AO$15&amp;DG$94,LCIA_Rows_B&amp;LCIA_Rows_C,0),MATCH(DG$93,LCIA_Columns,0)),0)*$AT101*$AI101*$BN$90</f>
        <v>0</v>
      </c>
      <c r="DH101" s="1">
        <f t="array" ref="DH101">IFERROR(INDEX(LCIA_Data,MATCH($AO$15&amp;DH$94,LCIA_Rows_B&amp;LCIA_Rows_C,0),MATCH(DH$93,LCIA_Columns,0)),0)*$AT101*$AI101*$BN$90</f>
        <v>0</v>
      </c>
      <c r="DI101" s="1">
        <f t="array" ref="DI101">IFERROR(INDEX(LCIA_Data,MATCH($AO$15&amp;DI$94,LCIA_Rows_B&amp;LCIA_Rows_C,0),MATCH(DI$93,LCIA_Columns,0)),0)*$AT101*$AI101*$BN$90</f>
        <v>0</v>
      </c>
      <c r="DJ101" s="1">
        <f t="array" ref="DJ101">IFERROR(INDEX(LCIA_Data,MATCH($AO$15&amp;DJ$94,LCIA_Rows_B&amp;LCIA_Rows_C,0),MATCH(DJ$93,LCIA_Columns,0)),0)*$AT101*$AI101*$BN$90</f>
        <v>0</v>
      </c>
      <c r="DK101" s="1">
        <f t="array" ref="DK101">IFERROR(INDEX(LCIA_Data,MATCH($AO$15&amp;DK$94,LCIA_Rows_B&amp;LCIA_Rows_C,0),MATCH(DK$93,LCIA_Columns,0)),0)*$AT101*$AI101*$BN$90</f>
        <v>0</v>
      </c>
      <c r="DL101" s="1">
        <f t="array" ref="DL101">IFERROR(INDEX(LCIA_Data,MATCH($AO$15&amp;DL$94,LCIA_Rows_B&amp;LCIA_Rows_C,0),MATCH(DL$93,LCIA_Columns,0)),0)*$AT101*$AI101*$BN$90</f>
        <v>0</v>
      </c>
      <c r="DM101" s="1">
        <f t="array" ref="DM101">IFERROR(INDEX(LCIA_Data,MATCH($AO$15&amp;DM$94,LCIA_Rows_B&amp;LCIA_Rows_C,0),MATCH(DM$93,LCIA_Columns,0)),0)*$AT101*$AI101*$BN$90</f>
        <v>0</v>
      </c>
      <c r="DN101" s="1">
        <f t="array" ref="DN101">IFERROR(INDEX(LCIA_Data,MATCH($AO$15&amp;DN$94,LCIA_Rows_B&amp;LCIA_Rows_C,0),MATCH(DN$93,LCIA_Columns,0)),0)*$AT101*$AI101*$BN$90</f>
        <v>0</v>
      </c>
      <c r="DO101" s="1">
        <f t="array" ref="DO101">IFERROR(INDEX(LCIA_Data,MATCH($AO$15&amp;DO$94,LCIA_Rows_B&amp;LCIA_Rows_C,0),MATCH(DO$93,LCIA_Columns,0)),0)*$AT101*$AI101*$BN$90</f>
        <v>0</v>
      </c>
      <c r="DP101" s="1">
        <f t="array" ref="DP101">IFERROR(INDEX(LCIA_Data,MATCH($AO$15&amp;DP$94,LCIA_Rows_B&amp;LCIA_Rows_C,0),MATCH(DP$93,LCIA_Columns,0)),0)*$AT101*$AI101*$BN$90</f>
        <v>0</v>
      </c>
      <c r="DQ101">
        <f t="shared" si="84"/>
        <v>0</v>
      </c>
      <c r="DR101">
        <f t="shared" si="84"/>
        <v>0</v>
      </c>
      <c r="DS101">
        <f t="shared" si="84"/>
        <v>0</v>
      </c>
      <c r="DT101">
        <f t="shared" si="84"/>
        <v>0</v>
      </c>
      <c r="DU101">
        <f t="shared" si="84"/>
        <v>0</v>
      </c>
      <c r="DV101">
        <f t="shared" si="84"/>
        <v>0</v>
      </c>
      <c r="DW101">
        <f t="shared" si="84"/>
        <v>0</v>
      </c>
      <c r="DX101">
        <f t="shared" si="84"/>
        <v>0</v>
      </c>
      <c r="DY101">
        <f t="shared" si="84"/>
        <v>0</v>
      </c>
      <c r="DZ101">
        <f t="shared" si="84"/>
        <v>0</v>
      </c>
      <c r="EA101">
        <f t="shared" si="84"/>
        <v>0</v>
      </c>
      <c r="EB101"/>
      <c r="EC101"/>
      <c r="ED101">
        <f t="shared" si="85"/>
        <v>0</v>
      </c>
    </row>
    <row r="102" spans="2:134" ht="16" hidden="1" thickBot="1">
      <c r="B102" s="53">
        <f t="shared" si="69"/>
        <v>0</v>
      </c>
      <c r="C102" s="32">
        <f t="shared" si="70"/>
        <v>6</v>
      </c>
      <c r="D102" s="363" t="s">
        <v>651</v>
      </c>
      <c r="E102" s="594">
        <f>IF('Plant Inputs'!$AT$22=0,0,'Plant Inputs'!$AV102/'Plant Inputs'!$AT$22)</f>
        <v>0</v>
      </c>
      <c r="F102" s="213" t="str">
        <f t="shared" si="71"/>
        <v>short ton/short ton</v>
      </c>
      <c r="G102" s="158">
        <f t="shared" si="86"/>
        <v>0</v>
      </c>
      <c r="H102" s="227" t="str">
        <f t="shared" si="72"/>
        <v>short ton</v>
      </c>
      <c r="I102" s="397">
        <f t="shared" ref="I102" si="91">IF($G$68=0,0,G102/$G$68)</f>
        <v>0</v>
      </c>
      <c r="J102"/>
      <c r="K102"/>
      <c r="L102"/>
      <c r="M102"/>
      <c r="N102"/>
      <c r="O102" s="12"/>
      <c r="P102"/>
      <c r="Q102"/>
      <c r="R102"/>
      <c r="S102"/>
      <c r="T102"/>
      <c r="X102" s="65">
        <f>'Plant Inputs'!$X102</f>
        <v>0</v>
      </c>
      <c r="Y102" s="216">
        <f>IF(AND($X102=2,'Plant Inputs'!$Y102=1),1,0)</f>
        <v>0</v>
      </c>
      <c r="Z102" s="216">
        <v>2</v>
      </c>
      <c r="AA102" s="216">
        <f>IF($Y102=0,0,IF('Plant Inputs'!J102="",0,'Plant Inputs'!J102))</f>
        <v>0</v>
      </c>
      <c r="AB102" s="216">
        <f>IF($Y102=0,0,IF('Plant Inputs'!K102="",0,'Plant Inputs'!K102))</f>
        <v>0</v>
      </c>
      <c r="AC102" s="216">
        <f>IF($Y102=0,0,IF('Plant Inputs'!L102="",0,'Plant Inputs'!L102))</f>
        <v>0</v>
      </c>
      <c r="AD102" s="216">
        <f>IF($Y102=0,0,IF('Plant Inputs'!M102="",0,'Plant Inputs'!M102))</f>
        <v>0</v>
      </c>
      <c r="AE102" s="217" t="str">
        <f>'Plant Inputs'!$N102</f>
        <v>mile</v>
      </c>
      <c r="AF102" s="217">
        <f t="shared" si="74"/>
        <v>1.6093473468862911</v>
      </c>
      <c r="AG102" s="216" t="str">
        <f t="shared" si="75"/>
        <v>km/mile</v>
      </c>
      <c r="AH102" s="216">
        <f t="shared" ref="AH102:AK102" si="92">AA102*$AF102</f>
        <v>0</v>
      </c>
      <c r="AI102" s="216">
        <f t="shared" si="92"/>
        <v>0</v>
      </c>
      <c r="AJ102" s="216">
        <f t="shared" si="92"/>
        <v>0</v>
      </c>
      <c r="AK102" s="216">
        <f t="shared" si="92"/>
        <v>0</v>
      </c>
      <c r="AL102" s="216"/>
      <c r="AM102" s="1" t="str">
        <f t="shared" si="77"/>
        <v>Non-Hazardous Waste to Incineration Facility</v>
      </c>
      <c r="AN102" t="s">
        <v>127</v>
      </c>
      <c r="AO102">
        <f t="shared" si="78"/>
        <v>0</v>
      </c>
      <c r="AP102" s="1">
        <f t="shared" si="87"/>
        <v>0</v>
      </c>
      <c r="AQ102" s="164" t="str">
        <f t="shared" si="88"/>
        <v>short ton</v>
      </c>
      <c r="AR102" s="1">
        <f t="shared" si="79"/>
        <v>0.90718499588591606</v>
      </c>
      <c r="AS102" s="87" t="str">
        <f t="shared" si="89"/>
        <v>tonne/short ton</v>
      </c>
      <c r="AT102" s="87">
        <f t="shared" si="80"/>
        <v>0</v>
      </c>
      <c r="AU102" s="87">
        <f t="shared" si="81"/>
        <v>0</v>
      </c>
      <c r="AV102" s="87">
        <f t="shared" si="82"/>
        <v>0</v>
      </c>
      <c r="AW102" s="1" t="str">
        <f t="shared" si="83"/>
        <v>Non-Hazardous Waste to Incineration Facility</v>
      </c>
      <c r="AX102" s="313">
        <f t="array" ref="AX102">IFERROR(INDEX(LCIA_Data,MATCH($AO$15&amp;AX$94,LCIA_Rows_B&amp;LCIA_Rows_C,0),MATCH($D102,LCIA_Columns,0)),0)*$AU102</f>
        <v>0</v>
      </c>
      <c r="AY102" s="313">
        <f t="array" ref="AY102">IFERROR(INDEX(LCIA_Data,MATCH($AO$15&amp;AY$94,LCIA_Rows_B&amp;LCIA_Rows_C,0),MATCH($D102,LCIA_Columns,0)),0)*$AU102</f>
        <v>0</v>
      </c>
      <c r="AZ102" s="313">
        <f t="array" ref="AZ102">IFERROR(INDEX(LCIA_Data,MATCH($AO$15&amp;AZ$94,LCIA_Rows_B&amp;LCIA_Rows_C,0),MATCH($D102,LCIA_Columns,0)),0)*$AU102</f>
        <v>0</v>
      </c>
      <c r="BA102" s="313">
        <f t="array" ref="BA102">IFERROR(INDEX(LCIA_Data,MATCH($AO$15&amp;BA$94,LCIA_Rows_B&amp;LCIA_Rows_C,0),MATCH($D102,LCIA_Columns,0)),0)*$AU102</f>
        <v>0</v>
      </c>
      <c r="BB102" s="313">
        <f t="array" ref="BB102">IFERROR(INDEX(LCIA_Data,MATCH($AO$15&amp;BB$94,LCIA_Rows_B&amp;LCIA_Rows_C,0),MATCH($D102,LCIA_Columns,0)),0)*$AU102</f>
        <v>0</v>
      </c>
      <c r="BC102" s="313">
        <f t="array" ref="BC102">IFERROR(INDEX(LCIA_Data,MATCH($AO$15&amp;BC$94,LCIA_Rows_B&amp;LCIA_Rows_C,0),MATCH($D102,LCIA_Columns,0)),0)*$AU102</f>
        <v>0</v>
      </c>
      <c r="BD102" s="313">
        <f t="array" ref="BD102">IFERROR(INDEX(LCIA_Data,MATCH($AO$15&amp;BD$94,LCIA_Rows_B&amp;LCIA_Rows_C,0),MATCH($D102,LCIA_Columns,0)),0)*$AU102</f>
        <v>0</v>
      </c>
      <c r="BE102" s="313">
        <f t="array" ref="BE102">IFERROR(INDEX(LCIA_Data,MATCH($AO$15&amp;BE$94,LCIA_Rows_B&amp;LCIA_Rows_C,0),MATCH($D102,LCIA_Columns,0)),0)*$AU102</f>
        <v>0</v>
      </c>
      <c r="BF102" s="313">
        <f t="array" ref="BF102">IFERROR(INDEX(LCIA_Data,MATCH($AO$15&amp;BF$94,LCIA_Rows_B&amp;LCIA_Rows_C,0),MATCH($D102,LCIA_Columns,0)),0)*$AU102</f>
        <v>0</v>
      </c>
      <c r="BG102" s="313">
        <f t="array" ref="BG102">IFERROR(INDEX(LCIA_Data,MATCH($AO$15&amp;BG$94,LCIA_Rows_B&amp;LCIA_Rows_C,0),MATCH($D102,LCIA_Columns,0)),0)*$AU102</f>
        <v>0</v>
      </c>
      <c r="BH102" s="313">
        <f t="array" ref="BH102">IFERROR(INDEX(LCIA_Data,MATCH($AO$15&amp;BH$94,LCIA_Rows_B&amp;LCIA_Rows_C,0),MATCH($D102,LCIA_Columns,0)),0)*$AU102</f>
        <v>0</v>
      </c>
      <c r="BI102" s="313">
        <f t="array" ref="BI102">IFERROR(INDEX(LCIA_Data,MATCH($AO$15&amp;BI$94,LCIA_Rows_B&amp;LCIA_Rows_C,0),MATCH($D102,LCIA_Columns,0)),0)*$AU102</f>
        <v>0</v>
      </c>
      <c r="BJ102" s="313">
        <f t="array" ref="BJ102">IFERROR(INDEX(LCIA_Data,MATCH($AO$15&amp;BJ$94,LCIA_Rows_B&amp;LCIA_Rows_C,0),MATCH($D102,LCIA_Columns,0)),0)*$AU102</f>
        <v>0</v>
      </c>
      <c r="BK102" s="313">
        <f t="array" ref="BK102">IFERROR(INDEX(LCIA_Data,MATCH($AO$15&amp;BK$94,LCIA_Rows_B&amp;LCIA_Rows_C,0),MATCH($D102,LCIA_Columns,0)),0)*$AU102</f>
        <v>0</v>
      </c>
      <c r="BM102" s="1">
        <f t="array" ref="BM102">IFERROR(INDEX(LCIA_Data,MATCH($AO$15&amp;BM$94,LCIA_Rows_B&amp;LCIA_Rows_C,0),MATCH(BM$93,LCIA_Columns,0)),0)*$AT102*$AH102*$BN$90</f>
        <v>0</v>
      </c>
      <c r="BN102" s="1">
        <f t="array" ref="BN102">IFERROR(INDEX(LCIA_Data,MATCH($AO$15&amp;BN$94,LCIA_Rows_B&amp;LCIA_Rows_C,0),MATCH(BN$93,LCIA_Columns,0)),0)*$AT102*$AH102*$BN$90</f>
        <v>0</v>
      </c>
      <c r="BO102" s="1">
        <f t="array" ref="BO102">IFERROR(INDEX(LCIA_Data,MATCH($AO$15&amp;BO$94,LCIA_Rows_B&amp;LCIA_Rows_C,0),MATCH(BO$93,LCIA_Columns,0)),0)*$AT102*$AH102*$BN$90</f>
        <v>0</v>
      </c>
      <c r="BP102" s="1">
        <f t="array" ref="BP102">IFERROR(INDEX(LCIA_Data,MATCH($AO$15&amp;BP$94,LCIA_Rows_B&amp;LCIA_Rows_C,0),MATCH(BP$93,LCIA_Columns,0)),0)*$AT102*$AH102*$BN$90</f>
        <v>0</v>
      </c>
      <c r="BQ102" s="1">
        <f t="array" ref="BQ102">IFERROR(INDEX(LCIA_Data,MATCH($AO$15&amp;BQ$94,LCIA_Rows_B&amp;LCIA_Rows_C,0),MATCH(BQ$93,LCIA_Columns,0)),0)*$AT102*$AH102*$BN$90</f>
        <v>0</v>
      </c>
      <c r="BR102" s="1">
        <f t="array" ref="BR102">IFERROR(INDEX(LCIA_Data,MATCH($AO$15&amp;BR$94,LCIA_Rows_B&amp;LCIA_Rows_C,0),MATCH(BR$93,LCIA_Columns,0)),0)*$AT102*$AH102*$BN$90</f>
        <v>0</v>
      </c>
      <c r="BS102" s="1">
        <f t="array" ref="BS102">IFERROR(INDEX(LCIA_Data,MATCH($AO$15&amp;BS$94,LCIA_Rows_B&amp;LCIA_Rows_C,0),MATCH(BS$93,LCIA_Columns,0)),0)*$AT102*$AH102*$BN$90</f>
        <v>0</v>
      </c>
      <c r="BT102" s="1">
        <f t="array" ref="BT102">IFERROR(INDEX(LCIA_Data,MATCH($AO$15&amp;BT$94,LCIA_Rows_B&amp;LCIA_Rows_C,0),MATCH(BT$93,LCIA_Columns,0)),0)*$AT102*$AH102*$BN$90</f>
        <v>0</v>
      </c>
      <c r="BU102" s="1">
        <f t="array" ref="BU102">IFERROR(INDEX(LCIA_Data,MATCH($AO$15&amp;BU$94,LCIA_Rows_B&amp;LCIA_Rows_C,0),MATCH(BU$93,LCIA_Columns,0)),0)*$AT102*$AH102*$BN$90</f>
        <v>0</v>
      </c>
      <c r="BV102" s="1">
        <f t="array" ref="BV102">IFERROR(INDEX(LCIA_Data,MATCH($AO$15&amp;BV$94,LCIA_Rows_B&amp;LCIA_Rows_C,0),MATCH(BV$93,LCIA_Columns,0)),0)*$AT102*$AH102*$BN$90</f>
        <v>0</v>
      </c>
      <c r="BW102" s="1">
        <f t="array" ref="BW102">IFERROR(INDEX(LCIA_Data,MATCH($AO$15&amp;BW$94,LCIA_Rows_B&amp;LCIA_Rows_C,0),MATCH(BW$93,LCIA_Columns,0)),0)*$AT102*$AH102*$BN$90</f>
        <v>0</v>
      </c>
      <c r="BX102" s="1">
        <f t="array" ref="BX102">IFERROR(INDEX(LCIA_Data,MATCH($AO$15&amp;BX$94,LCIA_Rows_B&amp;LCIA_Rows_C,0),MATCH(BX$93,LCIA_Columns,0)),0)*$AT102*$AH102*$BN$90</f>
        <v>0</v>
      </c>
      <c r="BY102" s="1">
        <f t="array" ref="BY102">IFERROR(INDEX(LCIA_Data,MATCH($AO$15&amp;BY$94,LCIA_Rows_B&amp;LCIA_Rows_C,0),MATCH(BY$93,LCIA_Columns,0)),0)*$AT102*$AH102*$BN$90</f>
        <v>0</v>
      </c>
      <c r="BZ102" s="1">
        <f t="array" ref="BZ102">IFERROR(INDEX(LCIA_Data,MATCH($AO$15&amp;BZ$94,LCIA_Rows_B&amp;LCIA_Rows_C,0),MATCH(BZ$93,LCIA_Columns,0)),0)*$AT102*$AH102*$BN$90</f>
        <v>0</v>
      </c>
      <c r="CA102" s="1">
        <f t="array" ref="CA102">IFERROR(INDEX(LCIA_Data,MATCH($AO$15&amp;CA$94,LCIA_Rows_B&amp;LCIA_Rows_C,0),MATCH(CA$93,LCIA_Columns,0)),0)*$AT102*$AI102*$BN$90</f>
        <v>0</v>
      </c>
      <c r="CB102" s="1">
        <f t="array" ref="CB102">IFERROR(INDEX(LCIA_Data,MATCH($AO$15&amp;CB$94,LCIA_Rows_B&amp;LCIA_Rows_C,0),MATCH(CB$93,LCIA_Columns,0)),0)*$AT102*$AI102*$BN$90</f>
        <v>0</v>
      </c>
      <c r="CC102" s="1">
        <f t="array" ref="CC102">IFERROR(INDEX(LCIA_Data,MATCH($AO$15&amp;CC$94,LCIA_Rows_B&amp;LCIA_Rows_C,0),MATCH(CC$93,LCIA_Columns,0)),0)*$AT102*$AI102*$BN$90</f>
        <v>0</v>
      </c>
      <c r="CD102" s="1">
        <f t="array" ref="CD102">IFERROR(INDEX(LCIA_Data,MATCH($AO$15&amp;CD$94,LCIA_Rows_B&amp;LCIA_Rows_C,0),MATCH(CD$93,LCIA_Columns,0)),0)*$AT102*$AI102*$BN$90</f>
        <v>0</v>
      </c>
      <c r="CE102" s="1">
        <f t="array" ref="CE102">IFERROR(INDEX(LCIA_Data,MATCH($AO$15&amp;CE$94,LCIA_Rows_B&amp;LCIA_Rows_C,0),MATCH(CE$93,LCIA_Columns,0)),0)*$AT102*$AI102*$BN$90</f>
        <v>0</v>
      </c>
      <c r="CF102" s="1">
        <f t="array" ref="CF102">IFERROR(INDEX(LCIA_Data,MATCH($AO$15&amp;CF$94,LCIA_Rows_B&amp;LCIA_Rows_C,0),MATCH(CF$93,LCIA_Columns,0)),0)*$AT102*$AI102*$BN$90</f>
        <v>0</v>
      </c>
      <c r="CG102" s="1">
        <f t="array" ref="CG102">IFERROR(INDEX(LCIA_Data,MATCH($AO$15&amp;CG$94,LCIA_Rows_B&amp;LCIA_Rows_C,0),MATCH(CG$93,LCIA_Columns,0)),0)*$AT102*$AI102*$BN$90</f>
        <v>0</v>
      </c>
      <c r="CH102" s="1">
        <f t="array" ref="CH102">IFERROR(INDEX(LCIA_Data,MATCH($AO$15&amp;CH$94,LCIA_Rows_B&amp;LCIA_Rows_C,0),MATCH(CH$93,LCIA_Columns,0)),0)*$AT102*$AI102*$BN$90</f>
        <v>0</v>
      </c>
      <c r="CI102" s="1">
        <f t="array" ref="CI102">IFERROR(INDEX(LCIA_Data,MATCH($AO$15&amp;CI$94,LCIA_Rows_B&amp;LCIA_Rows_C,0),MATCH(CI$93,LCIA_Columns,0)),0)*$AT102*$AI102*$BN$90</f>
        <v>0</v>
      </c>
      <c r="CJ102" s="1">
        <f t="array" ref="CJ102">IFERROR(INDEX(LCIA_Data,MATCH($AO$15&amp;CJ$94,LCIA_Rows_B&amp;LCIA_Rows_C,0),MATCH(CJ$93,LCIA_Columns,0)),0)*$AT102*$AI102*$BN$90</f>
        <v>0</v>
      </c>
      <c r="CK102" s="1">
        <f t="array" ref="CK102">IFERROR(INDEX(LCIA_Data,MATCH($AO$15&amp;CK$94,LCIA_Rows_B&amp;LCIA_Rows_C,0),MATCH(CK$93,LCIA_Columns,0)),0)*$AT102*$AI102*$BN$90</f>
        <v>0</v>
      </c>
      <c r="CL102" s="1">
        <f t="array" ref="CL102">IFERROR(INDEX(LCIA_Data,MATCH($AO$15&amp;CL$94,LCIA_Rows_B&amp;LCIA_Rows_C,0),MATCH(CL$93,LCIA_Columns,0)),0)*$AT102*$AI102*$BN$90</f>
        <v>0</v>
      </c>
      <c r="CM102" s="1">
        <f t="array" ref="CM102">IFERROR(INDEX(LCIA_Data,MATCH($AO$15&amp;CM$94,LCIA_Rows_B&amp;LCIA_Rows_C,0),MATCH(CM$93,LCIA_Columns,0)),0)*$AT102*$AI102*$BN$90</f>
        <v>0</v>
      </c>
      <c r="CN102" s="1">
        <f t="array" ref="CN102">IFERROR(INDEX(LCIA_Data,MATCH($AO$15&amp;CN$94,LCIA_Rows_B&amp;LCIA_Rows_C,0),MATCH(CN$93,LCIA_Columns,0)),0)*$AT102*$AI102*$BN$90</f>
        <v>0</v>
      </c>
      <c r="CO102" s="1">
        <f t="array" ref="CO102">IFERROR(INDEX(LCIA_Data,MATCH($AO$15&amp;CO$94,LCIA_Rows_B&amp;LCIA_Rows_C,0),MATCH(CO$93,LCIA_Columns,0)),0)*$AT102*$AI102*$BN$90</f>
        <v>0</v>
      </c>
      <c r="CP102" s="1">
        <f t="array" ref="CP102">IFERROR(INDEX(LCIA_Data,MATCH($AO$15&amp;CP$94,LCIA_Rows_B&amp;LCIA_Rows_C,0),MATCH(CP$93,LCIA_Columns,0)),0)*$AT102*$AI102*$BN$90</f>
        <v>0</v>
      </c>
      <c r="CQ102" s="1">
        <f t="array" ref="CQ102">IFERROR(INDEX(LCIA_Data,MATCH($AO$15&amp;CQ$94,LCIA_Rows_B&amp;LCIA_Rows_C,0),MATCH(CQ$93,LCIA_Columns,0)),0)*$AT102*$AI102*$BN$90</f>
        <v>0</v>
      </c>
      <c r="CR102" s="1">
        <f t="array" ref="CR102">IFERROR(INDEX(LCIA_Data,MATCH($AO$15&amp;CR$94,LCIA_Rows_B&amp;LCIA_Rows_C,0),MATCH(CR$93,LCIA_Columns,0)),0)*$AT102*$AI102*$BN$90</f>
        <v>0</v>
      </c>
      <c r="CS102" s="1">
        <f t="array" ref="CS102">IFERROR(INDEX(LCIA_Data,MATCH($AO$15&amp;CS$94,LCIA_Rows_B&amp;LCIA_Rows_C,0),MATCH(CS$93,LCIA_Columns,0)),0)*$AT102*$AI102*$BN$90</f>
        <v>0</v>
      </c>
      <c r="CT102" s="1">
        <f t="array" ref="CT102">IFERROR(INDEX(LCIA_Data,MATCH($AO$15&amp;CT$94,LCIA_Rows_B&amp;LCIA_Rows_C,0),MATCH(CT$93,LCIA_Columns,0)),0)*$AT102*$AI102*$BN$90</f>
        <v>0</v>
      </c>
      <c r="CU102" s="1">
        <f t="array" ref="CU102">IFERROR(INDEX(LCIA_Data,MATCH($AO$15&amp;CU$94,LCIA_Rows_B&amp;LCIA_Rows_C,0),MATCH(CU$93,LCIA_Columns,0)),0)*$AT102*$AI102*$BN$90</f>
        <v>0</v>
      </c>
      <c r="CV102" s="1">
        <f t="array" ref="CV102">IFERROR(INDEX(LCIA_Data,MATCH($AO$15&amp;CV$94,LCIA_Rows_B&amp;LCIA_Rows_C,0),MATCH(CV$93,LCIA_Columns,0)),0)*$AT102*$AI102*$BN$90</f>
        <v>0</v>
      </c>
      <c r="CW102" s="1">
        <f t="array" ref="CW102">IFERROR(INDEX(LCIA_Data,MATCH($AO$15&amp;CW$94,LCIA_Rows_B&amp;LCIA_Rows_C,0),MATCH(CW$93,LCIA_Columns,0)),0)*$AT102*$AI102*$BN$90</f>
        <v>0</v>
      </c>
      <c r="CX102" s="1">
        <f t="array" ref="CX102">IFERROR(INDEX(LCIA_Data,MATCH($AO$15&amp;CX$94,LCIA_Rows_B&amp;LCIA_Rows_C,0),MATCH(CX$93,LCIA_Columns,0)),0)*$AT102*$AI102*$BN$90</f>
        <v>0</v>
      </c>
      <c r="CY102" s="1">
        <f t="array" ref="CY102">IFERROR(INDEX(LCIA_Data,MATCH($AO$15&amp;CY$94,LCIA_Rows_B&amp;LCIA_Rows_C,0),MATCH(CY$93,LCIA_Columns,0)),0)*$AT102*$AI102*$BN$90</f>
        <v>0</v>
      </c>
      <c r="CZ102" s="1">
        <f t="array" ref="CZ102">IFERROR(INDEX(LCIA_Data,MATCH($AO$15&amp;CZ$94,LCIA_Rows_B&amp;LCIA_Rows_C,0),MATCH(CZ$93,LCIA_Columns,0)),0)*$AT102*$AI102*$BN$90</f>
        <v>0</v>
      </c>
      <c r="DA102" s="1">
        <f t="array" ref="DA102">IFERROR(INDEX(LCIA_Data,MATCH($AO$15&amp;DA$94,LCIA_Rows_B&amp;LCIA_Rows_C,0),MATCH(DA$93,LCIA_Columns,0)),0)*$AT102*$AI102*$BN$90</f>
        <v>0</v>
      </c>
      <c r="DB102" s="1">
        <f t="array" ref="DB102">IFERROR(INDEX(LCIA_Data,MATCH($AO$15&amp;DB$94,LCIA_Rows_B&amp;LCIA_Rows_C,0),MATCH(DB$93,LCIA_Columns,0)),0)*$AT102*$AI102*$BN$90</f>
        <v>0</v>
      </c>
      <c r="DC102" s="1">
        <f t="array" ref="DC102">IFERROR(INDEX(LCIA_Data,MATCH($AO$15&amp;DC$94,LCIA_Rows_B&amp;LCIA_Rows_C,0),MATCH(DC$93,LCIA_Columns,0)),0)*$AT102*$AI102*$BN$90</f>
        <v>0</v>
      </c>
      <c r="DD102" s="1">
        <f t="array" ref="DD102">IFERROR(INDEX(LCIA_Data,MATCH($AO$15&amp;DD$94,LCIA_Rows_B&amp;LCIA_Rows_C,0),MATCH(DD$93,LCIA_Columns,0)),0)*$AT102*$AI102*$BN$90</f>
        <v>0</v>
      </c>
      <c r="DE102" s="1">
        <f t="array" ref="DE102">IFERROR(INDEX(LCIA_Data,MATCH($AO$15&amp;DE$94,LCIA_Rows_B&amp;LCIA_Rows_C,0),MATCH(DE$93,LCIA_Columns,0)),0)*$AT102*$AI102*$BN$90</f>
        <v>0</v>
      </c>
      <c r="DF102" s="1">
        <f t="array" ref="DF102">IFERROR(INDEX(LCIA_Data,MATCH($AO$15&amp;DF$94,LCIA_Rows_B&amp;LCIA_Rows_C,0),MATCH(DF$93,LCIA_Columns,0)),0)*$AT102*$AI102*$BN$90</f>
        <v>0</v>
      </c>
      <c r="DG102" s="1">
        <f t="array" ref="DG102">IFERROR(INDEX(LCIA_Data,MATCH($AO$15&amp;DG$94,LCIA_Rows_B&amp;LCIA_Rows_C,0),MATCH(DG$93,LCIA_Columns,0)),0)*$AT102*$AI102*$BN$90</f>
        <v>0</v>
      </c>
      <c r="DH102" s="1">
        <f t="array" ref="DH102">IFERROR(INDEX(LCIA_Data,MATCH($AO$15&amp;DH$94,LCIA_Rows_B&amp;LCIA_Rows_C,0),MATCH(DH$93,LCIA_Columns,0)),0)*$AT102*$AI102*$BN$90</f>
        <v>0</v>
      </c>
      <c r="DI102" s="1">
        <f t="array" ref="DI102">IFERROR(INDEX(LCIA_Data,MATCH($AO$15&amp;DI$94,LCIA_Rows_B&amp;LCIA_Rows_C,0),MATCH(DI$93,LCIA_Columns,0)),0)*$AT102*$AI102*$BN$90</f>
        <v>0</v>
      </c>
      <c r="DJ102" s="1">
        <f t="array" ref="DJ102">IFERROR(INDEX(LCIA_Data,MATCH($AO$15&amp;DJ$94,LCIA_Rows_B&amp;LCIA_Rows_C,0),MATCH(DJ$93,LCIA_Columns,0)),0)*$AT102*$AI102*$BN$90</f>
        <v>0</v>
      </c>
      <c r="DK102" s="1">
        <f t="array" ref="DK102">IFERROR(INDEX(LCIA_Data,MATCH($AO$15&amp;DK$94,LCIA_Rows_B&amp;LCIA_Rows_C,0),MATCH(DK$93,LCIA_Columns,0)),0)*$AT102*$AI102*$BN$90</f>
        <v>0</v>
      </c>
      <c r="DL102" s="1">
        <f t="array" ref="DL102">IFERROR(INDEX(LCIA_Data,MATCH($AO$15&amp;DL$94,LCIA_Rows_B&amp;LCIA_Rows_C,0),MATCH(DL$93,LCIA_Columns,0)),0)*$AT102*$AI102*$BN$90</f>
        <v>0</v>
      </c>
      <c r="DM102" s="1">
        <f t="array" ref="DM102">IFERROR(INDEX(LCIA_Data,MATCH($AO$15&amp;DM$94,LCIA_Rows_B&amp;LCIA_Rows_C,0),MATCH(DM$93,LCIA_Columns,0)),0)*$AT102*$AI102*$BN$90</f>
        <v>0</v>
      </c>
      <c r="DN102" s="1">
        <f t="array" ref="DN102">IFERROR(INDEX(LCIA_Data,MATCH($AO$15&amp;DN$94,LCIA_Rows_B&amp;LCIA_Rows_C,0),MATCH(DN$93,LCIA_Columns,0)),0)*$AT102*$AI102*$BN$90</f>
        <v>0</v>
      </c>
      <c r="DO102" s="1">
        <f t="array" ref="DO102">IFERROR(INDEX(LCIA_Data,MATCH($AO$15&amp;DO$94,LCIA_Rows_B&amp;LCIA_Rows_C,0),MATCH(DO$93,LCIA_Columns,0)),0)*$AT102*$AI102*$BN$90</f>
        <v>0</v>
      </c>
      <c r="DP102" s="1">
        <f t="array" ref="DP102">IFERROR(INDEX(LCIA_Data,MATCH($AO$15&amp;DP$94,LCIA_Rows_B&amp;LCIA_Rows_C,0),MATCH(DP$93,LCIA_Columns,0)),0)*$AT102*$AI102*$BN$90</f>
        <v>0</v>
      </c>
      <c r="DQ102">
        <f t="shared" si="84"/>
        <v>0</v>
      </c>
      <c r="DR102">
        <f t="shared" si="84"/>
        <v>0</v>
      </c>
      <c r="DS102">
        <f t="shared" si="84"/>
        <v>0</v>
      </c>
      <c r="DT102">
        <f t="shared" si="84"/>
        <v>0</v>
      </c>
      <c r="DU102">
        <f t="shared" si="84"/>
        <v>0</v>
      </c>
      <c r="DV102">
        <f t="shared" si="84"/>
        <v>0</v>
      </c>
      <c r="DW102">
        <f t="shared" si="84"/>
        <v>0</v>
      </c>
      <c r="DX102">
        <f t="shared" si="84"/>
        <v>0</v>
      </c>
      <c r="DY102">
        <f t="shared" si="84"/>
        <v>0</v>
      </c>
      <c r="DZ102">
        <f t="shared" si="84"/>
        <v>0</v>
      </c>
      <c r="EA102">
        <f t="shared" si="84"/>
        <v>0</v>
      </c>
      <c r="EB102"/>
      <c r="EC102"/>
      <c r="ED102">
        <f t="shared" si="85"/>
        <v>0</v>
      </c>
    </row>
    <row r="103" spans="2:134" ht="16" hidden="1" thickBot="1">
      <c r="D103"/>
      <c r="E103" s="487"/>
      <c r="F103" s="488" t="s">
        <v>671</v>
      </c>
      <c r="G103" s="489">
        <f>IF(SUM($G$97:$G$102)=0,0,($G$98+$G$99+$G$101+$G$102)/SUM($G$97:$G$102))</f>
        <v>0</v>
      </c>
      <c r="H103"/>
      <c r="I103"/>
      <c r="J103"/>
      <c r="K103"/>
      <c r="L103"/>
      <c r="P103"/>
      <c r="Q103"/>
      <c r="R103"/>
      <c r="S103"/>
      <c r="T103"/>
      <c r="AA103"/>
      <c r="AB103"/>
      <c r="AC103"/>
      <c r="AD103"/>
      <c r="AE103"/>
      <c r="AF103"/>
      <c r="AG103"/>
      <c r="AH103"/>
      <c r="AI103"/>
      <c r="AJ103"/>
      <c r="AK103"/>
      <c r="AL103"/>
      <c r="AM103"/>
      <c r="AQ103"/>
      <c r="AS103" t="s">
        <v>487</v>
      </c>
      <c r="AT103" s="87">
        <f>SUM(AT97:AT102)</f>
        <v>0</v>
      </c>
      <c r="AU103" s="87">
        <f>SUM(AU97:AU102)</f>
        <v>0</v>
      </c>
      <c r="AV103" s="87">
        <f>SUM(AV97:AV102)</f>
        <v>0</v>
      </c>
      <c r="AX103" s="313">
        <f>SUM(AX97:AX102)</f>
        <v>0</v>
      </c>
      <c r="AY103" s="313">
        <f t="shared" ref="AY103:BK103" si="93">SUM(AY97:AY102)</f>
        <v>0</v>
      </c>
      <c r="AZ103" s="313">
        <f t="shared" si="93"/>
        <v>0</v>
      </c>
      <c r="BA103" s="313">
        <f t="shared" si="93"/>
        <v>0</v>
      </c>
      <c r="BB103" s="313">
        <f t="shared" si="93"/>
        <v>0</v>
      </c>
      <c r="BC103" s="313">
        <f t="shared" si="93"/>
        <v>0</v>
      </c>
      <c r="BD103" s="313">
        <f t="shared" si="93"/>
        <v>0</v>
      </c>
      <c r="BE103" s="313">
        <f t="shared" si="93"/>
        <v>0</v>
      </c>
      <c r="BF103" s="313">
        <f t="shared" si="93"/>
        <v>0</v>
      </c>
      <c r="BG103" s="313">
        <f t="shared" si="93"/>
        <v>0</v>
      </c>
      <c r="BH103" s="313">
        <f t="shared" si="93"/>
        <v>0</v>
      </c>
      <c r="BI103" s="313">
        <f t="shared" si="93"/>
        <v>0</v>
      </c>
      <c r="BJ103" s="313">
        <f t="shared" si="93"/>
        <v>0</v>
      </c>
      <c r="BK103" s="313">
        <f t="shared" si="93"/>
        <v>0</v>
      </c>
      <c r="BM103">
        <f t="shared" ref="BM103:DX103" si="94">SUM(BM97:BM102)</f>
        <v>0</v>
      </c>
      <c r="BN103">
        <f t="shared" si="94"/>
        <v>0</v>
      </c>
      <c r="BO103">
        <f t="shared" si="94"/>
        <v>0</v>
      </c>
      <c r="BP103">
        <f t="shared" si="94"/>
        <v>0</v>
      </c>
      <c r="BQ103">
        <f t="shared" si="94"/>
        <v>0</v>
      </c>
      <c r="BR103">
        <f t="shared" si="94"/>
        <v>0</v>
      </c>
      <c r="BS103">
        <f t="shared" si="94"/>
        <v>0</v>
      </c>
      <c r="BT103">
        <f t="shared" si="94"/>
        <v>0</v>
      </c>
      <c r="BU103">
        <f t="shared" si="94"/>
        <v>0</v>
      </c>
      <c r="BV103">
        <f t="shared" si="94"/>
        <v>0</v>
      </c>
      <c r="BW103">
        <f t="shared" si="94"/>
        <v>0</v>
      </c>
      <c r="BX103">
        <f t="shared" si="94"/>
        <v>0</v>
      </c>
      <c r="BY103">
        <f t="shared" si="94"/>
        <v>0</v>
      </c>
      <c r="BZ103">
        <f t="shared" si="94"/>
        <v>0</v>
      </c>
      <c r="CA103">
        <f t="shared" si="94"/>
        <v>0</v>
      </c>
      <c r="CB103">
        <f t="shared" si="94"/>
        <v>0</v>
      </c>
      <c r="CC103">
        <f t="shared" si="94"/>
        <v>0</v>
      </c>
      <c r="CD103">
        <f t="shared" si="94"/>
        <v>0</v>
      </c>
      <c r="CE103">
        <f t="shared" si="94"/>
        <v>0</v>
      </c>
      <c r="CF103">
        <f t="shared" si="94"/>
        <v>0</v>
      </c>
      <c r="CG103">
        <f t="shared" si="94"/>
        <v>0</v>
      </c>
      <c r="CH103">
        <f t="shared" si="94"/>
        <v>0</v>
      </c>
      <c r="CI103">
        <f t="shared" si="94"/>
        <v>0</v>
      </c>
      <c r="CJ103">
        <f t="shared" si="94"/>
        <v>0</v>
      </c>
      <c r="CK103">
        <f t="shared" si="94"/>
        <v>0</v>
      </c>
      <c r="CL103">
        <f t="shared" si="94"/>
        <v>0</v>
      </c>
      <c r="CM103">
        <f t="shared" si="94"/>
        <v>0</v>
      </c>
      <c r="CN103">
        <f t="shared" si="94"/>
        <v>0</v>
      </c>
      <c r="CO103">
        <f t="shared" si="94"/>
        <v>0</v>
      </c>
      <c r="CP103">
        <f t="shared" si="94"/>
        <v>0</v>
      </c>
      <c r="CQ103">
        <f t="shared" si="94"/>
        <v>0</v>
      </c>
      <c r="CR103">
        <f t="shared" si="94"/>
        <v>0</v>
      </c>
      <c r="CS103">
        <f t="shared" si="94"/>
        <v>0</v>
      </c>
      <c r="CT103">
        <f t="shared" si="94"/>
        <v>0</v>
      </c>
      <c r="CU103">
        <f t="shared" si="94"/>
        <v>0</v>
      </c>
      <c r="CV103">
        <f t="shared" si="94"/>
        <v>0</v>
      </c>
      <c r="CW103">
        <f t="shared" si="94"/>
        <v>0</v>
      </c>
      <c r="CX103">
        <f t="shared" si="94"/>
        <v>0</v>
      </c>
      <c r="CY103">
        <f t="shared" si="94"/>
        <v>0</v>
      </c>
      <c r="CZ103">
        <f t="shared" si="94"/>
        <v>0</v>
      </c>
      <c r="DA103">
        <f t="shared" si="94"/>
        <v>0</v>
      </c>
      <c r="DB103">
        <f t="shared" si="94"/>
        <v>0</v>
      </c>
      <c r="DC103">
        <f t="shared" si="94"/>
        <v>0</v>
      </c>
      <c r="DD103">
        <f t="shared" si="94"/>
        <v>0</v>
      </c>
      <c r="DE103">
        <f t="shared" si="94"/>
        <v>0</v>
      </c>
      <c r="DF103">
        <f t="shared" si="94"/>
        <v>0</v>
      </c>
      <c r="DG103">
        <f t="shared" si="94"/>
        <v>0</v>
      </c>
      <c r="DH103">
        <f t="shared" si="94"/>
        <v>0</v>
      </c>
      <c r="DI103">
        <f t="shared" si="94"/>
        <v>0</v>
      </c>
      <c r="DJ103">
        <f t="shared" si="94"/>
        <v>0</v>
      </c>
      <c r="DK103">
        <f t="shared" si="94"/>
        <v>0</v>
      </c>
      <c r="DL103">
        <f t="shared" si="94"/>
        <v>0</v>
      </c>
      <c r="DM103">
        <f t="shared" si="94"/>
        <v>0</v>
      </c>
      <c r="DN103">
        <f t="shared" si="94"/>
        <v>0</v>
      </c>
      <c r="DO103">
        <f t="shared" si="94"/>
        <v>0</v>
      </c>
      <c r="DP103">
        <f t="shared" si="94"/>
        <v>0</v>
      </c>
      <c r="DQ103" s="12">
        <f t="shared" si="94"/>
        <v>0</v>
      </c>
      <c r="DR103" s="12">
        <f t="shared" si="94"/>
        <v>0</v>
      </c>
      <c r="DS103" s="12">
        <f t="shared" si="94"/>
        <v>0</v>
      </c>
      <c r="DT103" s="12">
        <f t="shared" si="94"/>
        <v>0</v>
      </c>
      <c r="DU103" s="12">
        <f t="shared" si="94"/>
        <v>0</v>
      </c>
      <c r="DV103" s="12">
        <f t="shared" si="94"/>
        <v>0</v>
      </c>
      <c r="DW103" s="12">
        <f t="shared" si="94"/>
        <v>0</v>
      </c>
      <c r="DX103" s="12">
        <f t="shared" si="94"/>
        <v>0</v>
      </c>
      <c r="DY103" s="12">
        <f t="shared" ref="DY103:ED103" si="95">SUM(DY97:DY102)</f>
        <v>0</v>
      </c>
      <c r="DZ103" s="12">
        <f t="shared" si="95"/>
        <v>0</v>
      </c>
      <c r="EA103" s="12">
        <f t="shared" si="95"/>
        <v>0</v>
      </c>
      <c r="ED103" s="12">
        <f t="shared" si="95"/>
        <v>0</v>
      </c>
    </row>
    <row r="104" spans="2:134" hidden="1">
      <c r="L104" s="13"/>
      <c r="P104"/>
      <c r="Q104"/>
      <c r="R104"/>
      <c r="S104"/>
      <c r="T104"/>
      <c r="AS104" s="1" t="str">
        <f>INDEX(EPD_Measures,13)</f>
        <v>Non-hazardous waste generated</v>
      </c>
      <c r="AT104" s="87">
        <f>SUM(AT100:AT102)</f>
        <v>0</v>
      </c>
      <c r="BV104"/>
      <c r="BW104"/>
      <c r="BX104"/>
      <c r="BY104"/>
      <c r="BZ104"/>
      <c r="CA104"/>
      <c r="CB104"/>
      <c r="CC104"/>
      <c r="CD104"/>
      <c r="CE104"/>
      <c r="CF104"/>
      <c r="CG104"/>
      <c r="CH104"/>
      <c r="CI104"/>
      <c r="CJ104"/>
      <c r="CK104"/>
      <c r="CL104"/>
      <c r="CM104"/>
      <c r="CN104"/>
      <c r="CO104"/>
      <c r="CP104"/>
      <c r="CQ104"/>
      <c r="CR104"/>
      <c r="CS104"/>
      <c r="CT104"/>
      <c r="CU104"/>
      <c r="CV104"/>
      <c r="CW104"/>
      <c r="CX104" s="318">
        <f>DQ103-BM108</f>
        <v>0</v>
      </c>
      <c r="CY104" s="318">
        <f>DV103-BR108</f>
        <v>0</v>
      </c>
      <c r="CZ104" s="318">
        <f t="shared" ref="CZ104:DA104" si="96">DW103-BS108</f>
        <v>0</v>
      </c>
      <c r="DA104" s="318">
        <f t="shared" si="96"/>
        <v>0</v>
      </c>
      <c r="DB104" s="318"/>
      <c r="DC104" s="318"/>
      <c r="DD104" s="318"/>
      <c r="DE104" s="318"/>
      <c r="DF104" s="318">
        <f>ED103-BZ108</f>
        <v>0</v>
      </c>
      <c r="DG104" s="318"/>
      <c r="DH104" s="318"/>
      <c r="DI104" s="318"/>
      <c r="DJ104" s="318"/>
      <c r="DK104" s="318"/>
      <c r="DL104"/>
      <c r="DM104"/>
      <c r="DN104"/>
      <c r="DO104"/>
      <c r="DP104"/>
      <c r="DQ104"/>
      <c r="DR104"/>
      <c r="DS104"/>
      <c r="DT104"/>
      <c r="DU104"/>
      <c r="DV104"/>
      <c r="DW104"/>
      <c r="DX104"/>
      <c r="DY104"/>
      <c r="DZ104"/>
      <c r="EA104"/>
    </row>
    <row r="105" spans="2:134">
      <c r="L105" s="13"/>
      <c r="P105"/>
      <c r="Q105"/>
      <c r="R105"/>
      <c r="S105"/>
      <c r="T105"/>
      <c r="AS105" s="1" t="str">
        <f>INDEX(EPD_Measures,14)</f>
        <v>Hazardous waste generated</v>
      </c>
      <c r="AT105" s="87">
        <f>SUM(AT97:AT99)</f>
        <v>0</v>
      </c>
      <c r="BV105"/>
      <c r="BW105"/>
      <c r="BX105"/>
      <c r="BY105"/>
      <c r="BZ105"/>
      <c r="CA105"/>
      <c r="CB105"/>
      <c r="CC105"/>
      <c r="CD105"/>
      <c r="CE105"/>
      <c r="CF105"/>
      <c r="CG105"/>
      <c r="CH105"/>
      <c r="CI105"/>
      <c r="CJ105"/>
      <c r="CK105"/>
      <c r="CL105"/>
      <c r="CM105"/>
      <c r="CN105"/>
      <c r="CO105"/>
      <c r="CP105"/>
      <c r="CQ105"/>
    </row>
    <row r="106" spans="2:134">
      <c r="C106"/>
      <c r="D106"/>
      <c r="E106"/>
      <c r="F106"/>
      <c r="G106"/>
      <c r="H106"/>
      <c r="I106"/>
      <c r="J106"/>
      <c r="K106"/>
      <c r="L106" s="13"/>
      <c r="P106"/>
      <c r="Q106"/>
      <c r="R106"/>
      <c r="S106"/>
      <c r="T106"/>
      <c r="BM106" s="564" t="str">
        <f>INDEX(EPD_Measures,1)</f>
        <v>Global warming potential (GWP)</v>
      </c>
      <c r="BN106" s="564" t="str">
        <f>INDEX(EPD_Measures,2)</f>
        <v>Acidification potential</v>
      </c>
      <c r="BO106" s="564" t="str">
        <f>INDEX(EPD_Measures,3)</f>
        <v>Eutrophication potential</v>
      </c>
      <c r="BP106" s="564" t="str">
        <f>INDEX(EPD_Measures,4)</f>
        <v>Smog creation potential</v>
      </c>
      <c r="BQ106" s="564" t="str">
        <f>INDEX(EPD_Measures,5)</f>
        <v>Ozone depletion potential</v>
      </c>
      <c r="BR106" s="564" t="str">
        <f>INDEX(EPD_Measures,6)</f>
        <v>Total primary energy consumption</v>
      </c>
      <c r="BS106" s="564" t="str">
        <f>INDEX(EPD_Measures,7)</f>
        <v>Nonrenewable energy resources</v>
      </c>
      <c r="BT106" s="564" t="str">
        <f>INDEX(EPD_Measures,8)</f>
        <v>Renewable energy resources</v>
      </c>
      <c r="BU106" s="564" t="str">
        <f>INDEX(EPD_Measures,9)</f>
        <v>Material resources consumption</v>
      </c>
      <c r="BV106" s="564" t="str">
        <f>INDEX(EPD_Measures,10)</f>
        <v>Nonrenewable material resources</v>
      </c>
      <c r="BW106" s="564" t="str">
        <f>INDEX(EPD_Measures,11)</f>
        <v>Renewable material resources</v>
      </c>
      <c r="BX106" s="564" t="str">
        <f>INDEX(EPD_Measures,12)</f>
        <v>Net Fresh Water</v>
      </c>
      <c r="BY106" s="564" t="str">
        <f>INDEX(EPD_Measures,13)</f>
        <v>Non-hazardous waste generated</v>
      </c>
      <c r="BZ106" s="564" t="str">
        <f>INDEX(EPD_Measures,14)</f>
        <v>Hazardous waste generated</v>
      </c>
      <c r="CA106"/>
      <c r="CB106"/>
      <c r="CC106"/>
      <c r="CD106"/>
      <c r="CE106"/>
      <c r="CF106"/>
      <c r="CG106"/>
      <c r="CH106"/>
      <c r="CI106"/>
      <c r="CJ106"/>
      <c r="CK106"/>
      <c r="CL106"/>
      <c r="CM106"/>
    </row>
    <row r="107" spans="2:134" s="60" customFormat="1" ht="14.25" customHeight="1">
      <c r="B107" s="58"/>
      <c r="C107"/>
      <c r="D107"/>
      <c r="E107"/>
      <c r="F107"/>
      <c r="G107"/>
      <c r="H107"/>
      <c r="I107"/>
      <c r="J107"/>
      <c r="K107"/>
      <c r="L107" s="59"/>
      <c r="M107" s="59"/>
      <c r="N107" s="59"/>
      <c r="O107" s="59"/>
      <c r="P107"/>
      <c r="Q107"/>
      <c r="R107"/>
      <c r="S107"/>
      <c r="T107"/>
      <c r="U107"/>
      <c r="V107"/>
      <c r="W107"/>
      <c r="X107" s="68"/>
      <c r="Y107" s="59"/>
      <c r="Z107" s="59"/>
      <c r="AA107" s="59"/>
      <c r="AB107" s="59"/>
      <c r="AC107" s="59"/>
      <c r="AD107" s="59"/>
      <c r="AE107" s="59"/>
      <c r="AF107" s="59"/>
      <c r="AG107" s="59"/>
      <c r="AH107" s="59"/>
      <c r="AI107" s="59"/>
      <c r="AJ107" s="59"/>
      <c r="AK107" s="59"/>
      <c r="AL107" s="59"/>
      <c r="AM107" s="1"/>
      <c r="AN107"/>
      <c r="AO107"/>
      <c r="AP107"/>
      <c r="AQ107" s="87"/>
      <c r="AR107"/>
      <c r="AS107"/>
      <c r="AT107"/>
      <c r="AU107"/>
      <c r="AV107"/>
      <c r="AW107"/>
      <c r="AX107"/>
      <c r="AY107"/>
      <c r="AZ107"/>
      <c r="BA107"/>
      <c r="BB107"/>
      <c r="BC107"/>
      <c r="BD107"/>
      <c r="BE107"/>
      <c r="BF107"/>
      <c r="BG107"/>
      <c r="BH107"/>
      <c r="BI107"/>
      <c r="BJ107"/>
      <c r="BK107"/>
      <c r="BL107"/>
      <c r="BM107" s="2" t="str">
        <f>INDEX(EPD_Calc_Units,1)</f>
        <v>kg</v>
      </c>
      <c r="BN107" s="2" t="str">
        <f>INDEX(EPD_Calc_Units,2)</f>
        <v>kg</v>
      </c>
      <c r="BO107" s="2" t="str">
        <f>INDEX(EPD_Calc_Units,3)</f>
        <v>kg</v>
      </c>
      <c r="BP107" s="2" t="str">
        <f>INDEX(EPD_Calc_Units,4)</f>
        <v>kg</v>
      </c>
      <c r="BQ107" s="2" t="str">
        <f>INDEX(EPD_Calc_Units,5)</f>
        <v>kg</v>
      </c>
      <c r="BR107" s="2" t="str">
        <f>INDEX(EPD_Calc_Units,6)</f>
        <v>MJ</v>
      </c>
      <c r="BS107" s="2" t="str">
        <f>INDEX(EPD_Calc_Units,7)</f>
        <v>MJ</v>
      </c>
      <c r="BT107" s="2" t="str">
        <f>INDEX(EPD_Calc_Units,8)</f>
        <v>MJ</v>
      </c>
      <c r="BU107" s="2" t="str">
        <f>INDEX(EPD_Calc_Units,9)</f>
        <v>kg</v>
      </c>
      <c r="BV107" s="2" t="str">
        <f>INDEX(EPD_Calc_Units,10)</f>
        <v>kg</v>
      </c>
      <c r="BW107" s="2" t="str">
        <f>INDEX(EPD_Calc_Units,11)</f>
        <v>kg</v>
      </c>
      <c r="BX107" s="2" t="str">
        <f>INDEX(EPD_Calc_Units,12)</f>
        <v>m3</v>
      </c>
      <c r="BY107" s="2" t="str">
        <f>INDEX(EPD_Calc_Units,13)</f>
        <v>kg</v>
      </c>
      <c r="BZ107" s="2" t="str">
        <f>INDEX(EPD_Calc_Units,14)</f>
        <v>kg</v>
      </c>
      <c r="CA107"/>
      <c r="CB107"/>
      <c r="CC107"/>
      <c r="CD107"/>
      <c r="CE107"/>
      <c r="CF107"/>
      <c r="CG107"/>
      <c r="CH107"/>
    </row>
    <row r="108" spans="2:134" s="60" customFormat="1">
      <c r="B108" s="58"/>
      <c r="C108"/>
      <c r="D108"/>
      <c r="E108"/>
      <c r="F108"/>
      <c r="G108"/>
      <c r="H108"/>
      <c r="I108"/>
      <c r="J108"/>
      <c r="K108"/>
      <c r="L108" s="59"/>
      <c r="M108" s="59"/>
      <c r="N108" s="59"/>
      <c r="O108" s="59"/>
      <c r="P108"/>
      <c r="Q108"/>
      <c r="R108"/>
      <c r="S108"/>
      <c r="T108"/>
      <c r="U108"/>
      <c r="V108"/>
      <c r="W108"/>
      <c r="X108" s="68"/>
      <c r="Y108" s="59"/>
      <c r="Z108" s="59"/>
      <c r="AA108" s="59"/>
      <c r="AB108" s="59"/>
      <c r="AC108" s="59"/>
      <c r="AD108" s="59"/>
      <c r="AE108" s="59"/>
      <c r="AF108" s="59"/>
      <c r="AG108" s="59"/>
      <c r="AH108" s="59"/>
      <c r="AI108" s="59"/>
      <c r="AJ108" s="59"/>
      <c r="AK108" s="59"/>
      <c r="AL108" s="59"/>
      <c r="AM108" s="1"/>
      <c r="AN108"/>
      <c r="AO108"/>
      <c r="AP108"/>
      <c r="AQ108" s="87"/>
      <c r="AR108"/>
      <c r="AS108"/>
      <c r="AT108"/>
      <c r="AU108"/>
      <c r="AV108"/>
      <c r="AW108"/>
      <c r="AX108"/>
      <c r="AY108"/>
      <c r="AZ108"/>
      <c r="BA108"/>
      <c r="BB108"/>
      <c r="BC108"/>
      <c r="BD108"/>
      <c r="BE108"/>
      <c r="BF108"/>
      <c r="BG108"/>
      <c r="BH108"/>
      <c r="BI108"/>
      <c r="BJ108"/>
      <c r="BK108"/>
      <c r="BL108" s="1" t="s">
        <v>729</v>
      </c>
      <c r="BM108" s="570">
        <f t="shared" ref="BM108:BY108" si="97">BM$103+CA$103+CO$103+DC$103</f>
        <v>0</v>
      </c>
      <c r="BN108" s="570">
        <f t="shared" si="97"/>
        <v>0</v>
      </c>
      <c r="BO108" s="570">
        <f t="shared" si="97"/>
        <v>0</v>
      </c>
      <c r="BP108" s="570">
        <f t="shared" si="97"/>
        <v>0</v>
      </c>
      <c r="BQ108" s="570">
        <f t="shared" si="97"/>
        <v>0</v>
      </c>
      <c r="BR108" s="570">
        <f t="shared" si="97"/>
        <v>0</v>
      </c>
      <c r="BS108" s="570">
        <f t="shared" si="97"/>
        <v>0</v>
      </c>
      <c r="BT108" s="570">
        <f t="shared" si="97"/>
        <v>0</v>
      </c>
      <c r="BU108" s="570">
        <f t="shared" si="97"/>
        <v>0</v>
      </c>
      <c r="BV108" s="570">
        <f t="shared" si="97"/>
        <v>0</v>
      </c>
      <c r="BW108" s="570">
        <f t="shared" si="97"/>
        <v>0</v>
      </c>
      <c r="BX108" s="570">
        <f t="shared" si="97"/>
        <v>0</v>
      </c>
      <c r="BY108" s="570">
        <f t="shared" si="97"/>
        <v>0</v>
      </c>
      <c r="BZ108" s="570">
        <f>BZ$103+CN$103+DB$103+DP$103</f>
        <v>0</v>
      </c>
      <c r="CA108"/>
      <c r="CB108"/>
      <c r="CC108"/>
      <c r="CD108"/>
      <c r="CE108"/>
      <c r="CF108"/>
      <c r="CG108"/>
      <c r="CH108"/>
    </row>
    <row r="109" spans="2:134" s="60" customFormat="1" ht="15" customHeight="1">
      <c r="B109" s="58"/>
      <c r="C109"/>
      <c r="D109"/>
      <c r="E109"/>
      <c r="F109"/>
      <c r="G109"/>
      <c r="H109"/>
      <c r="I109"/>
      <c r="J109"/>
      <c r="K109"/>
      <c r="L109" s="59"/>
      <c r="M109" s="59"/>
      <c r="N109" s="59"/>
      <c r="O109" s="59"/>
      <c r="P109"/>
      <c r="Q109"/>
      <c r="R109"/>
      <c r="S109"/>
      <c r="T109"/>
      <c r="U109"/>
      <c r="V109"/>
      <c r="W109"/>
      <c r="X109" s="68"/>
      <c r="Y109" s="59"/>
      <c r="Z109" s="59"/>
      <c r="AA109" s="59"/>
      <c r="AB109" s="59"/>
      <c r="AC109" s="59"/>
      <c r="AD109" s="59"/>
      <c r="AE109" s="59"/>
      <c r="AF109" s="59"/>
      <c r="AG109" s="59"/>
      <c r="AH109" s="59"/>
      <c r="AI109" s="59"/>
      <c r="AJ109" s="59"/>
      <c r="AK109" s="59"/>
      <c r="AL109" s="59"/>
      <c r="AM109" s="1"/>
      <c r="AN109"/>
      <c r="AO109"/>
      <c r="AP109"/>
      <c r="AQ109" s="87"/>
      <c r="AR109"/>
      <c r="AS109"/>
      <c r="AT109"/>
      <c r="AU109"/>
      <c r="AV109"/>
      <c r="AW109"/>
      <c r="AX109"/>
      <c r="AY109"/>
      <c r="AZ109"/>
      <c r="BA109"/>
      <c r="BB109"/>
      <c r="BC109"/>
      <c r="BD109"/>
      <c r="BE109"/>
      <c r="BF109"/>
      <c r="BG109"/>
      <c r="BH109"/>
      <c r="BI109"/>
      <c r="BJ109"/>
      <c r="BK109"/>
      <c r="BL109"/>
      <c r="BO109"/>
      <c r="BP109"/>
      <c r="BQ109"/>
      <c r="BR109"/>
      <c r="BS109"/>
      <c r="BT109"/>
      <c r="BU109"/>
      <c r="BV109"/>
      <c r="BW109"/>
      <c r="BX109"/>
      <c r="BY109"/>
      <c r="BZ109"/>
      <c r="CA109"/>
      <c r="CB109"/>
      <c r="CC109"/>
      <c r="CD109"/>
      <c r="CE109"/>
      <c r="CF109"/>
      <c r="CG109"/>
      <c r="CH109"/>
    </row>
    <row r="110" spans="2:134" s="60" customFormat="1">
      <c r="B110" s="58"/>
      <c r="C110"/>
      <c r="D110"/>
      <c r="E110"/>
      <c r="F110"/>
      <c r="G110"/>
      <c r="H110"/>
      <c r="I110"/>
      <c r="J110"/>
      <c r="K110"/>
      <c r="L110" s="59"/>
      <c r="M110" s="59"/>
      <c r="N110" s="59"/>
      <c r="O110" s="59"/>
      <c r="P110"/>
      <c r="Q110"/>
      <c r="R110"/>
      <c r="S110"/>
      <c r="T110"/>
      <c r="U110"/>
      <c r="V110"/>
      <c r="W110"/>
      <c r="X110" s="68"/>
      <c r="Y110" s="59"/>
      <c r="Z110" s="59"/>
      <c r="AA110" s="59"/>
      <c r="AB110" s="59"/>
      <c r="AC110" s="59"/>
      <c r="AD110" s="59"/>
      <c r="AE110" s="59"/>
      <c r="AF110" s="59"/>
      <c r="AG110" s="59"/>
      <c r="AH110" s="59"/>
      <c r="AI110" s="59"/>
      <c r="AJ110" s="59"/>
      <c r="AK110" s="59"/>
      <c r="AL110" s="59"/>
      <c r="AM110" s="1"/>
      <c r="AN110"/>
      <c r="AO110"/>
      <c r="AP110"/>
      <c r="AQ110" s="87"/>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2:134" s="63" customFormat="1">
      <c r="B111" s="61"/>
      <c r="C111" s="12"/>
      <c r="D111" s="12"/>
      <c r="E111" s="12"/>
      <c r="F111" s="12"/>
      <c r="G111" s="12"/>
      <c r="H111" s="12"/>
      <c r="I111" s="12"/>
      <c r="J111" s="12"/>
      <c r="K111" s="12"/>
      <c r="L111" s="62"/>
      <c r="M111" s="62"/>
      <c r="N111" s="62"/>
      <c r="O111" s="62"/>
      <c r="P111"/>
      <c r="Q111"/>
      <c r="R111"/>
      <c r="S111"/>
      <c r="T111"/>
      <c r="U111"/>
      <c r="V111"/>
      <c r="W111"/>
      <c r="X111" s="69"/>
      <c r="Y111" s="62"/>
      <c r="Z111" s="62"/>
      <c r="AA111" s="62"/>
      <c r="AB111" s="62"/>
      <c r="AC111" s="62"/>
      <c r="AD111" s="62"/>
      <c r="AE111" s="62"/>
      <c r="AF111" s="62"/>
      <c r="AG111" s="62"/>
      <c r="AH111" s="62"/>
      <c r="AI111" s="62"/>
      <c r="AJ111" s="62"/>
      <c r="AK111" s="62"/>
      <c r="AL111" s="62"/>
      <c r="AM111" s="1"/>
      <c r="AN111"/>
      <c r="AO111"/>
      <c r="AP111"/>
      <c r="AQ111" s="87"/>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row>
    <row r="112" spans="2:134" s="63" customFormat="1" ht="15" customHeight="1">
      <c r="B112" s="61"/>
      <c r="C112" s="12"/>
      <c r="D112" s="12"/>
      <c r="E112" s="12"/>
      <c r="F112" s="12"/>
      <c r="G112" s="12"/>
      <c r="H112" s="12"/>
      <c r="I112" s="12"/>
      <c r="J112" s="12"/>
      <c r="K112" s="12"/>
      <c r="L112" s="62"/>
      <c r="M112" s="62"/>
      <c r="N112" s="62"/>
      <c r="O112" s="62"/>
      <c r="P112"/>
      <c r="Q112"/>
      <c r="R112"/>
      <c r="S112"/>
      <c r="T112"/>
      <c r="U112"/>
      <c r="V112"/>
      <c r="W112"/>
      <c r="X112" s="69"/>
      <c r="Y112" s="62"/>
      <c r="Z112" s="62"/>
      <c r="AA112" s="62"/>
      <c r="AB112" s="62"/>
      <c r="AC112" s="62"/>
      <c r="AD112" s="62"/>
      <c r="AE112" s="62"/>
      <c r="AF112" s="62"/>
      <c r="AG112" s="62"/>
      <c r="AH112" s="62"/>
      <c r="AI112" s="62"/>
      <c r="AJ112" s="62"/>
      <c r="AK112" s="62"/>
      <c r="AL112" s="62"/>
      <c r="AM112" s="1"/>
      <c r="AN112"/>
      <c r="AO112"/>
      <c r="AP112"/>
      <c r="AQ112" s="87"/>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row>
  </sheetData>
  <sheetProtection password="840D" sheet="1" objects="1" scenarios="1" formatColumns="0" formatRows="0" selectLockedCells="1"/>
  <dataConsolidate/>
  <mergeCells count="9">
    <mergeCell ref="C6:D6"/>
    <mergeCell ref="BM92:DP92"/>
    <mergeCell ref="DQ93:EB93"/>
    <mergeCell ref="AM94:AU94"/>
    <mergeCell ref="F16:F17"/>
    <mergeCell ref="AM27:AV27"/>
    <mergeCell ref="I73:I74"/>
    <mergeCell ref="J73:J74"/>
    <mergeCell ref="G11:J18"/>
  </mergeCells>
  <conditionalFormatting sqref="C6:D9">
    <cfRule type="containsText" dxfId="9" priority="18" operator="containsText" text="100%">
      <formula>NOT(ISERROR(SEARCH("100%",C6)))</formula>
    </cfRule>
  </conditionalFormatting>
  <conditionalFormatting sqref="B65 B16 B30:B31 B76 B67 B82:B86">
    <cfRule type="iconSet" priority="19">
      <iconSet iconSet="3Symbols">
        <cfvo type="percent" val="0"/>
        <cfvo type="num" val="1E-3" gte="0"/>
        <cfvo type="num" val="1"/>
      </iconSet>
    </cfRule>
  </conditionalFormatting>
  <conditionalFormatting sqref="B16">
    <cfRule type="iconSet" priority="17">
      <iconSet iconSet="3Symbols">
        <cfvo type="percent" val="0"/>
        <cfvo type="num" val="1" gte="0"/>
        <cfvo type="num" val="1"/>
      </iconSet>
    </cfRule>
  </conditionalFormatting>
  <conditionalFormatting sqref="B31">
    <cfRule type="iconSet" priority="16">
      <iconSet iconSet="3Symbols">
        <cfvo type="percent" val="0"/>
        <cfvo type="num" val="1E-3" gte="0"/>
        <cfvo type="num" val="1"/>
      </iconSet>
    </cfRule>
  </conditionalFormatting>
  <conditionalFormatting sqref="B66">
    <cfRule type="iconSet" priority="15">
      <iconSet iconSet="3Symbols">
        <cfvo type="percent" val="0"/>
        <cfvo type="num" val="1E-3" gte="0"/>
        <cfvo type="num" val="1"/>
      </iconSet>
    </cfRule>
  </conditionalFormatting>
  <conditionalFormatting sqref="B78:B81">
    <cfRule type="iconSet" priority="14">
      <iconSet iconSet="3Symbols">
        <cfvo type="percent" val="0"/>
        <cfvo type="num" val="1E-3" gte="0"/>
        <cfvo type="num" val="1"/>
      </iconSet>
    </cfRule>
  </conditionalFormatting>
  <conditionalFormatting sqref="B77">
    <cfRule type="iconSet" priority="13">
      <iconSet iconSet="3Symbols">
        <cfvo type="percent" val="0"/>
        <cfvo type="num" val="1E-3" gte="0"/>
        <cfvo type="num" val="1"/>
      </iconSet>
    </cfRule>
  </conditionalFormatting>
  <conditionalFormatting sqref="B18">
    <cfRule type="iconSet" priority="12">
      <iconSet iconSet="3Symbols">
        <cfvo type="percent" val="0"/>
        <cfvo type="num" val="1E-3" gte="0"/>
        <cfvo type="num" val="1"/>
      </iconSet>
    </cfRule>
  </conditionalFormatting>
  <conditionalFormatting sqref="B18">
    <cfRule type="iconSet" priority="11">
      <iconSet iconSet="3Symbols">
        <cfvo type="percent" val="0"/>
        <cfvo type="num" val="1" gte="0"/>
        <cfvo type="num" val="1"/>
      </iconSet>
    </cfRule>
  </conditionalFormatting>
  <conditionalFormatting sqref="B46">
    <cfRule type="iconSet" priority="10">
      <iconSet iconSet="3Symbols">
        <cfvo type="percent" val="0"/>
        <cfvo type="num" val="1E-3" gte="0"/>
        <cfvo type="num" val="1"/>
      </iconSet>
    </cfRule>
  </conditionalFormatting>
  <conditionalFormatting sqref="B33:B45 B47:B64">
    <cfRule type="iconSet" priority="20">
      <iconSet iconSet="3Symbols">
        <cfvo type="percent" val="0"/>
        <cfvo type="num" val="1E-3" gte="0"/>
        <cfvo type="num" val="1"/>
      </iconSet>
    </cfRule>
  </conditionalFormatting>
  <conditionalFormatting sqref="B32">
    <cfRule type="iconSet" priority="9">
      <iconSet iconSet="3Symbols">
        <cfvo type="percent" val="0"/>
        <cfvo type="num" val="1E-3" gte="0"/>
        <cfvo type="num" val="1"/>
      </iconSet>
    </cfRule>
  </conditionalFormatting>
  <conditionalFormatting sqref="B32">
    <cfRule type="iconSet" priority="8">
      <iconSet iconSet="3Symbols">
        <cfvo type="percent" val="0"/>
        <cfvo type="num" val="1E-3" gte="0"/>
        <cfvo type="num" val="1"/>
      </iconSet>
    </cfRule>
  </conditionalFormatting>
  <conditionalFormatting sqref="B103">
    <cfRule type="iconSet" priority="6">
      <iconSet iconSet="3Symbols">
        <cfvo type="percent" val="0"/>
        <cfvo type="num" val="1E-3" gte="0"/>
        <cfvo type="num" val="1"/>
      </iconSet>
    </cfRule>
  </conditionalFormatting>
  <conditionalFormatting sqref="B97 B102">
    <cfRule type="iconSet" priority="7">
      <iconSet iconSet="3Symbols">
        <cfvo type="percent" val="0"/>
        <cfvo type="num" val="1"/>
        <cfvo type="num" val="2"/>
      </iconSet>
    </cfRule>
  </conditionalFormatting>
  <conditionalFormatting sqref="B101">
    <cfRule type="iconSet" priority="5">
      <iconSet iconSet="3Symbols">
        <cfvo type="percent" val="0"/>
        <cfvo type="num" val="1"/>
        <cfvo type="num" val="2"/>
      </iconSet>
    </cfRule>
  </conditionalFormatting>
  <conditionalFormatting sqref="B100">
    <cfRule type="iconSet" priority="4">
      <iconSet iconSet="3Symbols">
        <cfvo type="percent" val="0"/>
        <cfvo type="num" val="1"/>
        <cfvo type="num" val="2"/>
      </iconSet>
    </cfRule>
  </conditionalFormatting>
  <conditionalFormatting sqref="B98">
    <cfRule type="iconSet" priority="3">
      <iconSet iconSet="3Symbols">
        <cfvo type="percent" val="0"/>
        <cfvo type="num" val="1"/>
        <cfvo type="num" val="2"/>
      </iconSet>
    </cfRule>
  </conditionalFormatting>
  <conditionalFormatting sqref="B99">
    <cfRule type="iconSet" priority="2">
      <iconSet iconSet="3Symbols">
        <cfvo type="percent" val="0"/>
        <cfvo type="num" val="1"/>
        <cfvo type="num" val="2"/>
      </iconSet>
    </cfRule>
  </conditionalFormatting>
  <conditionalFormatting sqref="E16 E18 F18">
    <cfRule type="expression" dxfId="8" priority="1">
      <formula>CELL("PROTECT",E16)=1</formula>
    </cfRule>
  </conditionalFormatting>
  <dataValidations count="7">
    <dataValidation type="list" errorStyle="warning" showErrorMessage="1" errorTitle="Location Selection Error" error="You have entered a location that is not valid._x000a_Please click Yes, and choose a location from the drop down box." promptTitle="Location Selection" prompt="Select a State or Region" sqref="E16" xr:uid="{00000000-0002-0000-0600-000000000000}">
      <formula1>IF(UnitSystem="SI-Metric (Canada)",CanadaFirstLocations,IF(UnitSystem="US-Imperial (United States)",USFirstLocations,NA()))</formula1>
    </dataValidation>
    <dataValidation type="decimal" operator="greaterThanOrEqual" allowBlank="1" showErrorMessage="1" errorTitle="Data Input Error" error="The value in this cell must be a number value. (If you are using a computerthat's regional settings use a comma as a decimal point, such as French, be sure to enter any decimal value usign the comma as a decimal point)" sqref="E18 E30:E65" xr:uid="{00000000-0002-0000-0600-000001000000}">
      <formula1>0</formula1>
    </dataValidation>
    <dataValidation type="list" allowBlank="1" showInputMessage="1" showErrorMessage="1" sqref="Y2" xr:uid="{00000000-0002-0000-0600-000002000000}">
      <formula1>"A,B,C,D,Custom"</formula1>
    </dataValidation>
    <dataValidation type="decimal" operator="greaterThanOrEqual" allowBlank="1" showInputMessage="1" showErrorMessage="1" error="This entry must be a number greater than or equal to zero._x000a_" sqref="E67" xr:uid="{00000000-0002-0000-0600-000003000000}">
      <formula1>0</formula1>
    </dataValidation>
    <dataValidation operator="greaterThanOrEqual" allowBlank="1" showInputMessage="1" showErrorMessage="1" error="This entry must be a number greater than or equal to zero._x000a_" sqref="F67" xr:uid="{00000000-0002-0000-0600-000004000000}"/>
    <dataValidation type="list" allowBlank="1" showInputMessage="1" showErrorMessage="1" sqref="F64:F66 F59:F60 F42:F48" xr:uid="{00000000-0002-0000-0600-000005000000}">
      <formula1>Volume_Units</formula1>
    </dataValidation>
    <dataValidation type="list" allowBlank="1" showInputMessage="1" showErrorMessage="1" sqref="F30:F41 F61:F63 F49:F58 F18" xr:uid="{00000000-0002-0000-0600-000006000000}">
      <formula1>Mass_Units</formula1>
    </dataValidation>
  </dataValidations>
  <pageMargins left="0.70866141732283472" right="0.70866141732283472" top="0.74803149606299213" bottom="0.74803149606299213" header="0.31496062992125984" footer="0.31496062992125984"/>
  <pageSetup scale="48" fitToWidth="2" fitToHeight="1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Z376"/>
  <sheetViews>
    <sheetView zoomScale="90" zoomScaleNormal="90" workbookViewId="0"/>
  </sheetViews>
  <sheetFormatPr baseColWidth="10" defaultColWidth="9.1640625" defaultRowHeight="13"/>
  <cols>
    <col min="1" max="1" width="4" style="249" customWidth="1"/>
    <col min="2" max="2" width="4.6640625" style="249" customWidth="1"/>
    <col min="3" max="3" width="52.1640625" style="249" customWidth="1"/>
    <col min="4" max="4" width="22.6640625" style="249" bestFit="1" customWidth="1"/>
    <col min="5" max="5" width="26.33203125" style="249" customWidth="1"/>
    <col min="6" max="6" width="24.5" style="249" bestFit="1" customWidth="1"/>
    <col min="7" max="9" width="26.5" style="249" customWidth="1"/>
    <col min="10" max="10" width="25.6640625" style="249" customWidth="1"/>
    <col min="11" max="11" width="23.5" style="249" bestFit="1" customWidth="1"/>
    <col min="12" max="12" width="25" style="249" customWidth="1"/>
    <col min="13" max="13" width="16" style="249" bestFit="1" customWidth="1"/>
    <col min="14" max="26" width="9.1640625" style="250" customWidth="1"/>
    <col min="27" max="16384" width="9.1640625" style="249"/>
  </cols>
  <sheetData>
    <row r="1" spans="2:11" ht="138.75" customHeight="1" thickBot="1"/>
    <row r="2" spans="2:11" ht="21" thickBot="1">
      <c r="B2" s="83" t="str">
        <f>ToolName</f>
        <v>North American Precast Concrete Sustainable Plant Tool</v>
      </c>
      <c r="C2" s="84"/>
      <c r="D2" s="84"/>
      <c r="E2" s="84"/>
      <c r="F2" s="84"/>
      <c r="G2" s="84"/>
      <c r="H2" s="85"/>
      <c r="J2" s="3"/>
    </row>
    <row r="3" spans="2:11" ht="20">
      <c r="B3" s="14"/>
      <c r="C3" s="14"/>
      <c r="D3" s="14"/>
      <c r="E3" s="697" t="s">
        <v>71</v>
      </c>
      <c r="F3" s="698"/>
      <c r="G3" s="115"/>
      <c r="H3" s="117"/>
      <c r="J3" s="3"/>
    </row>
    <row r="4" spans="2:11" ht="20">
      <c r="B4" s="14"/>
      <c r="C4" s="14"/>
      <c r="D4" s="14"/>
      <c r="E4" s="699" t="s">
        <v>147</v>
      </c>
      <c r="F4" s="700"/>
      <c r="G4" s="116"/>
      <c r="H4" s="118"/>
      <c r="J4" s="3"/>
    </row>
    <row r="5" spans="2:11" ht="21" thickBot="1">
      <c r="B5" s="658" t="str">
        <f>'Plant Inputs'!C6</f>
        <v>Data Input is 0% Complete</v>
      </c>
      <c r="C5" s="658"/>
      <c r="D5" s="658"/>
      <c r="E5" s="705" t="str">
        <f ca="1">"Plant "&amp;'Welcome and How-to'!B8 &amp; " " &amp; 'Welcome and How-to'!C8 &amp;" " &amp;  'Welcome and How-to'!D8</f>
        <v>Plant 2000 Annual 2014</v>
      </c>
      <c r="F5" s="706"/>
      <c r="G5" s="364">
        <f>'Plant Inputs'!G5</f>
        <v>0</v>
      </c>
      <c r="H5" s="365" t="str">
        <f>"Per "&amp;PROPER(MassDisplayUnit)
&amp;" of Precast"</f>
        <v>Per Short Ton of Precast</v>
      </c>
    </row>
    <row r="6" spans="2:11" ht="27.75" customHeight="1">
      <c r="B6" s="54"/>
      <c r="C6" s="54"/>
      <c r="D6" s="54"/>
      <c r="E6" s="707" t="s">
        <v>208</v>
      </c>
      <c r="F6" s="708"/>
      <c r="G6" s="137">
        <f>'Plant Inputs'!G6</f>
        <v>0</v>
      </c>
      <c r="H6" s="138">
        <f>'Plant Inputs'!I6</f>
        <v>0</v>
      </c>
    </row>
    <row r="7" spans="2:11" ht="27.75" customHeight="1">
      <c r="B7" s="54"/>
      <c r="C7" s="54"/>
      <c r="D7" s="54"/>
      <c r="E7" s="701" t="s">
        <v>262</v>
      </c>
      <c r="F7" s="702"/>
      <c r="G7" s="137">
        <f>'Plant Inputs'!G7</f>
        <v>0</v>
      </c>
      <c r="H7" s="138">
        <f>'Plant Inputs'!I7</f>
        <v>0</v>
      </c>
    </row>
    <row r="8" spans="2:11" ht="26.25" customHeight="1" thickBot="1">
      <c r="B8" s="251"/>
      <c r="C8" s="251"/>
      <c r="D8" s="251"/>
      <c r="E8" s="703" t="s">
        <v>80</v>
      </c>
      <c r="F8" s="704"/>
      <c r="G8" s="354">
        <f>'Plant Inputs'!G8</f>
        <v>0</v>
      </c>
      <c r="H8" s="187">
        <f>'Plant Inputs'!I8</f>
        <v>0</v>
      </c>
      <c r="I8" s="251"/>
      <c r="J8" s="251"/>
    </row>
    <row r="9" spans="2:11" ht="26.25" customHeight="1">
      <c r="B9" s="251"/>
      <c r="C9" s="251"/>
      <c r="D9" s="251"/>
      <c r="E9" s="3"/>
      <c r="F9" s="3"/>
      <c r="G9" s="3"/>
      <c r="H9" s="3"/>
      <c r="I9" s="251"/>
      <c r="J9" s="251"/>
    </row>
    <row r="10" spans="2:11" ht="26.25" customHeight="1">
      <c r="B10" s="251"/>
      <c r="C10" s="251"/>
      <c r="D10" s="251"/>
      <c r="E10" s="251"/>
      <c r="F10" s="251"/>
      <c r="G10" s="251"/>
      <c r="H10" s="251"/>
      <c r="I10" s="251"/>
      <c r="J10" s="251"/>
    </row>
    <row r="11" spans="2:11" ht="14" thickBot="1"/>
    <row r="12" spans="2:11" ht="16.5" customHeight="1">
      <c r="B12" s="709" t="s">
        <v>333</v>
      </c>
      <c r="C12" s="710"/>
      <c r="D12" s="710"/>
      <c r="E12" s="710"/>
      <c r="F12" s="710"/>
      <c r="G12" s="710"/>
      <c r="H12" s="710"/>
      <c r="I12" s="710"/>
      <c r="J12" s="711"/>
      <c r="K12" s="252"/>
    </row>
    <row r="13" spans="2:11" ht="16.5" customHeight="1">
      <c r="B13" s="693"/>
      <c r="C13" s="694"/>
      <c r="D13" s="694"/>
      <c r="E13" s="694"/>
      <c r="F13" s="694"/>
      <c r="G13" s="694"/>
      <c r="H13" s="694"/>
      <c r="I13" s="694"/>
      <c r="J13" s="695"/>
      <c r="K13" s="252"/>
    </row>
    <row r="14" spans="2:11" ht="16.5" customHeight="1">
      <c r="B14" s="253"/>
      <c r="C14" s="254"/>
      <c r="D14" s="254"/>
      <c r="E14" s="254"/>
      <c r="F14" s="254"/>
      <c r="G14" s="254"/>
      <c r="H14" s="254"/>
      <c r="I14" s="254"/>
      <c r="J14" s="255"/>
      <c r="K14" s="252"/>
    </row>
    <row r="15" spans="2:11" ht="16.5" customHeight="1">
      <c r="B15" s="693" t="s">
        <v>234</v>
      </c>
      <c r="C15" s="694"/>
      <c r="D15" s="694"/>
      <c r="E15" s="694"/>
      <c r="F15" s="694"/>
      <c r="G15" s="694"/>
      <c r="H15" s="694"/>
      <c r="I15" s="694"/>
      <c r="J15" s="695"/>
      <c r="K15" s="252"/>
    </row>
    <row r="16" spans="2:11" ht="16.5" customHeight="1">
      <c r="B16" s="693" t="s">
        <v>235</v>
      </c>
      <c r="C16" s="694"/>
      <c r="D16" s="694"/>
      <c r="E16" s="694"/>
      <c r="F16" s="694"/>
      <c r="G16" s="694"/>
      <c r="H16" s="694"/>
      <c r="I16" s="694"/>
      <c r="J16" s="695"/>
      <c r="K16" s="252"/>
    </row>
    <row r="17" spans="2:26" ht="16.5" customHeight="1">
      <c r="B17" s="693" t="s">
        <v>236</v>
      </c>
      <c r="C17" s="694"/>
      <c r="D17" s="694"/>
      <c r="E17" s="694"/>
      <c r="F17" s="694"/>
      <c r="G17" s="694"/>
      <c r="H17" s="694"/>
      <c r="I17" s="694"/>
      <c r="J17" s="695"/>
      <c r="K17" s="252"/>
    </row>
    <row r="18" spans="2:26" ht="16.5" customHeight="1">
      <c r="B18" s="693" t="s">
        <v>237</v>
      </c>
      <c r="C18" s="694"/>
      <c r="D18" s="694"/>
      <c r="E18" s="694"/>
      <c r="F18" s="694"/>
      <c r="G18" s="694"/>
      <c r="H18" s="694"/>
      <c r="I18" s="694"/>
      <c r="J18" s="695"/>
      <c r="K18" s="252"/>
    </row>
    <row r="19" spans="2:26" ht="16.5" customHeight="1">
      <c r="B19" s="693"/>
      <c r="C19" s="694"/>
      <c r="D19" s="694"/>
      <c r="E19" s="694"/>
      <c r="F19" s="694"/>
      <c r="G19" s="694"/>
      <c r="H19" s="694"/>
      <c r="I19" s="694"/>
      <c r="J19" s="695"/>
      <c r="K19" s="252"/>
    </row>
    <row r="20" spans="2:26" ht="16.5" customHeight="1">
      <c r="B20" s="693"/>
      <c r="C20" s="694"/>
      <c r="D20" s="694"/>
      <c r="E20" s="694"/>
      <c r="F20" s="694"/>
      <c r="G20" s="694"/>
      <c r="H20" s="694"/>
      <c r="I20" s="694"/>
      <c r="J20" s="695"/>
      <c r="K20" s="252"/>
    </row>
    <row r="21" spans="2:26" ht="16.5" customHeight="1">
      <c r="B21" s="693" t="s">
        <v>337</v>
      </c>
      <c r="C21" s="694"/>
      <c r="D21" s="694"/>
      <c r="E21" s="694"/>
      <c r="F21" s="694"/>
      <c r="G21" s="694"/>
      <c r="H21" s="694"/>
      <c r="I21" s="694"/>
      <c r="J21" s="695"/>
      <c r="K21" s="252"/>
    </row>
    <row r="22" spans="2:26" ht="16.5" customHeight="1">
      <c r="B22" s="693"/>
      <c r="C22" s="694"/>
      <c r="D22" s="694"/>
      <c r="E22" s="694"/>
      <c r="F22" s="694"/>
      <c r="G22" s="694"/>
      <c r="H22" s="694"/>
      <c r="I22" s="694"/>
      <c r="J22" s="695"/>
      <c r="K22" s="252"/>
    </row>
    <row r="23" spans="2:26" ht="16.5" customHeight="1">
      <c r="B23" s="693"/>
      <c r="C23" s="694"/>
      <c r="D23" s="694"/>
      <c r="E23" s="694"/>
      <c r="F23" s="694"/>
      <c r="G23" s="694"/>
      <c r="H23" s="694"/>
      <c r="I23" s="694"/>
      <c r="J23" s="695"/>
      <c r="K23" s="252"/>
    </row>
    <row r="24" spans="2:26" ht="16.5" customHeight="1">
      <c r="B24" s="693" t="s">
        <v>334</v>
      </c>
      <c r="C24" s="694"/>
      <c r="D24" s="694"/>
      <c r="E24" s="694"/>
      <c r="F24" s="694"/>
      <c r="G24" s="694"/>
      <c r="H24" s="694"/>
      <c r="I24" s="694"/>
      <c r="J24" s="695"/>
      <c r="K24" s="252"/>
    </row>
    <row r="25" spans="2:26" ht="16.5" customHeight="1" thickBot="1">
      <c r="B25" s="256"/>
      <c r="C25" s="257"/>
      <c r="D25" s="257"/>
      <c r="E25" s="257"/>
      <c r="F25" s="257"/>
      <c r="G25" s="257"/>
      <c r="H25" s="257"/>
      <c r="I25" s="257"/>
      <c r="J25" s="258"/>
      <c r="K25" s="252"/>
    </row>
    <row r="26" spans="2:26" ht="12.75" customHeight="1">
      <c r="B26" s="366"/>
      <c r="C26" s="366"/>
      <c r="D26" s="366"/>
      <c r="E26" s="366"/>
      <c r="F26" s="366"/>
      <c r="G26" s="366"/>
      <c r="H26" s="366"/>
      <c r="I26" s="366"/>
      <c r="J26" s="366"/>
      <c r="K26" s="252"/>
    </row>
    <row r="27" spans="2:26" ht="16">
      <c r="B27" s="696" t="s">
        <v>74</v>
      </c>
      <c r="C27" s="696"/>
      <c r="D27" s="696"/>
      <c r="E27" s="696"/>
      <c r="F27" s="696"/>
      <c r="G27" s="696"/>
      <c r="H27" s="696"/>
      <c r="I27" s="696"/>
      <c r="J27" s="696"/>
      <c r="K27" s="252"/>
    </row>
    <row r="28" spans="2:26" ht="13.5" customHeight="1">
      <c r="B28" s="366"/>
      <c r="C28" s="366"/>
      <c r="D28" s="366"/>
      <c r="E28" s="366"/>
      <c r="F28" s="366"/>
      <c r="G28" s="366"/>
      <c r="H28" s="366"/>
      <c r="I28" s="366"/>
      <c r="J28" s="366"/>
      <c r="K28" s="252"/>
    </row>
    <row r="29" spans="2:26" ht="15.75" customHeight="1"/>
    <row r="30" spans="2:26" ht="14" thickBot="1"/>
    <row r="31" spans="2:26" s="11" customFormat="1" ht="19" thickBot="1">
      <c r="B31" s="259" t="str">
        <f>'Chart Data'!B31</f>
        <v>A. Global Warming Potential Contribution Analysis</v>
      </c>
      <c r="C31" s="260"/>
      <c r="D31" s="260"/>
      <c r="E31" s="260"/>
      <c r="F31" s="260"/>
      <c r="G31" s="260"/>
      <c r="H31" s="260"/>
      <c r="I31" s="260"/>
      <c r="J31" s="260"/>
      <c r="K31" s="260"/>
      <c r="L31" s="261"/>
      <c r="M31" s="249"/>
      <c r="N31" s="262"/>
      <c r="O31" s="262"/>
      <c r="P31" s="262"/>
      <c r="Q31" s="262"/>
      <c r="R31" s="262"/>
      <c r="S31" s="262"/>
      <c r="T31" s="262"/>
      <c r="U31" s="262"/>
      <c r="V31" s="262"/>
      <c r="W31" s="262"/>
      <c r="X31" s="262"/>
      <c r="Y31" s="262"/>
      <c r="Z31" s="262"/>
    </row>
    <row r="35" spans="15:15">
      <c r="O35" s="263"/>
    </row>
    <row r="60" spans="3:6">
      <c r="D60" s="264"/>
    </row>
    <row r="62" spans="3:6">
      <c r="D62" s="265"/>
      <c r="E62" s="266" t="str">
        <f>'Chart Data'!E62</f>
        <v>Global Warming Potential by Contribution (CO2e)</v>
      </c>
      <c r="F62" s="267"/>
    </row>
    <row r="63" spans="3:6">
      <c r="C63" s="265" t="str">
        <f>'Chart Data'!C63</f>
        <v>Contributor</v>
      </c>
      <c r="D63" s="268" t="str">
        <f>'Chart Data'!D63</f>
        <v>Total (short ton)</v>
      </c>
      <c r="E63" s="269" t="str">
        <f>'Chart Data'!E63</f>
        <v>lbs/short ton precast</v>
      </c>
      <c r="F63" s="270" t="str">
        <f>'Chart Data'!F63</f>
        <v>Percentage</v>
      </c>
    </row>
    <row r="64" spans="3:6">
      <c r="C64" s="271" t="str">
        <f>'Chart Data'!C64</f>
        <v>Materials</v>
      </c>
      <c r="D64" s="272">
        <f>'Chart Data'!D64</f>
        <v>0</v>
      </c>
      <c r="E64" s="273">
        <f>'Chart Data'!E64</f>
        <v>0</v>
      </c>
      <c r="F64" s="274">
        <f>'Chart Data'!F64</f>
        <v>0</v>
      </c>
    </row>
    <row r="65" spans="2:26">
      <c r="C65" s="271" t="str">
        <f>'Chart Data'!C65</f>
        <v>Material Transportation</v>
      </c>
      <c r="D65" s="272">
        <f>'Chart Data'!D65</f>
        <v>0</v>
      </c>
      <c r="E65" s="273">
        <f>'Chart Data'!E65</f>
        <v>0</v>
      </c>
      <c r="F65" s="274">
        <f>'Chart Data'!F65</f>
        <v>0</v>
      </c>
    </row>
    <row r="66" spans="2:26">
      <c r="C66" s="271" t="str">
        <f>'Chart Data'!C66</f>
        <v>Plant Operations</v>
      </c>
      <c r="D66" s="272">
        <f>'Chart Data'!D66</f>
        <v>0</v>
      </c>
      <c r="E66" s="273">
        <f>'Chart Data'!E66</f>
        <v>0</v>
      </c>
      <c r="F66" s="274">
        <f>'Chart Data'!F66</f>
        <v>0</v>
      </c>
    </row>
    <row r="67" spans="2:26">
      <c r="C67" s="275" t="str">
        <f>'Chart Data'!C67</f>
        <v>Total</v>
      </c>
      <c r="D67" s="276">
        <f>'Chart Data'!D67</f>
        <v>0</v>
      </c>
      <c r="E67" s="277">
        <f>'Chart Data'!E67</f>
        <v>0</v>
      </c>
      <c r="F67" s="278">
        <f>'Chart Data'!F67</f>
        <v>0</v>
      </c>
    </row>
    <row r="68" spans="2:26" ht="14" thickBot="1"/>
    <row r="69" spans="2:26" s="11" customFormat="1" ht="19" thickBot="1">
      <c r="B69" s="259" t="s">
        <v>226</v>
      </c>
      <c r="C69" s="260"/>
      <c r="D69" s="260"/>
      <c r="E69" s="260"/>
      <c r="F69" s="260"/>
      <c r="G69" s="260"/>
      <c r="H69" s="260"/>
      <c r="I69" s="260"/>
      <c r="J69" s="260"/>
      <c r="K69" s="260"/>
      <c r="L69" s="261"/>
      <c r="M69" s="249"/>
      <c r="N69" s="262"/>
      <c r="O69" s="262"/>
      <c r="P69" s="262"/>
      <c r="Q69" s="262"/>
      <c r="R69" s="262"/>
      <c r="S69" s="262"/>
      <c r="T69" s="262"/>
      <c r="U69" s="262"/>
      <c r="V69" s="262"/>
      <c r="W69" s="262"/>
      <c r="X69" s="262"/>
      <c r="Y69" s="262"/>
      <c r="Z69" s="262"/>
    </row>
    <row r="102" spans="3:12">
      <c r="D102" s="279" t="s">
        <v>233</v>
      </c>
    </row>
    <row r="103" spans="3:12">
      <c r="D103" s="280">
        <v>0.01</v>
      </c>
    </row>
    <row r="105" spans="3:12" ht="14.25" customHeight="1"/>
    <row r="106" spans="3:12" ht="13.5" customHeight="1">
      <c r="D106" s="281"/>
      <c r="E106" s="282" t="str">
        <f>'Chart Data'!E106</f>
        <v>Material Manufacturing &amp; Transportation GWP (short ton CO₂e)</v>
      </c>
      <c r="F106" s="283"/>
      <c r="G106" s="284"/>
      <c r="H106" s="285" t="str">
        <f>'Chart Data'!H106</f>
        <v>Material Manufacturing &amp; Transportation GWP (lbs CO₂e/short ton of precast)</v>
      </c>
      <c r="I106" s="286"/>
      <c r="J106" s="287"/>
      <c r="K106" s="288" t="str">
        <f>'Chart Data'!K106</f>
        <v>Percentage</v>
      </c>
      <c r="L106" s="289"/>
    </row>
    <row r="107" spans="3:12" ht="13.5" customHeight="1">
      <c r="C107" s="290" t="str">
        <f>'Chart Data'!C107</f>
        <v>Material</v>
      </c>
      <c r="D107" s="291" t="str">
        <f>'Chart Data'!D107</f>
        <v>Material</v>
      </c>
      <c r="E107" s="291" t="str">
        <f>'Chart Data'!E107</f>
        <v>Transportation</v>
      </c>
      <c r="F107" s="291" t="str">
        <f>'Chart Data'!F107</f>
        <v>Total</v>
      </c>
      <c r="G107" s="269" t="str">
        <f>'Chart Data'!G107</f>
        <v>Material</v>
      </c>
      <c r="H107" s="269" t="str">
        <f>'Chart Data'!H107</f>
        <v>Transportation</v>
      </c>
      <c r="I107" s="269" t="str">
        <f>'Chart Data'!I107</f>
        <v>Total</v>
      </c>
      <c r="J107" s="270" t="str">
        <f>'Chart Data'!J107</f>
        <v>Material</v>
      </c>
      <c r="K107" s="270" t="str">
        <f>'Chart Data'!K107</f>
        <v>Transportation</v>
      </c>
      <c r="L107" s="270" t="str">
        <f>'Chart Data'!L107</f>
        <v>Total</v>
      </c>
    </row>
    <row r="108" spans="3:12" ht="14">
      <c r="C108" s="426" t="str">
        <f>'Chart Data'!C108</f>
        <v>Portland Cement</v>
      </c>
      <c r="D108" s="293">
        <f>'Chart Data'!D108</f>
        <v>0</v>
      </c>
      <c r="E108" s="293">
        <f>'Chart Data'!E108</f>
        <v>0</v>
      </c>
      <c r="F108" s="293">
        <f>'Chart Data'!F108</f>
        <v>0</v>
      </c>
      <c r="G108" s="294">
        <f>'Chart Data'!G108</f>
        <v>0</v>
      </c>
      <c r="H108" s="294">
        <f>'Chart Data'!H108</f>
        <v>0</v>
      </c>
      <c r="I108" s="294">
        <f>'Chart Data'!I108</f>
        <v>0</v>
      </c>
      <c r="J108" s="295">
        <f>'Chart Data'!J108</f>
        <v>0</v>
      </c>
      <c r="K108" s="295">
        <f>'Chart Data'!K108</f>
        <v>0</v>
      </c>
      <c r="L108" s="295">
        <f>'Chart Data'!L108</f>
        <v>0</v>
      </c>
    </row>
    <row r="109" spans="3:12" ht="14">
      <c r="C109" s="426" t="str">
        <f>'Chart Data'!C109</f>
        <v>Portland Limestone Cement (PLC)</v>
      </c>
      <c r="D109" s="293">
        <f>'Chart Data'!D109</f>
        <v>0</v>
      </c>
      <c r="E109" s="293">
        <f>'Chart Data'!E109</f>
        <v>0</v>
      </c>
      <c r="F109" s="293">
        <f>'Chart Data'!F109</f>
        <v>0</v>
      </c>
      <c r="G109" s="294">
        <f>'Chart Data'!G109</f>
        <v>0</v>
      </c>
      <c r="H109" s="294">
        <f>'Chart Data'!H109</f>
        <v>0</v>
      </c>
      <c r="I109" s="294">
        <f>'Chart Data'!I109</f>
        <v>0</v>
      </c>
      <c r="J109" s="295">
        <f>'Chart Data'!J109</f>
        <v>0</v>
      </c>
      <c r="K109" s="295">
        <f>'Chart Data'!K109</f>
        <v>0</v>
      </c>
      <c r="L109" s="295">
        <f>'Chart Data'!L109</f>
        <v>0</v>
      </c>
    </row>
    <row r="110" spans="3:12" ht="14">
      <c r="C110" s="426" t="str">
        <f>'Chart Data'!C110</f>
        <v>Pre-Blended Cement</v>
      </c>
      <c r="D110" s="293">
        <f>'Chart Data'!D110</f>
        <v>0</v>
      </c>
      <c r="E110" s="293">
        <f>'Chart Data'!E110</f>
        <v>0</v>
      </c>
      <c r="F110" s="293">
        <f>'Chart Data'!F110</f>
        <v>0</v>
      </c>
      <c r="G110" s="294">
        <f>'Chart Data'!G110</f>
        <v>0</v>
      </c>
      <c r="H110" s="294">
        <f>'Chart Data'!H110</f>
        <v>0</v>
      </c>
      <c r="I110" s="294">
        <f>'Chart Data'!I110</f>
        <v>0</v>
      </c>
      <c r="J110" s="295">
        <f>'Chart Data'!J110</f>
        <v>0</v>
      </c>
      <c r="K110" s="295">
        <f>'Chart Data'!K110</f>
        <v>0</v>
      </c>
      <c r="L110" s="295">
        <f>'Chart Data'!L110</f>
        <v>0</v>
      </c>
    </row>
    <row r="111" spans="3:12" ht="14">
      <c r="C111" s="426" t="str">
        <f>'Chart Data'!C111</f>
        <v>Fine Aggregate - natural sand</v>
      </c>
      <c r="D111" s="293">
        <f>'Chart Data'!D111</f>
        <v>0</v>
      </c>
      <c r="E111" s="293">
        <f>'Chart Data'!E111</f>
        <v>0</v>
      </c>
      <c r="F111" s="293">
        <f>'Chart Data'!F111</f>
        <v>0</v>
      </c>
      <c r="G111" s="294">
        <f>'Chart Data'!G111</f>
        <v>0</v>
      </c>
      <c r="H111" s="294">
        <f>'Chart Data'!H111</f>
        <v>0</v>
      </c>
      <c r="I111" s="294">
        <f>'Chart Data'!I111</f>
        <v>0</v>
      </c>
      <c r="J111" s="295">
        <f>'Chart Data'!J111</f>
        <v>0</v>
      </c>
      <c r="K111" s="295">
        <f>'Chart Data'!K111</f>
        <v>0</v>
      </c>
      <c r="L111" s="295">
        <f>'Chart Data'!L111</f>
        <v>0</v>
      </c>
    </row>
    <row r="112" spans="3:12" ht="14">
      <c r="C112" s="426" t="str">
        <f>'Chart Data'!C112</f>
        <v>Fine Aggregate - manufactured</v>
      </c>
      <c r="D112" s="293">
        <f>'Chart Data'!D112</f>
        <v>0</v>
      </c>
      <c r="E112" s="293">
        <f>'Chart Data'!E112</f>
        <v>0</v>
      </c>
      <c r="F112" s="293">
        <f>'Chart Data'!F112</f>
        <v>0</v>
      </c>
      <c r="G112" s="294">
        <f>'Chart Data'!G112</f>
        <v>0</v>
      </c>
      <c r="H112" s="294">
        <f>'Chart Data'!H112</f>
        <v>0</v>
      </c>
      <c r="I112" s="294">
        <f>'Chart Data'!I112</f>
        <v>0</v>
      </c>
      <c r="J112" s="295">
        <f>'Chart Data'!J112</f>
        <v>0</v>
      </c>
      <c r="K112" s="295">
        <f>'Chart Data'!K112</f>
        <v>0</v>
      </c>
      <c r="L112" s="295">
        <f>'Chart Data'!L112</f>
        <v>0</v>
      </c>
    </row>
    <row r="113" spans="3:12" ht="14">
      <c r="C113" s="426" t="str">
        <f>'Chart Data'!C113</f>
        <v>Coarse Aggregate - natural gravel</v>
      </c>
      <c r="D113" s="293">
        <f>'Chart Data'!D113</f>
        <v>0</v>
      </c>
      <c r="E113" s="293">
        <f>'Chart Data'!E113</f>
        <v>0</v>
      </c>
      <c r="F113" s="293">
        <f>'Chart Data'!F113</f>
        <v>0</v>
      </c>
      <c r="G113" s="294">
        <f>'Chart Data'!G113</f>
        <v>0</v>
      </c>
      <c r="H113" s="294">
        <f>'Chart Data'!H113</f>
        <v>0</v>
      </c>
      <c r="I113" s="294">
        <f>'Chart Data'!I113</f>
        <v>0</v>
      </c>
      <c r="J113" s="295">
        <f>'Chart Data'!J113</f>
        <v>0</v>
      </c>
      <c r="K113" s="295">
        <f>'Chart Data'!K113</f>
        <v>0</v>
      </c>
      <c r="L113" s="295">
        <f>'Chart Data'!L113</f>
        <v>0</v>
      </c>
    </row>
    <row r="114" spans="3:12" ht="14">
      <c r="C114" s="426" t="str">
        <f>'Chart Data'!C114</f>
        <v>Coarse Aggregate - crushed</v>
      </c>
      <c r="D114" s="293">
        <f>'Chart Data'!D114</f>
        <v>0</v>
      </c>
      <c r="E114" s="293">
        <f>'Chart Data'!E114</f>
        <v>0</v>
      </c>
      <c r="F114" s="293">
        <f>'Chart Data'!F114</f>
        <v>0</v>
      </c>
      <c r="G114" s="294">
        <f>'Chart Data'!G114</f>
        <v>0</v>
      </c>
      <c r="H114" s="294">
        <f>'Chart Data'!H114</f>
        <v>0</v>
      </c>
      <c r="I114" s="294">
        <f>'Chart Data'!I114</f>
        <v>0</v>
      </c>
      <c r="J114" s="295">
        <f>'Chart Data'!J114</f>
        <v>0</v>
      </c>
      <c r="K114" s="295">
        <f>'Chart Data'!K114</f>
        <v>0</v>
      </c>
      <c r="L114" s="295">
        <f>'Chart Data'!L114</f>
        <v>0</v>
      </c>
    </row>
    <row r="115" spans="3:12" ht="14">
      <c r="C115" s="426" t="str">
        <f>'Chart Data'!C115</f>
        <v>Manufactured Lightweight Aggregate</v>
      </c>
      <c r="D115" s="293">
        <f>'Chart Data'!D115</f>
        <v>0</v>
      </c>
      <c r="E115" s="293">
        <f>'Chart Data'!E115</f>
        <v>0</v>
      </c>
      <c r="F115" s="293">
        <f>'Chart Data'!F115</f>
        <v>0</v>
      </c>
      <c r="G115" s="294">
        <f>'Chart Data'!G115</f>
        <v>0</v>
      </c>
      <c r="H115" s="294">
        <f>'Chart Data'!H115</f>
        <v>0</v>
      </c>
      <c r="I115" s="294">
        <f>'Chart Data'!I115</f>
        <v>0</v>
      </c>
      <c r="J115" s="295">
        <f>'Chart Data'!J115</f>
        <v>0</v>
      </c>
      <c r="K115" s="295">
        <f>'Chart Data'!K115</f>
        <v>0</v>
      </c>
      <c r="L115" s="295">
        <f>'Chart Data'!L115</f>
        <v>0</v>
      </c>
    </row>
    <row r="116" spans="3:12" ht="14">
      <c r="C116" s="426" t="str">
        <f>'Chart Data'!C116</f>
        <v>Natural Lightweight Aggregate</v>
      </c>
      <c r="D116" s="293">
        <f>'Chart Data'!D116</f>
        <v>0</v>
      </c>
      <c r="E116" s="293">
        <f>'Chart Data'!E116</f>
        <v>0</v>
      </c>
      <c r="F116" s="293">
        <f>'Chart Data'!F116</f>
        <v>0</v>
      </c>
      <c r="G116" s="294">
        <f>'Chart Data'!G116</f>
        <v>0</v>
      </c>
      <c r="H116" s="294">
        <f>'Chart Data'!H116</f>
        <v>0</v>
      </c>
      <c r="I116" s="294">
        <f>'Chart Data'!I116</f>
        <v>0</v>
      </c>
      <c r="J116" s="295">
        <f>'Chart Data'!J116</f>
        <v>0</v>
      </c>
      <c r="K116" s="295">
        <f>'Chart Data'!K116</f>
        <v>0</v>
      </c>
      <c r="L116" s="295">
        <f>'Chart Data'!L116</f>
        <v>0</v>
      </c>
    </row>
    <row r="117" spans="3:12" ht="14">
      <c r="C117" s="426" t="str">
        <f>'Chart Data'!C117</f>
        <v>SCMs - Fly Ash</v>
      </c>
      <c r="D117" s="293">
        <f>'Chart Data'!D117</f>
        <v>0</v>
      </c>
      <c r="E117" s="293">
        <f>'Chart Data'!E117</f>
        <v>0</v>
      </c>
      <c r="F117" s="293">
        <f>'Chart Data'!F117</f>
        <v>0</v>
      </c>
      <c r="G117" s="294">
        <f>'Chart Data'!G117</f>
        <v>0</v>
      </c>
      <c r="H117" s="294">
        <f>'Chart Data'!H117</f>
        <v>0</v>
      </c>
      <c r="I117" s="294">
        <f>'Chart Data'!I117</f>
        <v>0</v>
      </c>
      <c r="J117" s="295">
        <f>'Chart Data'!J117</f>
        <v>0</v>
      </c>
      <c r="K117" s="295">
        <f>'Chart Data'!K117</f>
        <v>0</v>
      </c>
      <c r="L117" s="295">
        <f>'Chart Data'!L117</f>
        <v>0</v>
      </c>
    </row>
    <row r="118" spans="3:12" ht="14">
      <c r="C118" s="426" t="str">
        <f>'Chart Data'!C118</f>
        <v>SCMs - Silica Fume</v>
      </c>
      <c r="D118" s="293">
        <f>'Chart Data'!D118</f>
        <v>0</v>
      </c>
      <c r="E118" s="293">
        <f>'Chart Data'!E118</f>
        <v>0</v>
      </c>
      <c r="F118" s="293">
        <f>'Chart Data'!F118</f>
        <v>0</v>
      </c>
      <c r="G118" s="294">
        <f>'Chart Data'!G118</f>
        <v>0</v>
      </c>
      <c r="H118" s="294">
        <f>'Chart Data'!H118</f>
        <v>0</v>
      </c>
      <c r="I118" s="294">
        <f>'Chart Data'!I118</f>
        <v>0</v>
      </c>
      <c r="J118" s="295">
        <f>'Chart Data'!J118</f>
        <v>0</v>
      </c>
      <c r="K118" s="295">
        <f>'Chart Data'!K118</f>
        <v>0</v>
      </c>
      <c r="L118" s="295">
        <f>'Chart Data'!L118</f>
        <v>0</v>
      </c>
    </row>
    <row r="119" spans="3:12" ht="14">
      <c r="C119" s="426" t="str">
        <f>'Chart Data'!C119</f>
        <v>Slag Cement</v>
      </c>
      <c r="D119" s="293">
        <f>'Chart Data'!D119</f>
        <v>0</v>
      </c>
      <c r="E119" s="293">
        <f>'Chart Data'!E119</f>
        <v>0</v>
      </c>
      <c r="F119" s="293">
        <f>'Chart Data'!F119</f>
        <v>0</v>
      </c>
      <c r="G119" s="294">
        <f>'Chart Data'!G119</f>
        <v>0</v>
      </c>
      <c r="H119" s="294">
        <f>'Chart Data'!H119</f>
        <v>0</v>
      </c>
      <c r="I119" s="294">
        <f>'Chart Data'!I119</f>
        <v>0</v>
      </c>
      <c r="J119" s="295">
        <f>'Chart Data'!J119</f>
        <v>0</v>
      </c>
      <c r="K119" s="295">
        <f>'Chart Data'!K119</f>
        <v>0</v>
      </c>
      <c r="L119" s="295">
        <f>'Chart Data'!L119</f>
        <v>0</v>
      </c>
    </row>
    <row r="120" spans="3:12" ht="14">
      <c r="C120" s="426" t="str">
        <f>'Chart Data'!C120</f>
        <v>Chemical Admixture - Air Entraining Agent</v>
      </c>
      <c r="D120" s="293">
        <f>'Chart Data'!D120</f>
        <v>0</v>
      </c>
      <c r="E120" s="293">
        <f>'Chart Data'!E120</f>
        <v>0</v>
      </c>
      <c r="F120" s="293">
        <f>'Chart Data'!F120</f>
        <v>0</v>
      </c>
      <c r="G120" s="294">
        <f>'Chart Data'!G120</f>
        <v>0</v>
      </c>
      <c r="H120" s="294">
        <f>'Chart Data'!H120</f>
        <v>0</v>
      </c>
      <c r="I120" s="294">
        <f>'Chart Data'!I120</f>
        <v>0</v>
      </c>
      <c r="J120" s="295">
        <f>'Chart Data'!J120</f>
        <v>0</v>
      </c>
      <c r="K120" s="295">
        <f>'Chart Data'!K120</f>
        <v>0</v>
      </c>
      <c r="L120" s="295">
        <f>'Chart Data'!L120</f>
        <v>0</v>
      </c>
    </row>
    <row r="121" spans="3:12" ht="14">
      <c r="C121" s="426" t="str">
        <f>'Chart Data'!C121</f>
        <v>Chemical Admixture - Water Reducer/Plasticizer</v>
      </c>
      <c r="D121" s="293">
        <f>'Chart Data'!D121</f>
        <v>0</v>
      </c>
      <c r="E121" s="293">
        <f>'Chart Data'!E121</f>
        <v>0</v>
      </c>
      <c r="F121" s="293">
        <f>'Chart Data'!F121</f>
        <v>0</v>
      </c>
      <c r="G121" s="294">
        <f>'Chart Data'!G121</f>
        <v>0</v>
      </c>
      <c r="H121" s="294">
        <f>'Chart Data'!H121</f>
        <v>0</v>
      </c>
      <c r="I121" s="294">
        <f>'Chart Data'!I121</f>
        <v>0</v>
      </c>
      <c r="J121" s="295">
        <f>'Chart Data'!J121</f>
        <v>0</v>
      </c>
      <c r="K121" s="295">
        <f>'Chart Data'!K121</f>
        <v>0</v>
      </c>
      <c r="L121" s="295">
        <f>'Chart Data'!L121</f>
        <v>0</v>
      </c>
    </row>
    <row r="122" spans="3:12" ht="14">
      <c r="C122" s="426" t="str">
        <f>'Chart Data'!C122</f>
        <v>Chemical Admixture - Accelerator</v>
      </c>
      <c r="D122" s="293">
        <f>'Chart Data'!D122</f>
        <v>0</v>
      </c>
      <c r="E122" s="293">
        <f>'Chart Data'!E122</f>
        <v>0</v>
      </c>
      <c r="F122" s="293">
        <f>'Chart Data'!F122</f>
        <v>0</v>
      </c>
      <c r="G122" s="294">
        <f>'Chart Data'!G122</f>
        <v>0</v>
      </c>
      <c r="H122" s="294">
        <f>'Chart Data'!H122</f>
        <v>0</v>
      </c>
      <c r="I122" s="294">
        <f>'Chart Data'!I122</f>
        <v>0</v>
      </c>
      <c r="J122" s="295">
        <f>'Chart Data'!J122</f>
        <v>0</v>
      </c>
      <c r="K122" s="295">
        <f>'Chart Data'!K122</f>
        <v>0</v>
      </c>
      <c r="L122" s="295">
        <f>'Chart Data'!L122</f>
        <v>0</v>
      </c>
    </row>
    <row r="123" spans="3:12" ht="29.25" customHeight="1">
      <c r="C123" s="426" t="str">
        <f>'Chart Data'!C123</f>
        <v>Chemical Admixture - High Range Water Reducer (HRWR)/Super Plasticizer</v>
      </c>
      <c r="D123" s="293">
        <f>'Chart Data'!D123</f>
        <v>0</v>
      </c>
      <c r="E123" s="293">
        <f>'Chart Data'!E123</f>
        <v>0</v>
      </c>
      <c r="F123" s="293">
        <f>'Chart Data'!F123</f>
        <v>0</v>
      </c>
      <c r="G123" s="294">
        <f>'Chart Data'!G123</f>
        <v>0</v>
      </c>
      <c r="H123" s="294">
        <f>'Chart Data'!H123</f>
        <v>0</v>
      </c>
      <c r="I123" s="294">
        <f>'Chart Data'!I123</f>
        <v>0</v>
      </c>
      <c r="J123" s="295">
        <f>'Chart Data'!J123</f>
        <v>0</v>
      </c>
      <c r="K123" s="295">
        <f>'Chart Data'!K123</f>
        <v>0</v>
      </c>
      <c r="L123" s="295">
        <f>'Chart Data'!L123</f>
        <v>0</v>
      </c>
    </row>
    <row r="124" spans="3:12" ht="15.75" customHeight="1">
      <c r="C124" s="426" t="str">
        <f>'Chart Data'!C124</f>
        <v>Chemical Admixture - Corrosion Inhibiting</v>
      </c>
      <c r="D124" s="293">
        <f>'Chart Data'!D124</f>
        <v>0</v>
      </c>
      <c r="E124" s="293">
        <f>'Chart Data'!E124</f>
        <v>0</v>
      </c>
      <c r="F124" s="293">
        <f>'Chart Data'!F124</f>
        <v>0</v>
      </c>
      <c r="G124" s="294">
        <f>'Chart Data'!G124</f>
        <v>0</v>
      </c>
      <c r="H124" s="294">
        <f>'Chart Data'!H124</f>
        <v>0</v>
      </c>
      <c r="I124" s="294">
        <f>'Chart Data'!I124</f>
        <v>0</v>
      </c>
      <c r="J124" s="295">
        <f>'Chart Data'!J124</f>
        <v>0</v>
      </c>
      <c r="K124" s="295">
        <f>'Chart Data'!K124</f>
        <v>0</v>
      </c>
      <c r="L124" s="295">
        <f>'Chart Data'!L124</f>
        <v>0</v>
      </c>
    </row>
    <row r="125" spans="3:12" ht="14">
      <c r="C125" s="426" t="str">
        <f>'Chart Data'!C125</f>
        <v>Chemical Admixture - Viscosity Modifying Admixture (VMA)</v>
      </c>
      <c r="D125" s="293">
        <f>'Chart Data'!D125</f>
        <v>0</v>
      </c>
      <c r="E125" s="293">
        <f>'Chart Data'!E125</f>
        <v>0</v>
      </c>
      <c r="F125" s="293">
        <f>'Chart Data'!F125</f>
        <v>0</v>
      </c>
      <c r="G125" s="294">
        <f>'Chart Data'!G125</f>
        <v>0</v>
      </c>
      <c r="H125" s="294">
        <f>'Chart Data'!H125</f>
        <v>0</v>
      </c>
      <c r="I125" s="294">
        <f>'Chart Data'!I125</f>
        <v>0</v>
      </c>
      <c r="J125" s="295">
        <f>'Chart Data'!J125</f>
        <v>0</v>
      </c>
      <c r="K125" s="295">
        <f>'Chart Data'!K125</f>
        <v>0</v>
      </c>
      <c r="L125" s="295">
        <f>'Chart Data'!L125</f>
        <v>0</v>
      </c>
    </row>
    <row r="126" spans="3:12" ht="14">
      <c r="C126" s="426" t="str">
        <f>'Chart Data'!C126</f>
        <v>Form Release Agent</v>
      </c>
      <c r="D126" s="293">
        <f>'Chart Data'!D126</f>
        <v>0</v>
      </c>
      <c r="E126" s="293">
        <f>'Chart Data'!E126</f>
        <v>0</v>
      </c>
      <c r="F126" s="293">
        <f>'Chart Data'!F126</f>
        <v>0</v>
      </c>
      <c r="G126" s="294">
        <f>'Chart Data'!G126</f>
        <v>0</v>
      </c>
      <c r="H126" s="294">
        <f>'Chart Data'!H126</f>
        <v>0</v>
      </c>
      <c r="I126" s="294">
        <f>'Chart Data'!I126</f>
        <v>0</v>
      </c>
      <c r="J126" s="295">
        <f>'Chart Data'!J126</f>
        <v>0</v>
      </c>
      <c r="K126" s="295">
        <f>'Chart Data'!K126</f>
        <v>0</v>
      </c>
      <c r="L126" s="295">
        <f>'Chart Data'!L126</f>
        <v>0</v>
      </c>
    </row>
    <row r="127" spans="3:12" ht="14">
      <c r="C127" s="426" t="str">
        <f>'Chart Data'!C127</f>
        <v>Rebar</v>
      </c>
      <c r="D127" s="293">
        <f>'Chart Data'!D127</f>
        <v>0</v>
      </c>
      <c r="E127" s="293">
        <f>'Chart Data'!E127</f>
        <v>0</v>
      </c>
      <c r="F127" s="293">
        <f>'Chart Data'!F127</f>
        <v>0</v>
      </c>
      <c r="G127" s="294">
        <f>'Chart Data'!G127</f>
        <v>0</v>
      </c>
      <c r="H127" s="294">
        <f>'Chart Data'!H127</f>
        <v>0</v>
      </c>
      <c r="I127" s="294">
        <f>'Chart Data'!I127</f>
        <v>0</v>
      </c>
      <c r="J127" s="295">
        <f>'Chart Data'!J127</f>
        <v>0</v>
      </c>
      <c r="K127" s="295">
        <f>'Chart Data'!K127</f>
        <v>0</v>
      </c>
      <c r="L127" s="295">
        <f>'Chart Data'!L127</f>
        <v>0</v>
      </c>
    </row>
    <row r="128" spans="3:12" ht="14">
      <c r="C128" s="426" t="str">
        <f>'Chart Data'!C128</f>
        <v>Welded Wire Reinforcement (WWR)</v>
      </c>
      <c r="D128" s="293">
        <f>'Chart Data'!D128</f>
        <v>0</v>
      </c>
      <c r="E128" s="293">
        <f>'Chart Data'!E128</f>
        <v>0</v>
      </c>
      <c r="F128" s="293">
        <f>'Chart Data'!F128</f>
        <v>0</v>
      </c>
      <c r="G128" s="294">
        <f>'Chart Data'!G128</f>
        <v>0</v>
      </c>
      <c r="H128" s="294">
        <f>'Chart Data'!H128</f>
        <v>0</v>
      </c>
      <c r="I128" s="294">
        <f>'Chart Data'!I128</f>
        <v>0</v>
      </c>
      <c r="J128" s="295">
        <f>'Chart Data'!J128</f>
        <v>0</v>
      </c>
      <c r="K128" s="295">
        <f>'Chart Data'!K128</f>
        <v>0</v>
      </c>
      <c r="L128" s="295">
        <f>'Chart Data'!L128</f>
        <v>0</v>
      </c>
    </row>
    <row r="129" spans="3:13" ht="14">
      <c r="C129" s="426" t="str">
        <f>'Chart Data'!C129</f>
        <v>Steel Anchors</v>
      </c>
      <c r="D129" s="293">
        <f>'Chart Data'!D129</f>
        <v>0</v>
      </c>
      <c r="E129" s="293">
        <f>'Chart Data'!E129</f>
        <v>0</v>
      </c>
      <c r="F129" s="293">
        <f>'Chart Data'!F129</f>
        <v>0</v>
      </c>
      <c r="G129" s="294">
        <f>'Chart Data'!G129</f>
        <v>0</v>
      </c>
      <c r="H129" s="294">
        <f>'Chart Data'!H129</f>
        <v>0</v>
      </c>
      <c r="I129" s="294">
        <f>'Chart Data'!I129</f>
        <v>0</v>
      </c>
      <c r="J129" s="295">
        <f>'Chart Data'!J129</f>
        <v>0</v>
      </c>
      <c r="K129" s="295">
        <f>'Chart Data'!K129</f>
        <v>0</v>
      </c>
      <c r="L129" s="295">
        <f>'Chart Data'!L129</f>
        <v>0</v>
      </c>
    </row>
    <row r="130" spans="3:13" ht="14">
      <c r="C130" s="426" t="str">
        <f>'Chart Data'!C130</f>
        <v>Steel Stressing Strand</v>
      </c>
      <c r="D130" s="293">
        <f>'Chart Data'!D130</f>
        <v>0</v>
      </c>
      <c r="E130" s="293">
        <f>'Chart Data'!E130</f>
        <v>0</v>
      </c>
      <c r="F130" s="293">
        <f>'Chart Data'!F130</f>
        <v>0</v>
      </c>
      <c r="G130" s="294">
        <f>'Chart Data'!G130</f>
        <v>0</v>
      </c>
      <c r="H130" s="294">
        <f>'Chart Data'!H130</f>
        <v>0</v>
      </c>
      <c r="I130" s="294">
        <f>'Chart Data'!I130</f>
        <v>0</v>
      </c>
      <c r="J130" s="295">
        <f>'Chart Data'!J130</f>
        <v>0</v>
      </c>
      <c r="K130" s="295">
        <f>'Chart Data'!K130</f>
        <v>0</v>
      </c>
      <c r="L130" s="295">
        <f>'Chart Data'!L130</f>
        <v>0</v>
      </c>
    </row>
    <row r="131" spans="3:13" ht="14">
      <c r="C131" s="426" t="str">
        <f>'Chart Data'!C131</f>
        <v>Carbon Fibre Reinforced Polymer (CFRP) strand</v>
      </c>
      <c r="D131" s="293">
        <f>'Chart Data'!D131</f>
        <v>0</v>
      </c>
      <c r="E131" s="293">
        <f>'Chart Data'!E131</f>
        <v>0</v>
      </c>
      <c r="F131" s="293">
        <f>'Chart Data'!F131</f>
        <v>0</v>
      </c>
      <c r="G131" s="294">
        <f>'Chart Data'!G131</f>
        <v>0</v>
      </c>
      <c r="H131" s="294">
        <f>'Chart Data'!H131</f>
        <v>0</v>
      </c>
      <c r="I131" s="294">
        <f>'Chart Data'!I131</f>
        <v>0</v>
      </c>
      <c r="J131" s="295">
        <f>'Chart Data'!J131</f>
        <v>0</v>
      </c>
      <c r="K131" s="295">
        <f>'Chart Data'!K131</f>
        <v>0</v>
      </c>
      <c r="L131" s="295">
        <f>'Chart Data'!L131</f>
        <v>0</v>
      </c>
    </row>
    <row r="132" spans="3:13" ht="14">
      <c r="C132" s="426" t="str">
        <f>'Chart Data'!C132</f>
        <v>Polypropylene Fibers</v>
      </c>
      <c r="D132" s="293">
        <f>'Chart Data'!D132</f>
        <v>0</v>
      </c>
      <c r="E132" s="293">
        <f>'Chart Data'!E132</f>
        <v>0</v>
      </c>
      <c r="F132" s="293">
        <f>'Chart Data'!F132</f>
        <v>0</v>
      </c>
      <c r="G132" s="294">
        <f>'Chart Data'!G132</f>
        <v>0</v>
      </c>
      <c r="H132" s="294">
        <f>'Chart Data'!H132</f>
        <v>0</v>
      </c>
      <c r="I132" s="294">
        <f>'Chart Data'!I132</f>
        <v>0</v>
      </c>
      <c r="J132" s="295">
        <f>'Chart Data'!J132</f>
        <v>0</v>
      </c>
      <c r="K132" s="295">
        <f>'Chart Data'!K132</f>
        <v>0</v>
      </c>
      <c r="L132" s="295">
        <f>'Chart Data'!L132</f>
        <v>0</v>
      </c>
    </row>
    <row r="133" spans="3:13" ht="14">
      <c r="C133" s="426" t="str">
        <f>'Chart Data'!C133</f>
        <v>Steel Fibers</v>
      </c>
      <c r="D133" s="293">
        <f>'Chart Data'!D133</f>
        <v>0</v>
      </c>
      <c r="E133" s="293">
        <f>'Chart Data'!E133</f>
        <v>0</v>
      </c>
      <c r="F133" s="293">
        <f>'Chart Data'!F133</f>
        <v>0</v>
      </c>
      <c r="G133" s="294">
        <f>'Chart Data'!G133</f>
        <v>0</v>
      </c>
      <c r="H133" s="294">
        <f>'Chart Data'!H133</f>
        <v>0</v>
      </c>
      <c r="I133" s="294">
        <f>'Chart Data'!I133</f>
        <v>0</v>
      </c>
      <c r="J133" s="295">
        <f>'Chart Data'!J133</f>
        <v>0</v>
      </c>
      <c r="K133" s="295">
        <f>'Chart Data'!K133</f>
        <v>0</v>
      </c>
      <c r="L133" s="295">
        <f>'Chart Data'!L133</f>
        <v>0</v>
      </c>
    </row>
    <row r="134" spans="3:13" ht="14">
      <c r="C134" s="426" t="str">
        <f>'Chart Data'!C134</f>
        <v>Glass Fibre Reinforced Polymer (GFRP) reinforcing bars</v>
      </c>
      <c r="D134" s="293">
        <f>'Chart Data'!D134</f>
        <v>0</v>
      </c>
      <c r="E134" s="293">
        <f>'Chart Data'!E134</f>
        <v>0</v>
      </c>
      <c r="F134" s="293">
        <f>'Chart Data'!F134</f>
        <v>0</v>
      </c>
      <c r="G134" s="294">
        <f>'Chart Data'!G134</f>
        <v>0</v>
      </c>
      <c r="H134" s="294">
        <f>'Chart Data'!H134</f>
        <v>0</v>
      </c>
      <c r="I134" s="294">
        <f>'Chart Data'!I134</f>
        <v>0</v>
      </c>
      <c r="J134" s="295">
        <f>'Chart Data'!J134</f>
        <v>0</v>
      </c>
      <c r="K134" s="295">
        <f>'Chart Data'!K134</f>
        <v>0</v>
      </c>
      <c r="L134" s="295">
        <f>'Chart Data'!L134</f>
        <v>0</v>
      </c>
    </row>
    <row r="135" spans="3:13" ht="14">
      <c r="C135" s="426" t="str">
        <f>'Chart Data'!C135</f>
        <v>Carbon Fibre Reinforced Polymer (CFRP) reinforcing bars</v>
      </c>
      <c r="D135" s="293">
        <f>'Chart Data'!D135</f>
        <v>0</v>
      </c>
      <c r="E135" s="293">
        <f>'Chart Data'!E135</f>
        <v>0</v>
      </c>
      <c r="F135" s="293">
        <f>'Chart Data'!F135</f>
        <v>0</v>
      </c>
      <c r="G135" s="294">
        <f>'Chart Data'!G135</f>
        <v>0</v>
      </c>
      <c r="H135" s="294">
        <f>'Chart Data'!H135</f>
        <v>0</v>
      </c>
      <c r="I135" s="294">
        <f>'Chart Data'!I135</f>
        <v>0</v>
      </c>
      <c r="J135" s="295">
        <f>'Chart Data'!J135</f>
        <v>0</v>
      </c>
      <c r="K135" s="295">
        <f>'Chart Data'!K135</f>
        <v>0</v>
      </c>
      <c r="L135" s="295">
        <f>'Chart Data'!L135</f>
        <v>0</v>
      </c>
    </row>
    <row r="136" spans="3:13" ht="14">
      <c r="C136" s="426" t="str">
        <f>'Chart Data'!C136</f>
        <v>Fibre Reinforced Polymer (FRP) wrap</v>
      </c>
      <c r="D136" s="293">
        <f>'Chart Data'!D136</f>
        <v>0</v>
      </c>
      <c r="E136" s="293">
        <f>'Chart Data'!E136</f>
        <v>0</v>
      </c>
      <c r="F136" s="293">
        <f>'Chart Data'!F136</f>
        <v>0</v>
      </c>
      <c r="G136" s="294">
        <f>'Chart Data'!G136</f>
        <v>0</v>
      </c>
      <c r="H136" s="294">
        <f>'Chart Data'!H136</f>
        <v>0</v>
      </c>
      <c r="I136" s="294">
        <f>'Chart Data'!I136</f>
        <v>0</v>
      </c>
      <c r="J136" s="295">
        <f>'Chart Data'!J136</f>
        <v>0</v>
      </c>
      <c r="K136" s="295">
        <f>'Chart Data'!K136</f>
        <v>0</v>
      </c>
      <c r="L136" s="295">
        <f>'Chart Data'!L136</f>
        <v>0</v>
      </c>
    </row>
    <row r="137" spans="3:13" ht="14">
      <c r="C137" s="426" t="str">
        <f>'Chart Data'!C137</f>
        <v>Expanded Polystyrene</v>
      </c>
      <c r="D137" s="293">
        <f>'Chart Data'!D137</f>
        <v>0</v>
      </c>
      <c r="E137" s="293">
        <f>'Chart Data'!E137</f>
        <v>0</v>
      </c>
      <c r="F137" s="293">
        <f>'Chart Data'!F137</f>
        <v>0</v>
      </c>
      <c r="G137" s="294">
        <f>'Chart Data'!G137</f>
        <v>0</v>
      </c>
      <c r="H137" s="294">
        <f>'Chart Data'!H137</f>
        <v>0</v>
      </c>
      <c r="I137" s="294">
        <f>'Chart Data'!I137</f>
        <v>0</v>
      </c>
      <c r="J137" s="295">
        <f>'Chart Data'!J137</f>
        <v>0</v>
      </c>
      <c r="K137" s="295">
        <f>'Chart Data'!K137</f>
        <v>0</v>
      </c>
      <c r="L137" s="295">
        <f>'Chart Data'!L137</f>
        <v>0</v>
      </c>
    </row>
    <row r="138" spans="3:13" ht="14">
      <c r="C138" s="426" t="str">
        <f>'Chart Data'!C138</f>
        <v>Extruded Polystyrene</v>
      </c>
      <c r="D138" s="293">
        <f>'Chart Data'!D138</f>
        <v>0</v>
      </c>
      <c r="E138" s="293">
        <f>'Chart Data'!E138</f>
        <v>0</v>
      </c>
      <c r="F138" s="293">
        <f>'Chart Data'!F138</f>
        <v>0</v>
      </c>
      <c r="G138" s="294">
        <f>'Chart Data'!G138</f>
        <v>0</v>
      </c>
      <c r="H138" s="294">
        <f>'Chart Data'!H138</f>
        <v>0</v>
      </c>
      <c r="I138" s="294">
        <f>'Chart Data'!I138</f>
        <v>0</v>
      </c>
      <c r="J138" s="295">
        <f>'Chart Data'!J138</f>
        <v>0</v>
      </c>
      <c r="K138" s="295">
        <f>'Chart Data'!K138</f>
        <v>0</v>
      </c>
      <c r="L138" s="295">
        <f>'Chart Data'!L138</f>
        <v>0</v>
      </c>
    </row>
    <row r="139" spans="3:13" ht="14">
      <c r="C139" s="426" t="str">
        <f>'Chart Data'!C139</f>
        <v>Brick</v>
      </c>
      <c r="D139" s="293">
        <f>'Chart Data'!D139</f>
        <v>0</v>
      </c>
      <c r="E139" s="293">
        <f>'Chart Data'!E139</f>
        <v>0</v>
      </c>
      <c r="F139" s="293">
        <f>'Chart Data'!F139</f>
        <v>0</v>
      </c>
      <c r="G139" s="294">
        <f>'Chart Data'!G139</f>
        <v>0</v>
      </c>
      <c r="H139" s="294">
        <f>'Chart Data'!H139</f>
        <v>0</v>
      </c>
      <c r="I139" s="294">
        <f>'Chart Data'!I139</f>
        <v>0</v>
      </c>
      <c r="J139" s="295">
        <f>'Chart Data'!J139</f>
        <v>0</v>
      </c>
      <c r="K139" s="295">
        <f>'Chart Data'!K139</f>
        <v>0</v>
      </c>
      <c r="L139" s="295">
        <f>'Chart Data'!L139</f>
        <v>0</v>
      </c>
    </row>
    <row r="140" spans="3:13" ht="14">
      <c r="C140" s="426" t="str">
        <f>'Chart Data'!C140</f>
        <v>Natural Stone</v>
      </c>
      <c r="D140" s="293">
        <f>'Chart Data'!D140</f>
        <v>0</v>
      </c>
      <c r="E140" s="293">
        <f>'Chart Data'!E140</f>
        <v>0</v>
      </c>
      <c r="F140" s="293">
        <f>'Chart Data'!F140</f>
        <v>0</v>
      </c>
      <c r="G140" s="294">
        <f>'Chart Data'!G140</f>
        <v>0</v>
      </c>
      <c r="H140" s="294">
        <f>'Chart Data'!H140</f>
        <v>0</v>
      </c>
      <c r="I140" s="294">
        <f>'Chart Data'!I140</f>
        <v>0</v>
      </c>
      <c r="J140" s="295">
        <f>'Chart Data'!J140</f>
        <v>0</v>
      </c>
      <c r="K140" s="295">
        <f>'Chart Data'!K140</f>
        <v>0</v>
      </c>
      <c r="L140" s="295">
        <f>'Chart Data'!L140</f>
        <v>0</v>
      </c>
    </row>
    <row r="141" spans="3:13" ht="14">
      <c r="C141" s="426" t="str">
        <f>'Chart Data'!C141</f>
        <v>Pigments</v>
      </c>
      <c r="D141" s="293">
        <f>'Chart Data'!D141</f>
        <v>0</v>
      </c>
      <c r="E141" s="293">
        <f>'Chart Data'!E141</f>
        <v>0</v>
      </c>
      <c r="F141" s="293">
        <f>'Chart Data'!F141</f>
        <v>0</v>
      </c>
      <c r="G141" s="294">
        <f>'Chart Data'!G141</f>
        <v>0</v>
      </c>
      <c r="H141" s="294">
        <f>'Chart Data'!H141</f>
        <v>0</v>
      </c>
      <c r="I141" s="294">
        <f>'Chart Data'!I141</f>
        <v>0</v>
      </c>
      <c r="J141" s="295">
        <f>'Chart Data'!J141</f>
        <v>0</v>
      </c>
      <c r="K141" s="295">
        <f>'Chart Data'!K141</f>
        <v>0</v>
      </c>
      <c r="L141" s="295">
        <f>'Chart Data'!L141</f>
        <v>0</v>
      </c>
    </row>
    <row r="142" spans="3:13" ht="14">
      <c r="C142" s="426" t="str">
        <f>'Chart Data'!C142</f>
        <v>Net Consumables</v>
      </c>
      <c r="D142" s="293">
        <f>'Chart Data'!D142</f>
        <v>0</v>
      </c>
      <c r="E142" s="293">
        <f>'Chart Data'!E142</f>
        <v>0</v>
      </c>
      <c r="F142" s="293">
        <f>'Chart Data'!F142</f>
        <v>0</v>
      </c>
      <c r="G142" s="294">
        <f>'Chart Data'!G142</f>
        <v>0</v>
      </c>
      <c r="H142" s="294">
        <f>'Chart Data'!H142</f>
        <v>0</v>
      </c>
      <c r="I142" s="294">
        <f>'Chart Data'!I142</f>
        <v>0</v>
      </c>
      <c r="J142" s="295">
        <f>'Chart Data'!J142</f>
        <v>0</v>
      </c>
      <c r="K142" s="295">
        <f>'Chart Data'!K142</f>
        <v>0</v>
      </c>
      <c r="L142" s="295">
        <f>'Chart Data'!L142</f>
        <v>0</v>
      </c>
    </row>
    <row r="143" spans="3:13" ht="15">
      <c r="C143" s="427" t="str">
        <f>'Chart Data'!C143</f>
        <v>Total</v>
      </c>
      <c r="D143" s="293">
        <f>'Chart Data'!D143</f>
        <v>0</v>
      </c>
      <c r="E143" s="293">
        <f>'Chart Data'!E143</f>
        <v>0</v>
      </c>
      <c r="F143" s="293">
        <f>'Chart Data'!F143</f>
        <v>0</v>
      </c>
      <c r="G143" s="294">
        <f>'Chart Data'!G143</f>
        <v>0</v>
      </c>
      <c r="H143" s="294">
        <f>'Chart Data'!H143</f>
        <v>0</v>
      </c>
      <c r="I143" s="294">
        <f>'Chart Data'!I143</f>
        <v>0</v>
      </c>
      <c r="J143" s="295">
        <f>'Chart Data'!J143</f>
        <v>0</v>
      </c>
      <c r="K143" s="295">
        <f>'Chart Data'!K143</f>
        <v>0</v>
      </c>
      <c r="L143" s="295">
        <f>'Chart Data'!L143</f>
        <v>0</v>
      </c>
      <c r="M143" s="3"/>
    </row>
    <row r="144" spans="3:13" ht="15">
      <c r="M144" s="3"/>
    </row>
    <row r="145" spans="2:26" ht="15">
      <c r="M145" s="3"/>
    </row>
    <row r="146" spans="2:26" ht="14" thickBot="1"/>
    <row r="147" spans="2:26" s="11" customFormat="1" ht="19" thickBot="1">
      <c r="B147" s="259" t="str">
        <f>'Chart Data'!B147</f>
        <v>C. Total Primary Energy Consumption Contribution Analysis</v>
      </c>
      <c r="C147" s="260"/>
      <c r="D147" s="260"/>
      <c r="E147" s="260"/>
      <c r="F147" s="260"/>
      <c r="G147" s="260"/>
      <c r="H147" s="260"/>
      <c r="I147" s="260"/>
      <c r="J147" s="260"/>
      <c r="K147" s="260"/>
      <c r="L147" s="261"/>
      <c r="M147" s="249"/>
      <c r="N147" s="262"/>
      <c r="O147" s="262"/>
      <c r="P147" s="262"/>
      <c r="Q147" s="262"/>
      <c r="R147" s="262"/>
      <c r="S147" s="262"/>
      <c r="T147" s="262"/>
      <c r="U147" s="262"/>
      <c r="V147" s="262"/>
      <c r="W147" s="262"/>
      <c r="X147" s="262"/>
      <c r="Y147" s="262"/>
      <c r="Z147" s="262"/>
    </row>
    <row r="176" spans="3:26" s="3" customFormat="1" ht="15">
      <c r="C176" s="249"/>
      <c r="D176" s="265"/>
      <c r="E176" s="266" t="str">
        <f>'Chart Data'!E176</f>
        <v>Total Primary Energy Consumption by Contribution</v>
      </c>
      <c r="F176" s="267"/>
      <c r="N176" s="296"/>
      <c r="O176" s="296"/>
      <c r="P176" s="296"/>
      <c r="Q176" s="296"/>
      <c r="R176" s="296"/>
      <c r="S176" s="296"/>
      <c r="T176" s="296"/>
      <c r="U176" s="296"/>
      <c r="V176" s="296"/>
      <c r="W176" s="296"/>
      <c r="X176" s="296"/>
      <c r="Y176" s="296"/>
      <c r="Z176" s="296"/>
    </row>
    <row r="177" spans="2:26" s="3" customFormat="1" ht="15">
      <c r="C177" s="265" t="str">
        <f>'Chart Data'!C177</f>
        <v>Contributor</v>
      </c>
      <c r="D177" s="268" t="str">
        <f>'Chart Data'!D177</f>
        <v>Total (MMBtu)</v>
      </c>
      <c r="E177" s="269" t="str">
        <f>'Chart Data'!E177</f>
        <v>MBtu/ short ton precast</v>
      </c>
      <c r="F177" s="270" t="str">
        <f>'Chart Data'!F177</f>
        <v>Percentage</v>
      </c>
      <c r="N177" s="296"/>
      <c r="O177" s="296"/>
      <c r="P177" s="296"/>
      <c r="Q177" s="296"/>
      <c r="R177" s="296"/>
      <c r="S177" s="296"/>
      <c r="T177" s="296"/>
      <c r="U177" s="296"/>
      <c r="V177" s="296"/>
      <c r="W177" s="296"/>
      <c r="X177" s="296"/>
      <c r="Y177" s="296"/>
      <c r="Z177" s="296"/>
    </row>
    <row r="178" spans="2:26" s="3" customFormat="1" ht="15">
      <c r="C178" s="271" t="str">
        <f>'Chart Data'!C178</f>
        <v>Materials</v>
      </c>
      <c r="D178" s="272">
        <f>'Chart Data'!D178</f>
        <v>0</v>
      </c>
      <c r="E178" s="297">
        <f>'Chart Data'!E178</f>
        <v>0</v>
      </c>
      <c r="F178" s="274">
        <f>'Chart Data'!F178</f>
        <v>0</v>
      </c>
      <c r="N178" s="296"/>
      <c r="O178" s="296"/>
      <c r="P178" s="296"/>
      <c r="Q178" s="296"/>
      <c r="R178" s="296"/>
      <c r="S178" s="296"/>
      <c r="T178" s="296"/>
      <c r="U178" s="296"/>
      <c r="V178" s="296"/>
      <c r="W178" s="296"/>
      <c r="X178" s="296"/>
      <c r="Y178" s="296"/>
      <c r="Z178" s="296"/>
    </row>
    <row r="179" spans="2:26" s="3" customFormat="1" ht="15">
      <c r="C179" s="271" t="str">
        <f>'Chart Data'!C179</f>
        <v>Material Transportation</v>
      </c>
      <c r="D179" s="272">
        <f>'Chart Data'!D179</f>
        <v>0</v>
      </c>
      <c r="E179" s="297">
        <f>'Chart Data'!E179</f>
        <v>0</v>
      </c>
      <c r="F179" s="274">
        <f>'Chart Data'!F179</f>
        <v>0</v>
      </c>
      <c r="N179" s="296"/>
      <c r="O179" s="296"/>
      <c r="P179" s="296"/>
      <c r="Q179" s="296"/>
      <c r="R179" s="296"/>
      <c r="S179" s="296"/>
      <c r="T179" s="296"/>
      <c r="U179" s="296"/>
      <c r="V179" s="296"/>
      <c r="W179" s="296"/>
      <c r="X179" s="296"/>
      <c r="Y179" s="296"/>
      <c r="Z179" s="296"/>
    </row>
    <row r="180" spans="2:26" s="3" customFormat="1" ht="15">
      <c r="C180" s="271" t="str">
        <f>'Chart Data'!C180</f>
        <v>Plant Operations</v>
      </c>
      <c r="D180" s="272">
        <f>'Chart Data'!D180</f>
        <v>0</v>
      </c>
      <c r="E180" s="297">
        <f>'Chart Data'!E180</f>
        <v>0</v>
      </c>
      <c r="F180" s="274">
        <f>'Chart Data'!F180</f>
        <v>0</v>
      </c>
      <c r="N180" s="296"/>
      <c r="O180" s="296"/>
      <c r="P180" s="296"/>
      <c r="Q180" s="296"/>
      <c r="R180" s="296"/>
      <c r="S180" s="296"/>
      <c r="T180" s="296"/>
      <c r="U180" s="296"/>
      <c r="V180" s="296"/>
      <c r="W180" s="296"/>
      <c r="X180" s="296"/>
      <c r="Y180" s="296"/>
      <c r="Z180" s="296"/>
    </row>
    <row r="181" spans="2:26" s="3" customFormat="1" ht="15">
      <c r="C181" s="275" t="str">
        <f>'Chart Data'!C181</f>
        <v>Total</v>
      </c>
      <c r="D181" s="276">
        <f>'Chart Data'!D181</f>
        <v>0</v>
      </c>
      <c r="E181" s="298">
        <f>'Chart Data'!E181</f>
        <v>0</v>
      </c>
      <c r="F181" s="278">
        <f>'Chart Data'!F181</f>
        <v>0</v>
      </c>
      <c r="N181" s="296"/>
      <c r="O181" s="296"/>
      <c r="P181" s="296"/>
      <c r="Q181" s="296"/>
      <c r="R181" s="296"/>
      <c r="S181" s="296"/>
      <c r="T181" s="296"/>
      <c r="U181" s="296"/>
      <c r="V181" s="296"/>
      <c r="W181" s="296"/>
      <c r="X181" s="296"/>
      <c r="Y181" s="296"/>
      <c r="Z181" s="296"/>
    </row>
    <row r="182" spans="2:26">
      <c r="E182" s="299"/>
      <c r="F182" s="299"/>
      <c r="G182" s="299"/>
      <c r="H182" s="299"/>
      <c r="P182" s="300"/>
    </row>
    <row r="183" spans="2:26" ht="14" thickBot="1"/>
    <row r="184" spans="2:26" s="11" customFormat="1" ht="19" thickBot="1">
      <c r="B184" s="259" t="str">
        <f>'Chart Data'!B184</f>
        <v>D. Total Primary Energy Consumption by Material</v>
      </c>
      <c r="C184" s="260"/>
      <c r="D184" s="260"/>
      <c r="E184" s="260"/>
      <c r="F184" s="260"/>
      <c r="G184" s="260"/>
      <c r="H184" s="260"/>
      <c r="I184" s="260"/>
      <c r="J184" s="260"/>
      <c r="K184" s="260"/>
      <c r="L184" s="261"/>
      <c r="M184" s="249"/>
      <c r="N184" s="262"/>
      <c r="O184" s="262"/>
      <c r="P184" s="262"/>
      <c r="Q184" s="262"/>
      <c r="R184" s="262"/>
      <c r="S184" s="262"/>
      <c r="T184" s="262"/>
      <c r="U184" s="262"/>
      <c r="V184" s="262"/>
      <c r="W184" s="262"/>
      <c r="X184" s="262"/>
      <c r="Y184" s="262"/>
      <c r="Z184" s="262"/>
    </row>
    <row r="217" spans="3:12">
      <c r="D217" s="279" t="s">
        <v>233</v>
      </c>
    </row>
    <row r="218" spans="3:12">
      <c r="D218" s="280">
        <v>0.01</v>
      </c>
    </row>
    <row r="220" spans="3:12" ht="14.25" customHeight="1"/>
    <row r="221" spans="3:12" ht="13.5" customHeight="1">
      <c r="D221" s="281"/>
      <c r="E221" s="282" t="str">
        <f>'Chart Data'!E221</f>
        <v>Material Manufacturing &amp; Transportation TPE (MMBtu)</v>
      </c>
      <c r="F221" s="283"/>
      <c r="G221" s="301"/>
      <c r="H221" s="285" t="str">
        <f>'Chart Data'!H221</f>
        <v>Material Manufacturing &amp; Transportation TPE (MBtu/short ton precast)</v>
      </c>
      <c r="I221" s="286"/>
      <c r="J221" s="287"/>
      <c r="K221" s="288" t="str">
        <f>'Chart Data'!K221</f>
        <v>Percentage</v>
      </c>
      <c r="L221" s="289"/>
    </row>
    <row r="222" spans="3:12" ht="13.5" customHeight="1">
      <c r="C222" s="290" t="str">
        <f>'Chart Data'!C222</f>
        <v>Material</v>
      </c>
      <c r="D222" s="291" t="str">
        <f>'Chart Data'!D222</f>
        <v>Material</v>
      </c>
      <c r="E222" s="291" t="str">
        <f>'Chart Data'!E222</f>
        <v>Transportation</v>
      </c>
      <c r="F222" s="291" t="str">
        <f>'Chart Data'!F222</f>
        <v>Total</v>
      </c>
      <c r="G222" s="269" t="str">
        <f>'Chart Data'!G222</f>
        <v>Material</v>
      </c>
      <c r="H222" s="269" t="str">
        <f>'Chart Data'!H222</f>
        <v>Transportation</v>
      </c>
      <c r="I222" s="269" t="str">
        <f>'Chart Data'!I222</f>
        <v>Total</v>
      </c>
      <c r="J222" s="270" t="str">
        <f>'Chart Data'!J222</f>
        <v>Material</v>
      </c>
      <c r="K222" s="270" t="str">
        <f>'Chart Data'!K222</f>
        <v>Transportation</v>
      </c>
      <c r="L222" s="270" t="str">
        <f>'Chart Data'!L222</f>
        <v>Total</v>
      </c>
    </row>
    <row r="223" spans="3:12">
      <c r="C223" s="292" t="str">
        <f>'Chart Data'!C223</f>
        <v>Portland Cement</v>
      </c>
      <c r="D223" s="293">
        <f>'Chart Data'!D223</f>
        <v>0</v>
      </c>
      <c r="E223" s="293">
        <f>'Chart Data'!E223</f>
        <v>0</v>
      </c>
      <c r="F223" s="293">
        <f>'Chart Data'!F223</f>
        <v>0</v>
      </c>
      <c r="G223" s="294">
        <f>'Chart Data'!G223</f>
        <v>0</v>
      </c>
      <c r="H223" s="294">
        <f>'Chart Data'!H223</f>
        <v>0</v>
      </c>
      <c r="I223" s="294">
        <f>'Chart Data'!I223</f>
        <v>0</v>
      </c>
      <c r="J223" s="295">
        <f>'Chart Data'!J223</f>
        <v>0</v>
      </c>
      <c r="K223" s="295">
        <f>'Chart Data'!K223</f>
        <v>0</v>
      </c>
      <c r="L223" s="295">
        <f>'Chart Data'!L223</f>
        <v>0</v>
      </c>
    </row>
    <row r="224" spans="3:12">
      <c r="C224" s="292" t="str">
        <f>'Chart Data'!C224</f>
        <v>Portland Limestone Cement (PLC)</v>
      </c>
      <c r="D224" s="293">
        <f>'Chart Data'!D224</f>
        <v>0</v>
      </c>
      <c r="E224" s="293">
        <f>'Chart Data'!E224</f>
        <v>0</v>
      </c>
      <c r="F224" s="293">
        <f>'Chart Data'!F224</f>
        <v>0</v>
      </c>
      <c r="G224" s="294">
        <f>'Chart Data'!G224</f>
        <v>0</v>
      </c>
      <c r="H224" s="294">
        <f>'Chart Data'!H224</f>
        <v>0</v>
      </c>
      <c r="I224" s="294">
        <f>'Chart Data'!I224</f>
        <v>0</v>
      </c>
      <c r="J224" s="295">
        <f>'Chart Data'!J224</f>
        <v>0</v>
      </c>
      <c r="K224" s="295">
        <f>'Chart Data'!K224</f>
        <v>0</v>
      </c>
      <c r="L224" s="295">
        <f>'Chart Data'!L224</f>
        <v>0</v>
      </c>
    </row>
    <row r="225" spans="3:12">
      <c r="C225" s="292" t="str">
        <f>'Chart Data'!C225</f>
        <v>Pre-Blended Cement</v>
      </c>
      <c r="D225" s="293">
        <f>'Chart Data'!D225</f>
        <v>0</v>
      </c>
      <c r="E225" s="293">
        <f>'Chart Data'!E225</f>
        <v>0</v>
      </c>
      <c r="F225" s="293">
        <f>'Chart Data'!F225</f>
        <v>0</v>
      </c>
      <c r="G225" s="294">
        <f>'Chart Data'!G225</f>
        <v>0</v>
      </c>
      <c r="H225" s="294">
        <f>'Chart Data'!H225</f>
        <v>0</v>
      </c>
      <c r="I225" s="294">
        <f>'Chart Data'!I225</f>
        <v>0</v>
      </c>
      <c r="J225" s="295">
        <f>'Chart Data'!J225</f>
        <v>0</v>
      </c>
      <c r="K225" s="295">
        <f>'Chart Data'!K225</f>
        <v>0</v>
      </c>
      <c r="L225" s="295">
        <f>'Chart Data'!L225</f>
        <v>0</v>
      </c>
    </row>
    <row r="226" spans="3:12">
      <c r="C226" s="292" t="str">
        <f>'Chart Data'!C226</f>
        <v>Fine Aggregate - natural sand</v>
      </c>
      <c r="D226" s="293">
        <f>'Chart Data'!D226</f>
        <v>0</v>
      </c>
      <c r="E226" s="293">
        <f>'Chart Data'!E226</f>
        <v>0</v>
      </c>
      <c r="F226" s="293">
        <f>'Chart Data'!F226</f>
        <v>0</v>
      </c>
      <c r="G226" s="294">
        <f>'Chart Data'!G226</f>
        <v>0</v>
      </c>
      <c r="H226" s="294">
        <f>'Chart Data'!H226</f>
        <v>0</v>
      </c>
      <c r="I226" s="294">
        <f>'Chart Data'!I226</f>
        <v>0</v>
      </c>
      <c r="J226" s="295">
        <f>'Chart Data'!J226</f>
        <v>0</v>
      </c>
      <c r="K226" s="295">
        <f>'Chart Data'!K226</f>
        <v>0</v>
      </c>
      <c r="L226" s="295">
        <f>'Chart Data'!L226</f>
        <v>0</v>
      </c>
    </row>
    <row r="227" spans="3:12">
      <c r="C227" s="292" t="str">
        <f>'Chart Data'!C227</f>
        <v>Fine Aggregate - manufactured</v>
      </c>
      <c r="D227" s="293">
        <f>'Chart Data'!D227</f>
        <v>0</v>
      </c>
      <c r="E227" s="293">
        <f>'Chart Data'!E227</f>
        <v>0</v>
      </c>
      <c r="F227" s="293">
        <f>'Chart Data'!F227</f>
        <v>0</v>
      </c>
      <c r="G227" s="294">
        <f>'Chart Data'!G227</f>
        <v>0</v>
      </c>
      <c r="H227" s="294">
        <f>'Chart Data'!H227</f>
        <v>0</v>
      </c>
      <c r="I227" s="294">
        <f>'Chart Data'!I227</f>
        <v>0</v>
      </c>
      <c r="J227" s="295">
        <f>'Chart Data'!J227</f>
        <v>0</v>
      </c>
      <c r="K227" s="295">
        <f>'Chart Data'!K227</f>
        <v>0</v>
      </c>
      <c r="L227" s="295">
        <f>'Chart Data'!L227</f>
        <v>0</v>
      </c>
    </row>
    <row r="228" spans="3:12">
      <c r="C228" s="292" t="str">
        <f>'Chart Data'!C228</f>
        <v>Coarse Aggregate - natural gravel</v>
      </c>
      <c r="D228" s="293">
        <f>'Chart Data'!D228</f>
        <v>0</v>
      </c>
      <c r="E228" s="293">
        <f>'Chart Data'!E228</f>
        <v>0</v>
      </c>
      <c r="F228" s="293">
        <f>'Chart Data'!F228</f>
        <v>0</v>
      </c>
      <c r="G228" s="294">
        <f>'Chart Data'!G228</f>
        <v>0</v>
      </c>
      <c r="H228" s="294">
        <f>'Chart Data'!H228</f>
        <v>0</v>
      </c>
      <c r="I228" s="294">
        <f>'Chart Data'!I228</f>
        <v>0</v>
      </c>
      <c r="J228" s="295">
        <f>'Chart Data'!J228</f>
        <v>0</v>
      </c>
      <c r="K228" s="295">
        <f>'Chart Data'!K228</f>
        <v>0</v>
      </c>
      <c r="L228" s="295">
        <f>'Chart Data'!L228</f>
        <v>0</v>
      </c>
    </row>
    <row r="229" spans="3:12">
      <c r="C229" s="292" t="str">
        <f>'Chart Data'!C229</f>
        <v>Coarse Aggregate - crushed</v>
      </c>
      <c r="D229" s="293">
        <f>'Chart Data'!D229</f>
        <v>0</v>
      </c>
      <c r="E229" s="293">
        <f>'Chart Data'!E229</f>
        <v>0</v>
      </c>
      <c r="F229" s="293">
        <f>'Chart Data'!F229</f>
        <v>0</v>
      </c>
      <c r="G229" s="294">
        <f>'Chart Data'!G229</f>
        <v>0</v>
      </c>
      <c r="H229" s="294">
        <f>'Chart Data'!H229</f>
        <v>0</v>
      </c>
      <c r="I229" s="294">
        <f>'Chart Data'!I229</f>
        <v>0</v>
      </c>
      <c r="J229" s="295">
        <f>'Chart Data'!J229</f>
        <v>0</v>
      </c>
      <c r="K229" s="295">
        <f>'Chart Data'!K229</f>
        <v>0</v>
      </c>
      <c r="L229" s="295">
        <f>'Chart Data'!L229</f>
        <v>0</v>
      </c>
    </row>
    <row r="230" spans="3:12">
      <c r="C230" s="292" t="str">
        <f>'Chart Data'!C230</f>
        <v>Manufactured Lightweight Aggregate</v>
      </c>
      <c r="D230" s="293">
        <f>'Chart Data'!D230</f>
        <v>0</v>
      </c>
      <c r="E230" s="293">
        <f>'Chart Data'!E230</f>
        <v>0</v>
      </c>
      <c r="F230" s="293">
        <f>'Chart Data'!F230</f>
        <v>0</v>
      </c>
      <c r="G230" s="294">
        <f>'Chart Data'!G230</f>
        <v>0</v>
      </c>
      <c r="H230" s="294">
        <f>'Chart Data'!H230</f>
        <v>0</v>
      </c>
      <c r="I230" s="294">
        <f>'Chart Data'!I230</f>
        <v>0</v>
      </c>
      <c r="J230" s="295">
        <f>'Chart Data'!J230</f>
        <v>0</v>
      </c>
      <c r="K230" s="295">
        <f>'Chart Data'!K230</f>
        <v>0</v>
      </c>
      <c r="L230" s="295">
        <f>'Chart Data'!L230</f>
        <v>0</v>
      </c>
    </row>
    <row r="231" spans="3:12">
      <c r="C231" s="292" t="str">
        <f>'Chart Data'!C231</f>
        <v>Natural Lightweight Aggregate</v>
      </c>
      <c r="D231" s="293">
        <f>'Chart Data'!D231</f>
        <v>0</v>
      </c>
      <c r="E231" s="293">
        <f>'Chart Data'!E231</f>
        <v>0</v>
      </c>
      <c r="F231" s="293">
        <f>'Chart Data'!F231</f>
        <v>0</v>
      </c>
      <c r="G231" s="294">
        <f>'Chart Data'!G231</f>
        <v>0</v>
      </c>
      <c r="H231" s="294">
        <f>'Chart Data'!H231</f>
        <v>0</v>
      </c>
      <c r="I231" s="294">
        <f>'Chart Data'!I231</f>
        <v>0</v>
      </c>
      <c r="J231" s="295">
        <f>'Chart Data'!J231</f>
        <v>0</v>
      </c>
      <c r="K231" s="295">
        <f>'Chart Data'!K231</f>
        <v>0</v>
      </c>
      <c r="L231" s="295">
        <f>'Chart Data'!L231</f>
        <v>0</v>
      </c>
    </row>
    <row r="232" spans="3:12">
      <c r="C232" s="292" t="str">
        <f>'Chart Data'!C232</f>
        <v>SCMs - Fly Ash</v>
      </c>
      <c r="D232" s="293">
        <f>'Chart Data'!D232</f>
        <v>0</v>
      </c>
      <c r="E232" s="293">
        <f>'Chart Data'!E232</f>
        <v>0</v>
      </c>
      <c r="F232" s="293">
        <f>'Chart Data'!F232</f>
        <v>0</v>
      </c>
      <c r="G232" s="294">
        <f>'Chart Data'!G232</f>
        <v>0</v>
      </c>
      <c r="H232" s="294">
        <f>'Chart Data'!H232</f>
        <v>0</v>
      </c>
      <c r="I232" s="294">
        <f>'Chart Data'!I232</f>
        <v>0</v>
      </c>
      <c r="J232" s="295">
        <f>'Chart Data'!J232</f>
        <v>0</v>
      </c>
      <c r="K232" s="295">
        <f>'Chart Data'!K232</f>
        <v>0</v>
      </c>
      <c r="L232" s="295">
        <f>'Chart Data'!L232</f>
        <v>0</v>
      </c>
    </row>
    <row r="233" spans="3:12">
      <c r="C233" s="292" t="str">
        <f>'Chart Data'!C233</f>
        <v>SCMs - Silica Fume</v>
      </c>
      <c r="D233" s="293">
        <f>'Chart Data'!D233</f>
        <v>0</v>
      </c>
      <c r="E233" s="293">
        <f>'Chart Data'!E233</f>
        <v>0</v>
      </c>
      <c r="F233" s="293">
        <f>'Chart Data'!F233</f>
        <v>0</v>
      </c>
      <c r="G233" s="294">
        <f>'Chart Data'!G233</f>
        <v>0</v>
      </c>
      <c r="H233" s="294">
        <f>'Chart Data'!H233</f>
        <v>0</v>
      </c>
      <c r="I233" s="294">
        <f>'Chart Data'!I233</f>
        <v>0</v>
      </c>
      <c r="J233" s="295">
        <f>'Chart Data'!J233</f>
        <v>0</v>
      </c>
      <c r="K233" s="295">
        <f>'Chart Data'!K233</f>
        <v>0</v>
      </c>
      <c r="L233" s="295">
        <f>'Chart Data'!L233</f>
        <v>0</v>
      </c>
    </row>
    <row r="234" spans="3:12">
      <c r="C234" s="292" t="str">
        <f>'Chart Data'!C234</f>
        <v>Slag Cement</v>
      </c>
      <c r="D234" s="293">
        <f>'Chart Data'!D234</f>
        <v>0</v>
      </c>
      <c r="E234" s="293">
        <f>'Chart Data'!E234</f>
        <v>0</v>
      </c>
      <c r="F234" s="293">
        <f>'Chart Data'!F234</f>
        <v>0</v>
      </c>
      <c r="G234" s="294">
        <f>'Chart Data'!G234</f>
        <v>0</v>
      </c>
      <c r="H234" s="294">
        <f>'Chart Data'!H234</f>
        <v>0</v>
      </c>
      <c r="I234" s="294">
        <f>'Chart Data'!I234</f>
        <v>0</v>
      </c>
      <c r="J234" s="295">
        <f>'Chart Data'!J234</f>
        <v>0</v>
      </c>
      <c r="K234" s="295">
        <f>'Chart Data'!K234</f>
        <v>0</v>
      </c>
      <c r="L234" s="295">
        <f>'Chart Data'!L234</f>
        <v>0</v>
      </c>
    </row>
    <row r="235" spans="3:12">
      <c r="C235" s="292" t="str">
        <f>'Chart Data'!C235</f>
        <v>Chemical Admixture - Air Entraining Agent</v>
      </c>
      <c r="D235" s="293">
        <f>'Chart Data'!D235</f>
        <v>0</v>
      </c>
      <c r="E235" s="293">
        <f>'Chart Data'!E235</f>
        <v>0</v>
      </c>
      <c r="F235" s="293">
        <f>'Chart Data'!F235</f>
        <v>0</v>
      </c>
      <c r="G235" s="294">
        <f>'Chart Data'!G235</f>
        <v>0</v>
      </c>
      <c r="H235" s="294">
        <f>'Chart Data'!H235</f>
        <v>0</v>
      </c>
      <c r="I235" s="294">
        <f>'Chart Data'!I235</f>
        <v>0</v>
      </c>
      <c r="J235" s="295">
        <f>'Chart Data'!J235</f>
        <v>0</v>
      </c>
      <c r="K235" s="295">
        <f>'Chart Data'!K235</f>
        <v>0</v>
      </c>
      <c r="L235" s="295">
        <f>'Chart Data'!L235</f>
        <v>0</v>
      </c>
    </row>
    <row r="236" spans="3:12">
      <c r="C236" s="292" t="str">
        <f>'Chart Data'!C236</f>
        <v>Chemical Admixture - Water Reducer/Plasticizer</v>
      </c>
      <c r="D236" s="293">
        <f>'Chart Data'!D236</f>
        <v>0</v>
      </c>
      <c r="E236" s="293">
        <f>'Chart Data'!E236</f>
        <v>0</v>
      </c>
      <c r="F236" s="293">
        <f>'Chart Data'!F236</f>
        <v>0</v>
      </c>
      <c r="G236" s="294">
        <f>'Chart Data'!G236</f>
        <v>0</v>
      </c>
      <c r="H236" s="294">
        <f>'Chart Data'!H236</f>
        <v>0</v>
      </c>
      <c r="I236" s="294">
        <f>'Chart Data'!I236</f>
        <v>0</v>
      </c>
      <c r="J236" s="295">
        <f>'Chart Data'!J236</f>
        <v>0</v>
      </c>
      <c r="K236" s="295">
        <f>'Chart Data'!K236</f>
        <v>0</v>
      </c>
      <c r="L236" s="295">
        <f>'Chart Data'!L236</f>
        <v>0</v>
      </c>
    </row>
    <row r="237" spans="3:12">
      <c r="C237" s="292" t="str">
        <f>'Chart Data'!C237</f>
        <v>Chemical Admixture - Accelerator</v>
      </c>
      <c r="D237" s="293">
        <f>'Chart Data'!D237</f>
        <v>0</v>
      </c>
      <c r="E237" s="293">
        <f>'Chart Data'!E237</f>
        <v>0</v>
      </c>
      <c r="F237" s="293">
        <f>'Chart Data'!F237</f>
        <v>0</v>
      </c>
      <c r="G237" s="294">
        <f>'Chart Data'!G237</f>
        <v>0</v>
      </c>
      <c r="H237" s="294">
        <f>'Chart Data'!H237</f>
        <v>0</v>
      </c>
      <c r="I237" s="294">
        <f>'Chart Data'!I237</f>
        <v>0</v>
      </c>
      <c r="J237" s="295">
        <f>'Chart Data'!J237</f>
        <v>0</v>
      </c>
      <c r="K237" s="295">
        <f>'Chart Data'!K237</f>
        <v>0</v>
      </c>
      <c r="L237" s="295">
        <f>'Chart Data'!L237</f>
        <v>0</v>
      </c>
    </row>
    <row r="238" spans="3:12" ht="28">
      <c r="C238" s="426" t="str">
        <f>'Chart Data'!C238</f>
        <v>Chemical Admixture - High Range Water Reducer (HRWR)/Super Plasticizer</v>
      </c>
      <c r="D238" s="293">
        <f>'Chart Data'!D238</f>
        <v>0</v>
      </c>
      <c r="E238" s="293">
        <f>'Chart Data'!E238</f>
        <v>0</v>
      </c>
      <c r="F238" s="293">
        <f>'Chart Data'!F238</f>
        <v>0</v>
      </c>
      <c r="G238" s="294">
        <f>'Chart Data'!G238</f>
        <v>0</v>
      </c>
      <c r="H238" s="294">
        <f>'Chart Data'!H238</f>
        <v>0</v>
      </c>
      <c r="I238" s="294">
        <f>'Chart Data'!I238</f>
        <v>0</v>
      </c>
      <c r="J238" s="295">
        <f>'Chart Data'!J238</f>
        <v>0</v>
      </c>
      <c r="K238" s="295">
        <f>'Chart Data'!K238</f>
        <v>0</v>
      </c>
      <c r="L238" s="295">
        <f>'Chart Data'!L238</f>
        <v>0</v>
      </c>
    </row>
    <row r="239" spans="3:12">
      <c r="C239" s="292" t="str">
        <f>'Chart Data'!C239</f>
        <v>Chemical Admixture - Corrosion Inhibiting</v>
      </c>
      <c r="D239" s="293">
        <f>'Chart Data'!D239</f>
        <v>0</v>
      </c>
      <c r="E239" s="293">
        <f>'Chart Data'!E239</f>
        <v>0</v>
      </c>
      <c r="F239" s="293">
        <f>'Chart Data'!F239</f>
        <v>0</v>
      </c>
      <c r="G239" s="294">
        <f>'Chart Data'!G239</f>
        <v>0</v>
      </c>
      <c r="H239" s="294">
        <f>'Chart Data'!H239</f>
        <v>0</v>
      </c>
      <c r="I239" s="294">
        <f>'Chart Data'!I239</f>
        <v>0</v>
      </c>
      <c r="J239" s="295">
        <f>'Chart Data'!J239</f>
        <v>0</v>
      </c>
      <c r="K239" s="295">
        <f>'Chart Data'!K239</f>
        <v>0</v>
      </c>
      <c r="L239" s="295">
        <f>'Chart Data'!L239</f>
        <v>0</v>
      </c>
    </row>
    <row r="240" spans="3:12">
      <c r="C240" s="292" t="str">
        <f>'Chart Data'!C240</f>
        <v>Chemical Admixture - Viscosity Modifying Admixture (VMA)</v>
      </c>
      <c r="D240" s="293">
        <f>'Chart Data'!D240</f>
        <v>0</v>
      </c>
      <c r="E240" s="293">
        <f>'Chart Data'!E240</f>
        <v>0</v>
      </c>
      <c r="F240" s="293">
        <f>'Chart Data'!F240</f>
        <v>0</v>
      </c>
      <c r="G240" s="294">
        <f>'Chart Data'!G240</f>
        <v>0</v>
      </c>
      <c r="H240" s="294">
        <f>'Chart Data'!H240</f>
        <v>0</v>
      </c>
      <c r="I240" s="294">
        <f>'Chart Data'!I240</f>
        <v>0</v>
      </c>
      <c r="J240" s="295">
        <f>'Chart Data'!J240</f>
        <v>0</v>
      </c>
      <c r="K240" s="295">
        <f>'Chart Data'!K240</f>
        <v>0</v>
      </c>
      <c r="L240" s="295">
        <f>'Chart Data'!L240</f>
        <v>0</v>
      </c>
    </row>
    <row r="241" spans="3:12">
      <c r="C241" s="292" t="str">
        <f>'Chart Data'!C241</f>
        <v>Form Release Agent</v>
      </c>
      <c r="D241" s="293">
        <f>'Chart Data'!D241</f>
        <v>0</v>
      </c>
      <c r="E241" s="293">
        <f>'Chart Data'!E241</f>
        <v>0</v>
      </c>
      <c r="F241" s="293">
        <f>'Chart Data'!F241</f>
        <v>0</v>
      </c>
      <c r="G241" s="294">
        <f>'Chart Data'!G241</f>
        <v>0</v>
      </c>
      <c r="H241" s="294">
        <f>'Chart Data'!H241</f>
        <v>0</v>
      </c>
      <c r="I241" s="294">
        <f>'Chart Data'!I241</f>
        <v>0</v>
      </c>
      <c r="J241" s="295">
        <f>'Chart Data'!J241</f>
        <v>0</v>
      </c>
      <c r="K241" s="295">
        <f>'Chart Data'!K241</f>
        <v>0</v>
      </c>
      <c r="L241" s="295">
        <f>'Chart Data'!L241</f>
        <v>0</v>
      </c>
    </row>
    <row r="242" spans="3:12">
      <c r="C242" s="292" t="str">
        <f>'Chart Data'!C242</f>
        <v>Rebar</v>
      </c>
      <c r="D242" s="293">
        <f>'Chart Data'!D242</f>
        <v>0</v>
      </c>
      <c r="E242" s="293">
        <f>'Chart Data'!E242</f>
        <v>0</v>
      </c>
      <c r="F242" s="293">
        <f>'Chart Data'!F242</f>
        <v>0</v>
      </c>
      <c r="G242" s="294">
        <f>'Chart Data'!G242</f>
        <v>0</v>
      </c>
      <c r="H242" s="294">
        <f>'Chart Data'!H242</f>
        <v>0</v>
      </c>
      <c r="I242" s="294">
        <f>'Chart Data'!I242</f>
        <v>0</v>
      </c>
      <c r="J242" s="295">
        <f>'Chart Data'!J242</f>
        <v>0</v>
      </c>
      <c r="K242" s="295">
        <f>'Chart Data'!K242</f>
        <v>0</v>
      </c>
      <c r="L242" s="295">
        <f>'Chart Data'!L242</f>
        <v>0</v>
      </c>
    </row>
    <row r="243" spans="3:12">
      <c r="C243" s="292" t="str">
        <f>'Chart Data'!C243</f>
        <v>Welded Wire Reinforcement (WWR)</v>
      </c>
      <c r="D243" s="293">
        <f>'Chart Data'!D243</f>
        <v>0</v>
      </c>
      <c r="E243" s="293">
        <f>'Chart Data'!E243</f>
        <v>0</v>
      </c>
      <c r="F243" s="293">
        <f>'Chart Data'!F243</f>
        <v>0</v>
      </c>
      <c r="G243" s="294">
        <f>'Chart Data'!G243</f>
        <v>0</v>
      </c>
      <c r="H243" s="294">
        <f>'Chart Data'!H243</f>
        <v>0</v>
      </c>
      <c r="I243" s="294">
        <f>'Chart Data'!I243</f>
        <v>0</v>
      </c>
      <c r="J243" s="295">
        <f>'Chart Data'!J243</f>
        <v>0</v>
      </c>
      <c r="K243" s="295">
        <f>'Chart Data'!K243</f>
        <v>0</v>
      </c>
      <c r="L243" s="295">
        <f>'Chart Data'!L243</f>
        <v>0</v>
      </c>
    </row>
    <row r="244" spans="3:12">
      <c r="C244" s="292" t="str">
        <f>'Chart Data'!C244</f>
        <v>Steel Anchors</v>
      </c>
      <c r="D244" s="293">
        <f>'Chart Data'!D244</f>
        <v>0</v>
      </c>
      <c r="E244" s="293">
        <f>'Chart Data'!E244</f>
        <v>0</v>
      </c>
      <c r="F244" s="293">
        <f>'Chart Data'!F244</f>
        <v>0</v>
      </c>
      <c r="G244" s="294">
        <f>'Chart Data'!G244</f>
        <v>0</v>
      </c>
      <c r="H244" s="294">
        <f>'Chart Data'!H244</f>
        <v>0</v>
      </c>
      <c r="I244" s="294">
        <f>'Chart Data'!I244</f>
        <v>0</v>
      </c>
      <c r="J244" s="295">
        <f>'Chart Data'!J244</f>
        <v>0</v>
      </c>
      <c r="K244" s="295">
        <f>'Chart Data'!K244</f>
        <v>0</v>
      </c>
      <c r="L244" s="295">
        <f>'Chart Data'!L244</f>
        <v>0</v>
      </c>
    </row>
    <row r="245" spans="3:12">
      <c r="C245" s="292" t="str">
        <f>'Chart Data'!C245</f>
        <v>Steel Stressing Strand</v>
      </c>
      <c r="D245" s="293">
        <f>'Chart Data'!D245</f>
        <v>0</v>
      </c>
      <c r="E245" s="293">
        <f>'Chart Data'!E245</f>
        <v>0</v>
      </c>
      <c r="F245" s="293">
        <f>'Chart Data'!F245</f>
        <v>0</v>
      </c>
      <c r="G245" s="294">
        <f>'Chart Data'!G245</f>
        <v>0</v>
      </c>
      <c r="H245" s="294">
        <f>'Chart Data'!H245</f>
        <v>0</v>
      </c>
      <c r="I245" s="294">
        <f>'Chart Data'!I245</f>
        <v>0</v>
      </c>
      <c r="J245" s="295">
        <f>'Chart Data'!J245</f>
        <v>0</v>
      </c>
      <c r="K245" s="295">
        <f>'Chart Data'!K245</f>
        <v>0</v>
      </c>
      <c r="L245" s="295">
        <f>'Chart Data'!L245</f>
        <v>0</v>
      </c>
    </row>
    <row r="246" spans="3:12">
      <c r="C246" s="292" t="str">
        <f>'Chart Data'!C246</f>
        <v>Carbon Fibre Reinforced Polymer (CFRP) strand</v>
      </c>
      <c r="D246" s="293">
        <f>'Chart Data'!D246</f>
        <v>0</v>
      </c>
      <c r="E246" s="293">
        <f>'Chart Data'!E246</f>
        <v>0</v>
      </c>
      <c r="F246" s="293">
        <f>'Chart Data'!F246</f>
        <v>0</v>
      </c>
      <c r="G246" s="294">
        <f>'Chart Data'!G246</f>
        <v>0</v>
      </c>
      <c r="H246" s="294">
        <f>'Chart Data'!H246</f>
        <v>0</v>
      </c>
      <c r="I246" s="294">
        <f>'Chart Data'!I246</f>
        <v>0</v>
      </c>
      <c r="J246" s="295">
        <f>'Chart Data'!J246</f>
        <v>0</v>
      </c>
      <c r="K246" s="295">
        <f>'Chart Data'!K246</f>
        <v>0</v>
      </c>
      <c r="L246" s="295">
        <f>'Chart Data'!L246</f>
        <v>0</v>
      </c>
    </row>
    <row r="247" spans="3:12">
      <c r="C247" s="292" t="str">
        <f>'Chart Data'!C247</f>
        <v>Polypropylene Fibers</v>
      </c>
      <c r="D247" s="293">
        <f>'Chart Data'!D247</f>
        <v>0</v>
      </c>
      <c r="E247" s="293">
        <f>'Chart Data'!E247</f>
        <v>0</v>
      </c>
      <c r="F247" s="293">
        <f>'Chart Data'!F247</f>
        <v>0</v>
      </c>
      <c r="G247" s="294">
        <f>'Chart Data'!G247</f>
        <v>0</v>
      </c>
      <c r="H247" s="294">
        <f>'Chart Data'!H247</f>
        <v>0</v>
      </c>
      <c r="I247" s="294">
        <f>'Chart Data'!I247</f>
        <v>0</v>
      </c>
      <c r="J247" s="295">
        <f>'Chart Data'!J247</f>
        <v>0</v>
      </c>
      <c r="K247" s="295">
        <f>'Chart Data'!K247</f>
        <v>0</v>
      </c>
      <c r="L247" s="295">
        <f>'Chart Data'!L247</f>
        <v>0</v>
      </c>
    </row>
    <row r="248" spans="3:12">
      <c r="C248" s="292" t="str">
        <f>'Chart Data'!C248</f>
        <v>Steel Fibers</v>
      </c>
      <c r="D248" s="293">
        <f>'Chart Data'!D248</f>
        <v>0</v>
      </c>
      <c r="E248" s="293">
        <f>'Chart Data'!E248</f>
        <v>0</v>
      </c>
      <c r="F248" s="293">
        <f>'Chart Data'!F248</f>
        <v>0</v>
      </c>
      <c r="G248" s="294">
        <f>'Chart Data'!G248</f>
        <v>0</v>
      </c>
      <c r="H248" s="294">
        <f>'Chart Data'!H248</f>
        <v>0</v>
      </c>
      <c r="I248" s="294">
        <f>'Chart Data'!I248</f>
        <v>0</v>
      </c>
      <c r="J248" s="295">
        <f>'Chart Data'!J248</f>
        <v>0</v>
      </c>
      <c r="K248" s="295">
        <f>'Chart Data'!K248</f>
        <v>0</v>
      </c>
      <c r="L248" s="295">
        <f>'Chart Data'!L248</f>
        <v>0</v>
      </c>
    </row>
    <row r="249" spans="3:12">
      <c r="C249" s="292" t="str">
        <f>'Chart Data'!C249</f>
        <v>Glass Fibre Reinforced Polymer (GFRP) reinforcing bars</v>
      </c>
      <c r="D249" s="293">
        <f>'Chart Data'!D249</f>
        <v>0</v>
      </c>
      <c r="E249" s="293">
        <f>'Chart Data'!E249</f>
        <v>0</v>
      </c>
      <c r="F249" s="293">
        <f>'Chart Data'!F249</f>
        <v>0</v>
      </c>
      <c r="G249" s="294">
        <f>'Chart Data'!G249</f>
        <v>0</v>
      </c>
      <c r="H249" s="294">
        <f>'Chart Data'!H249</f>
        <v>0</v>
      </c>
      <c r="I249" s="294">
        <f>'Chart Data'!I249</f>
        <v>0</v>
      </c>
      <c r="J249" s="295">
        <f>'Chart Data'!J249</f>
        <v>0</v>
      </c>
      <c r="K249" s="295">
        <f>'Chart Data'!K249</f>
        <v>0</v>
      </c>
      <c r="L249" s="295">
        <f>'Chart Data'!L249</f>
        <v>0</v>
      </c>
    </row>
    <row r="250" spans="3:12">
      <c r="C250" s="292" t="str">
        <f>'Chart Data'!C250</f>
        <v>Carbon Fibre Reinforced Polymer (CFRP) reinforcing bars</v>
      </c>
      <c r="D250" s="293">
        <f>'Chart Data'!D250</f>
        <v>0</v>
      </c>
      <c r="E250" s="293">
        <f>'Chart Data'!E250</f>
        <v>0</v>
      </c>
      <c r="F250" s="293">
        <f>'Chart Data'!F250</f>
        <v>0</v>
      </c>
      <c r="G250" s="294">
        <f>'Chart Data'!G250</f>
        <v>0</v>
      </c>
      <c r="H250" s="294">
        <f>'Chart Data'!H250</f>
        <v>0</v>
      </c>
      <c r="I250" s="294">
        <f>'Chart Data'!I250</f>
        <v>0</v>
      </c>
      <c r="J250" s="295">
        <f>'Chart Data'!J250</f>
        <v>0</v>
      </c>
      <c r="K250" s="295">
        <f>'Chart Data'!K250</f>
        <v>0</v>
      </c>
      <c r="L250" s="295">
        <f>'Chart Data'!L250</f>
        <v>0</v>
      </c>
    </row>
    <row r="251" spans="3:12">
      <c r="C251" s="292" t="str">
        <f>'Chart Data'!C251</f>
        <v>Fibre Reinforced Polymer (FRP) wrap</v>
      </c>
      <c r="D251" s="293">
        <f>'Chart Data'!D251</f>
        <v>0</v>
      </c>
      <c r="E251" s="293">
        <f>'Chart Data'!E251</f>
        <v>0</v>
      </c>
      <c r="F251" s="293">
        <f>'Chart Data'!F251</f>
        <v>0</v>
      </c>
      <c r="G251" s="294">
        <f>'Chart Data'!G251</f>
        <v>0</v>
      </c>
      <c r="H251" s="294">
        <f>'Chart Data'!H251</f>
        <v>0</v>
      </c>
      <c r="I251" s="294">
        <f>'Chart Data'!I251</f>
        <v>0</v>
      </c>
      <c r="J251" s="295">
        <f>'Chart Data'!J251</f>
        <v>0</v>
      </c>
      <c r="K251" s="295">
        <f>'Chart Data'!K251</f>
        <v>0</v>
      </c>
      <c r="L251" s="295">
        <f>'Chart Data'!L251</f>
        <v>0</v>
      </c>
    </row>
    <row r="252" spans="3:12">
      <c r="C252" s="292" t="str">
        <f>'Chart Data'!C252</f>
        <v>Expanded Polystyrene</v>
      </c>
      <c r="D252" s="293">
        <f>'Chart Data'!D252</f>
        <v>0</v>
      </c>
      <c r="E252" s="293">
        <f>'Chart Data'!E252</f>
        <v>0</v>
      </c>
      <c r="F252" s="293">
        <f>'Chart Data'!F252</f>
        <v>0</v>
      </c>
      <c r="G252" s="294">
        <f>'Chart Data'!G252</f>
        <v>0</v>
      </c>
      <c r="H252" s="294">
        <f>'Chart Data'!H252</f>
        <v>0</v>
      </c>
      <c r="I252" s="294">
        <f>'Chart Data'!I252</f>
        <v>0</v>
      </c>
      <c r="J252" s="295">
        <f>'Chart Data'!J252</f>
        <v>0</v>
      </c>
      <c r="K252" s="295">
        <f>'Chart Data'!K252</f>
        <v>0</v>
      </c>
      <c r="L252" s="295">
        <f>'Chart Data'!L252</f>
        <v>0</v>
      </c>
    </row>
    <row r="253" spans="3:12">
      <c r="C253" s="292" t="str">
        <f>'Chart Data'!C253</f>
        <v>Extruded Polystyrene</v>
      </c>
      <c r="D253" s="293">
        <f>'Chart Data'!D253</f>
        <v>0</v>
      </c>
      <c r="E253" s="293">
        <f>'Chart Data'!E253</f>
        <v>0</v>
      </c>
      <c r="F253" s="293">
        <f>'Chart Data'!F253</f>
        <v>0</v>
      </c>
      <c r="G253" s="294">
        <f>'Chart Data'!G253</f>
        <v>0</v>
      </c>
      <c r="H253" s="294">
        <f>'Chart Data'!H253</f>
        <v>0</v>
      </c>
      <c r="I253" s="294">
        <f>'Chart Data'!I253</f>
        <v>0</v>
      </c>
      <c r="J253" s="295">
        <f>'Chart Data'!J253</f>
        <v>0</v>
      </c>
      <c r="K253" s="295">
        <f>'Chart Data'!K253</f>
        <v>0</v>
      </c>
      <c r="L253" s="295">
        <f>'Chart Data'!L253</f>
        <v>0</v>
      </c>
    </row>
    <row r="254" spans="3:12">
      <c r="C254" s="292" t="str">
        <f>'Chart Data'!C254</f>
        <v>Brick</v>
      </c>
      <c r="D254" s="293">
        <f>'Chart Data'!D254</f>
        <v>0</v>
      </c>
      <c r="E254" s="293">
        <f>'Chart Data'!E254</f>
        <v>0</v>
      </c>
      <c r="F254" s="293">
        <f>'Chart Data'!F254</f>
        <v>0</v>
      </c>
      <c r="G254" s="294">
        <f>'Chart Data'!G254</f>
        <v>0</v>
      </c>
      <c r="H254" s="294">
        <f>'Chart Data'!H254</f>
        <v>0</v>
      </c>
      <c r="I254" s="294">
        <f>'Chart Data'!I254</f>
        <v>0</v>
      </c>
      <c r="J254" s="295">
        <f>'Chart Data'!J254</f>
        <v>0</v>
      </c>
      <c r="K254" s="295">
        <f>'Chart Data'!K254</f>
        <v>0</v>
      </c>
      <c r="L254" s="295">
        <f>'Chart Data'!L254</f>
        <v>0</v>
      </c>
    </row>
    <row r="255" spans="3:12">
      <c r="C255" s="292" t="str">
        <f>'Chart Data'!C255</f>
        <v>Natural Stone</v>
      </c>
      <c r="D255" s="293">
        <f>'Chart Data'!D255</f>
        <v>0</v>
      </c>
      <c r="E255" s="293">
        <f>'Chart Data'!E255</f>
        <v>0</v>
      </c>
      <c r="F255" s="293">
        <f>'Chart Data'!F255</f>
        <v>0</v>
      </c>
      <c r="G255" s="294">
        <f>'Chart Data'!G255</f>
        <v>0</v>
      </c>
      <c r="H255" s="294">
        <f>'Chart Data'!H255</f>
        <v>0</v>
      </c>
      <c r="I255" s="294">
        <f>'Chart Data'!I255</f>
        <v>0</v>
      </c>
      <c r="J255" s="295">
        <f>'Chart Data'!J255</f>
        <v>0</v>
      </c>
      <c r="K255" s="295">
        <f>'Chart Data'!K255</f>
        <v>0</v>
      </c>
      <c r="L255" s="295">
        <f>'Chart Data'!L255</f>
        <v>0</v>
      </c>
    </row>
    <row r="256" spans="3:12">
      <c r="C256" s="292" t="str">
        <f>'Chart Data'!C256</f>
        <v>Pigments</v>
      </c>
      <c r="D256" s="293">
        <f>'Chart Data'!D256</f>
        <v>0</v>
      </c>
      <c r="E256" s="293">
        <f>'Chart Data'!E256</f>
        <v>0</v>
      </c>
      <c r="F256" s="293">
        <f>'Chart Data'!F256</f>
        <v>0</v>
      </c>
      <c r="G256" s="294">
        <f>'Chart Data'!G256</f>
        <v>0</v>
      </c>
      <c r="H256" s="294">
        <f>'Chart Data'!H256</f>
        <v>0</v>
      </c>
      <c r="I256" s="294">
        <f>'Chart Data'!I256</f>
        <v>0</v>
      </c>
      <c r="J256" s="295">
        <f>'Chart Data'!J256</f>
        <v>0</v>
      </c>
      <c r="K256" s="295">
        <f>'Chart Data'!K256</f>
        <v>0</v>
      </c>
      <c r="L256" s="295">
        <f>'Chart Data'!L256</f>
        <v>0</v>
      </c>
    </row>
    <row r="257" spans="2:26">
      <c r="C257" s="292" t="str">
        <f>'Chart Data'!C257</f>
        <v>Net Consumables</v>
      </c>
      <c r="D257" s="293">
        <f>'Chart Data'!D257</f>
        <v>0</v>
      </c>
      <c r="E257" s="293">
        <f>'Chart Data'!E257</f>
        <v>0</v>
      </c>
      <c r="F257" s="293">
        <f>'Chart Data'!F257</f>
        <v>0</v>
      </c>
      <c r="G257" s="294">
        <f>'Chart Data'!G257</f>
        <v>0</v>
      </c>
      <c r="H257" s="294">
        <f>'Chart Data'!H257</f>
        <v>0</v>
      </c>
      <c r="I257" s="294">
        <f>'Chart Data'!I257</f>
        <v>0</v>
      </c>
      <c r="J257" s="295">
        <f>'Chart Data'!J257</f>
        <v>0</v>
      </c>
      <c r="K257" s="295">
        <f>'Chart Data'!K257</f>
        <v>0</v>
      </c>
      <c r="L257" s="295">
        <f>'Chart Data'!L257</f>
        <v>0</v>
      </c>
    </row>
    <row r="258" spans="2:26" ht="15">
      <c r="C258" s="279" t="str">
        <f>'Chart Data'!C258</f>
        <v>Total</v>
      </c>
      <c r="D258" s="293">
        <f>'Chart Data'!D258</f>
        <v>0</v>
      </c>
      <c r="E258" s="293">
        <f>'Chart Data'!E258</f>
        <v>0</v>
      </c>
      <c r="F258" s="293">
        <f>'Chart Data'!F258</f>
        <v>0</v>
      </c>
      <c r="G258" s="294">
        <f>'Chart Data'!G258</f>
        <v>0</v>
      </c>
      <c r="H258" s="294">
        <f>'Chart Data'!H258</f>
        <v>0</v>
      </c>
      <c r="I258" s="294">
        <f>'Chart Data'!I258</f>
        <v>0</v>
      </c>
      <c r="J258" s="295">
        <f>'Chart Data'!J258</f>
        <v>0</v>
      </c>
      <c r="K258" s="295">
        <f>'Chart Data'!K258</f>
        <v>0</v>
      </c>
      <c r="L258" s="295">
        <f>'Chart Data'!L258</f>
        <v>0</v>
      </c>
      <c r="M258" s="3"/>
    </row>
    <row r="259" spans="2:26" ht="15">
      <c r="M259" s="3"/>
    </row>
    <row r="260" spans="2:26" ht="16" thickBot="1">
      <c r="M260" s="3"/>
    </row>
    <row r="261" spans="2:26" s="11" customFormat="1" ht="19" thickBot="1">
      <c r="B261" s="259" t="str">
        <f>'Chart Data'!B261</f>
        <v>E. Total Water Use Contribution Analysis</v>
      </c>
      <c r="C261" s="260"/>
      <c r="D261" s="260"/>
      <c r="E261" s="260"/>
      <c r="F261" s="260"/>
      <c r="G261" s="260"/>
      <c r="H261" s="260"/>
      <c r="I261" s="260"/>
      <c r="J261" s="260"/>
      <c r="K261" s="260"/>
      <c r="L261" s="261"/>
      <c r="M261" s="249"/>
      <c r="N261" s="262"/>
      <c r="O261" s="262"/>
      <c r="P261" s="262"/>
      <c r="Q261" s="262"/>
      <c r="R261" s="262"/>
      <c r="S261" s="262"/>
      <c r="T261" s="262"/>
      <c r="U261" s="262"/>
      <c r="V261" s="262"/>
      <c r="W261" s="262"/>
      <c r="X261" s="262"/>
      <c r="Y261" s="262"/>
      <c r="Z261" s="262"/>
    </row>
    <row r="294" spans="2:26">
      <c r="D294" s="265"/>
      <c r="E294" s="266" t="str">
        <f>'Chart Data'!E294</f>
        <v>Water Use by Contribution</v>
      </c>
      <c r="F294" s="267"/>
    </row>
    <row r="295" spans="2:26">
      <c r="C295" s="265"/>
      <c r="D295" s="268" t="str">
        <f>'Chart Data'!D295</f>
        <v>Total (kgal)</v>
      </c>
      <c r="E295" s="302" t="str">
        <f>'Chart Data'!E295</f>
        <v>gallon/tonne precast</v>
      </c>
      <c r="F295" s="270" t="str">
        <f>'Chart Data'!F295</f>
        <v>Percentage</v>
      </c>
    </row>
    <row r="296" spans="2:26">
      <c r="C296" s="271" t="str">
        <f>'Chart Data'!C296</f>
        <v>Batch Fresh Water Use</v>
      </c>
      <c r="D296" s="272">
        <f>'Chart Data'!D296</f>
        <v>0</v>
      </c>
      <c r="E296" s="303">
        <f>'Chart Data'!E296</f>
        <v>0</v>
      </c>
      <c r="F296" s="274">
        <f>'Chart Data'!F296</f>
        <v>0</v>
      </c>
    </row>
    <row r="297" spans="2:26">
      <c r="C297" s="271" t="str">
        <f>'Chart Data'!C297</f>
        <v>Other Water Use (washing, recycled for batch, etc.)</v>
      </c>
      <c r="D297" s="272">
        <f>'Chart Data'!D297</f>
        <v>0</v>
      </c>
      <c r="E297" s="303">
        <f>'Chart Data'!E297</f>
        <v>0</v>
      </c>
      <c r="F297" s="274">
        <f>'Chart Data'!F297</f>
        <v>0</v>
      </c>
    </row>
    <row r="298" spans="2:26">
      <c r="C298" s="271" t="str">
        <f>'Chart Data'!C298</f>
        <v>Upstream Process Water</v>
      </c>
      <c r="D298" s="272">
        <f>'Chart Data'!D298</f>
        <v>0</v>
      </c>
      <c r="E298" s="303">
        <f>'Chart Data'!E298</f>
        <v>0</v>
      </c>
      <c r="F298" s="274">
        <f>'Chart Data'!F298</f>
        <v>0</v>
      </c>
    </row>
    <row r="299" spans="2:26">
      <c r="C299" s="275" t="str">
        <f>'Chart Data'!C299</f>
        <v>Total</v>
      </c>
      <c r="D299" s="276">
        <f>'Chart Data'!D299</f>
        <v>0</v>
      </c>
      <c r="E299" s="298">
        <f>'Chart Data'!E299</f>
        <v>0</v>
      </c>
      <c r="F299" s="278">
        <f>'Chart Data'!F299</f>
        <v>0</v>
      </c>
    </row>
    <row r="301" spans="2:26" ht="14" thickBot="1"/>
    <row r="302" spans="2:26" s="11" customFormat="1" ht="19" thickBot="1">
      <c r="B302" s="259" t="s">
        <v>665</v>
      </c>
      <c r="C302" s="260"/>
      <c r="D302" s="260"/>
      <c r="E302" s="260"/>
      <c r="F302" s="260"/>
      <c r="G302" s="260"/>
      <c r="H302" s="260"/>
      <c r="I302" s="260"/>
      <c r="J302" s="260"/>
      <c r="K302" s="260"/>
      <c r="L302" s="261"/>
      <c r="M302" s="249"/>
      <c r="N302" s="262"/>
      <c r="O302" s="262"/>
      <c r="P302" s="262"/>
      <c r="Q302" s="262"/>
      <c r="R302" s="262"/>
      <c r="S302" s="262"/>
      <c r="T302" s="262"/>
      <c r="U302" s="262"/>
      <c r="V302" s="262"/>
      <c r="W302" s="262"/>
      <c r="X302" s="262"/>
      <c r="Y302" s="262"/>
      <c r="Z302" s="262"/>
    </row>
    <row r="335" spans="4:4">
      <c r="D335" s="279" t="s">
        <v>233</v>
      </c>
    </row>
    <row r="336" spans="4:4">
      <c r="D336" s="280">
        <v>0.01</v>
      </c>
    </row>
    <row r="338" spans="3:12" ht="14.25" customHeight="1"/>
    <row r="339" spans="3:12" ht="13.5" customHeight="1">
      <c r="D339" s="281"/>
      <c r="E339" s="282" t="str">
        <f>"Material Manuf. &amp; Transp. Upstream Water Use ("&amp;WaterTotalDisplayUnit&amp;")"</f>
        <v>Material Manuf. &amp; Transp. Upstream Water Use (kgal)</v>
      </c>
      <c r="F339" s="283"/>
      <c r="G339" s="301"/>
      <c r="H339" s="285" t="str">
        <f>"Material Manuf. &amp; Transp. Upstream Water Use ("&amp;WaterPerTonneDisplayUnit&amp;"/"&amp;MassDisplayUnit&amp;" precast)"</f>
        <v>Material Manuf. &amp; Transp. Upstream Water Use (gallon/short ton precast)</v>
      </c>
      <c r="I339" s="286"/>
      <c r="J339" s="287"/>
      <c r="K339" s="288" t="s">
        <v>67</v>
      </c>
      <c r="L339" s="289"/>
    </row>
    <row r="340" spans="3:12" ht="13.5" customHeight="1">
      <c r="C340" s="290" t="s">
        <v>5</v>
      </c>
      <c r="D340" s="291" t="s">
        <v>5</v>
      </c>
      <c r="E340" s="291" t="s">
        <v>38</v>
      </c>
      <c r="F340" s="291" t="s">
        <v>19</v>
      </c>
      <c r="G340" s="269" t="s">
        <v>5</v>
      </c>
      <c r="H340" s="269" t="s">
        <v>38</v>
      </c>
      <c r="I340" s="269" t="s">
        <v>19</v>
      </c>
      <c r="J340" s="270" t="s">
        <v>5</v>
      </c>
      <c r="K340" s="270" t="s">
        <v>38</v>
      </c>
      <c r="L340" s="270" t="s">
        <v>19</v>
      </c>
    </row>
    <row r="341" spans="3:12">
      <c r="C341" s="292" t="str">
        <f>'Chart Data'!C341</f>
        <v>Portland Cement</v>
      </c>
      <c r="D341" s="293">
        <f>'Chart Data'!D341</f>
        <v>0</v>
      </c>
      <c r="E341" s="293">
        <f>'Chart Data'!E341</f>
        <v>0</v>
      </c>
      <c r="F341" s="293">
        <f>'Chart Data'!F341</f>
        <v>0</v>
      </c>
      <c r="G341" s="294">
        <f>'Chart Data'!G341</f>
        <v>0</v>
      </c>
      <c r="H341" s="294">
        <f>'Chart Data'!H341</f>
        <v>0</v>
      </c>
      <c r="I341" s="294">
        <f>'Chart Data'!I341</f>
        <v>0</v>
      </c>
      <c r="J341" s="295">
        <f>'Chart Data'!J341</f>
        <v>0</v>
      </c>
      <c r="K341" s="295">
        <f>'Chart Data'!K341</f>
        <v>0</v>
      </c>
      <c r="L341" s="295">
        <f>'Chart Data'!L341</f>
        <v>0</v>
      </c>
    </row>
    <row r="342" spans="3:12">
      <c r="C342" s="292" t="str">
        <f>'Chart Data'!C342</f>
        <v>Portland Limestone Cement (PLC)</v>
      </c>
      <c r="D342" s="293">
        <f>'Chart Data'!D342</f>
        <v>0</v>
      </c>
      <c r="E342" s="293">
        <f>'Chart Data'!E342</f>
        <v>0</v>
      </c>
      <c r="F342" s="293">
        <f>'Chart Data'!F342</f>
        <v>0</v>
      </c>
      <c r="G342" s="294">
        <f>'Chart Data'!G342</f>
        <v>0</v>
      </c>
      <c r="H342" s="294">
        <f>'Chart Data'!H342</f>
        <v>0</v>
      </c>
      <c r="I342" s="294">
        <f>'Chart Data'!I342</f>
        <v>0</v>
      </c>
      <c r="J342" s="295">
        <f>'Chart Data'!J342</f>
        <v>0</v>
      </c>
      <c r="K342" s="295">
        <f>'Chart Data'!K342</f>
        <v>0</v>
      </c>
      <c r="L342" s="295">
        <f>'Chart Data'!L342</f>
        <v>0</v>
      </c>
    </row>
    <row r="343" spans="3:12">
      <c r="C343" s="292" t="str">
        <f>'Chart Data'!C343</f>
        <v>Pre-Blended Cement</v>
      </c>
      <c r="D343" s="293">
        <f>'Chart Data'!D343</f>
        <v>0</v>
      </c>
      <c r="E343" s="293">
        <f>'Chart Data'!E343</f>
        <v>0</v>
      </c>
      <c r="F343" s="293">
        <f>'Chart Data'!F343</f>
        <v>0</v>
      </c>
      <c r="G343" s="294">
        <f>'Chart Data'!G343</f>
        <v>0</v>
      </c>
      <c r="H343" s="294">
        <f>'Chart Data'!H343</f>
        <v>0</v>
      </c>
      <c r="I343" s="294">
        <f>'Chart Data'!I343</f>
        <v>0</v>
      </c>
      <c r="J343" s="295">
        <f>'Chart Data'!J343</f>
        <v>0</v>
      </c>
      <c r="K343" s="295">
        <f>'Chart Data'!K343</f>
        <v>0</v>
      </c>
      <c r="L343" s="295">
        <f>'Chart Data'!L343</f>
        <v>0</v>
      </c>
    </row>
    <row r="344" spans="3:12">
      <c r="C344" s="292" t="str">
        <f>'Chart Data'!C344</f>
        <v>Fine Aggregate - natural sand</v>
      </c>
      <c r="D344" s="293">
        <f>'Chart Data'!D344</f>
        <v>0</v>
      </c>
      <c r="E344" s="293">
        <f>'Chart Data'!E344</f>
        <v>0</v>
      </c>
      <c r="F344" s="293">
        <f>'Chart Data'!F344</f>
        <v>0</v>
      </c>
      <c r="G344" s="294">
        <f>'Chart Data'!G344</f>
        <v>0</v>
      </c>
      <c r="H344" s="294">
        <f>'Chart Data'!H344</f>
        <v>0</v>
      </c>
      <c r="I344" s="294">
        <f>'Chart Data'!I344</f>
        <v>0</v>
      </c>
      <c r="J344" s="295">
        <f>'Chart Data'!J344</f>
        <v>0</v>
      </c>
      <c r="K344" s="295">
        <f>'Chart Data'!K344</f>
        <v>0</v>
      </c>
      <c r="L344" s="295">
        <f>'Chart Data'!L344</f>
        <v>0</v>
      </c>
    </row>
    <row r="345" spans="3:12">
      <c r="C345" s="292" t="str">
        <f>'Chart Data'!C345</f>
        <v>Fine Aggregate - manufactured</v>
      </c>
      <c r="D345" s="293">
        <f>'Chart Data'!D345</f>
        <v>0</v>
      </c>
      <c r="E345" s="293">
        <f>'Chart Data'!E345</f>
        <v>0</v>
      </c>
      <c r="F345" s="293">
        <f>'Chart Data'!F345</f>
        <v>0</v>
      </c>
      <c r="G345" s="294">
        <f>'Chart Data'!G345</f>
        <v>0</v>
      </c>
      <c r="H345" s="294">
        <f>'Chart Data'!H345</f>
        <v>0</v>
      </c>
      <c r="I345" s="294">
        <f>'Chart Data'!I345</f>
        <v>0</v>
      </c>
      <c r="J345" s="295">
        <f>'Chart Data'!J345</f>
        <v>0</v>
      </c>
      <c r="K345" s="295">
        <f>'Chart Data'!K345</f>
        <v>0</v>
      </c>
      <c r="L345" s="295">
        <f>'Chart Data'!L345</f>
        <v>0</v>
      </c>
    </row>
    <row r="346" spans="3:12">
      <c r="C346" s="292" t="str">
        <f>'Chart Data'!C346</f>
        <v>Coarse Aggregate - natural gravel</v>
      </c>
      <c r="D346" s="293">
        <f>'Chart Data'!D346</f>
        <v>0</v>
      </c>
      <c r="E346" s="293">
        <f>'Chart Data'!E346</f>
        <v>0</v>
      </c>
      <c r="F346" s="293">
        <f>'Chart Data'!F346</f>
        <v>0</v>
      </c>
      <c r="G346" s="294">
        <f>'Chart Data'!G346</f>
        <v>0</v>
      </c>
      <c r="H346" s="294">
        <f>'Chart Data'!H346</f>
        <v>0</v>
      </c>
      <c r="I346" s="294">
        <f>'Chart Data'!I346</f>
        <v>0</v>
      </c>
      <c r="J346" s="295">
        <f>'Chart Data'!J346</f>
        <v>0</v>
      </c>
      <c r="K346" s="295">
        <f>'Chart Data'!K346</f>
        <v>0</v>
      </c>
      <c r="L346" s="295">
        <f>'Chart Data'!L346</f>
        <v>0</v>
      </c>
    </row>
    <row r="347" spans="3:12">
      <c r="C347" s="292" t="str">
        <f>'Chart Data'!C347</f>
        <v>Coarse Aggregate - crushed</v>
      </c>
      <c r="D347" s="293">
        <f>'Chart Data'!D347</f>
        <v>0</v>
      </c>
      <c r="E347" s="293">
        <f>'Chart Data'!E347</f>
        <v>0</v>
      </c>
      <c r="F347" s="293">
        <f>'Chart Data'!F347</f>
        <v>0</v>
      </c>
      <c r="G347" s="294">
        <f>'Chart Data'!G347</f>
        <v>0</v>
      </c>
      <c r="H347" s="294">
        <f>'Chart Data'!H347</f>
        <v>0</v>
      </c>
      <c r="I347" s="294">
        <f>'Chart Data'!I347</f>
        <v>0</v>
      </c>
      <c r="J347" s="295">
        <f>'Chart Data'!J347</f>
        <v>0</v>
      </c>
      <c r="K347" s="295">
        <f>'Chart Data'!K347</f>
        <v>0</v>
      </c>
      <c r="L347" s="295">
        <f>'Chart Data'!L347</f>
        <v>0</v>
      </c>
    </row>
    <row r="348" spans="3:12">
      <c r="C348" s="292" t="str">
        <f>'Chart Data'!C348</f>
        <v>Manufactured Lightweight Aggregate</v>
      </c>
      <c r="D348" s="293">
        <f>'Chart Data'!D348</f>
        <v>0</v>
      </c>
      <c r="E348" s="293">
        <f>'Chart Data'!E348</f>
        <v>0</v>
      </c>
      <c r="F348" s="293">
        <f>'Chart Data'!F348</f>
        <v>0</v>
      </c>
      <c r="G348" s="294">
        <f>'Chart Data'!G348</f>
        <v>0</v>
      </c>
      <c r="H348" s="294">
        <f>'Chart Data'!H348</f>
        <v>0</v>
      </c>
      <c r="I348" s="294">
        <f>'Chart Data'!I348</f>
        <v>0</v>
      </c>
      <c r="J348" s="295">
        <f>'Chart Data'!J348</f>
        <v>0</v>
      </c>
      <c r="K348" s="295">
        <f>'Chart Data'!K348</f>
        <v>0</v>
      </c>
      <c r="L348" s="295">
        <f>'Chart Data'!L348</f>
        <v>0</v>
      </c>
    </row>
    <row r="349" spans="3:12">
      <c r="C349" s="292" t="str">
        <f>'Chart Data'!C349</f>
        <v>Natural Lightweight Aggregate</v>
      </c>
      <c r="D349" s="293">
        <f>'Chart Data'!D349</f>
        <v>0</v>
      </c>
      <c r="E349" s="293">
        <f>'Chart Data'!E349</f>
        <v>0</v>
      </c>
      <c r="F349" s="293">
        <f>'Chart Data'!F349</f>
        <v>0</v>
      </c>
      <c r="G349" s="294">
        <f>'Chart Data'!G349</f>
        <v>0</v>
      </c>
      <c r="H349" s="294">
        <f>'Chart Data'!H349</f>
        <v>0</v>
      </c>
      <c r="I349" s="294">
        <f>'Chart Data'!I349</f>
        <v>0</v>
      </c>
      <c r="J349" s="295">
        <f>'Chart Data'!J349</f>
        <v>0</v>
      </c>
      <c r="K349" s="295">
        <f>'Chart Data'!K349</f>
        <v>0</v>
      </c>
      <c r="L349" s="295">
        <f>'Chart Data'!L349</f>
        <v>0</v>
      </c>
    </row>
    <row r="350" spans="3:12">
      <c r="C350" s="292" t="str">
        <f>'Chart Data'!C350</f>
        <v>SCMs - Fly Ash</v>
      </c>
      <c r="D350" s="293">
        <f>'Chart Data'!D350</f>
        <v>0</v>
      </c>
      <c r="E350" s="293">
        <f>'Chart Data'!E350</f>
        <v>0</v>
      </c>
      <c r="F350" s="293">
        <f>'Chart Data'!F350</f>
        <v>0</v>
      </c>
      <c r="G350" s="294">
        <f>'Chart Data'!G350</f>
        <v>0</v>
      </c>
      <c r="H350" s="294">
        <f>'Chart Data'!H350</f>
        <v>0</v>
      </c>
      <c r="I350" s="294">
        <f>'Chart Data'!I350</f>
        <v>0</v>
      </c>
      <c r="J350" s="295">
        <f>'Chart Data'!J350</f>
        <v>0</v>
      </c>
      <c r="K350" s="295">
        <f>'Chart Data'!K350</f>
        <v>0</v>
      </c>
      <c r="L350" s="295">
        <f>'Chart Data'!L350</f>
        <v>0</v>
      </c>
    </row>
    <row r="351" spans="3:12">
      <c r="C351" s="292" t="str">
        <f>'Chart Data'!C351</f>
        <v>SCMs - Silica Fume</v>
      </c>
      <c r="D351" s="293">
        <f>'Chart Data'!D351</f>
        <v>0</v>
      </c>
      <c r="E351" s="293">
        <f>'Chart Data'!E351</f>
        <v>0</v>
      </c>
      <c r="F351" s="293">
        <f>'Chart Data'!F351</f>
        <v>0</v>
      </c>
      <c r="G351" s="294">
        <f>'Chart Data'!G351</f>
        <v>0</v>
      </c>
      <c r="H351" s="294">
        <f>'Chart Data'!H351</f>
        <v>0</v>
      </c>
      <c r="I351" s="294">
        <f>'Chart Data'!I351</f>
        <v>0</v>
      </c>
      <c r="J351" s="295">
        <f>'Chart Data'!J351</f>
        <v>0</v>
      </c>
      <c r="K351" s="295">
        <f>'Chart Data'!K351</f>
        <v>0</v>
      </c>
      <c r="L351" s="295">
        <f>'Chart Data'!L351</f>
        <v>0</v>
      </c>
    </row>
    <row r="352" spans="3:12">
      <c r="C352" s="292" t="str">
        <f>'Chart Data'!C352</f>
        <v>Slag Cement</v>
      </c>
      <c r="D352" s="293">
        <f>'Chart Data'!D352</f>
        <v>0</v>
      </c>
      <c r="E352" s="293">
        <f>'Chart Data'!E352</f>
        <v>0</v>
      </c>
      <c r="F352" s="293">
        <f>'Chart Data'!F352</f>
        <v>0</v>
      </c>
      <c r="G352" s="294">
        <f>'Chart Data'!G352</f>
        <v>0</v>
      </c>
      <c r="H352" s="294">
        <f>'Chart Data'!H352</f>
        <v>0</v>
      </c>
      <c r="I352" s="294">
        <f>'Chart Data'!I352</f>
        <v>0</v>
      </c>
      <c r="J352" s="295">
        <f>'Chart Data'!J352</f>
        <v>0</v>
      </c>
      <c r="K352" s="295">
        <f>'Chart Data'!K352</f>
        <v>0</v>
      </c>
      <c r="L352" s="295">
        <f>'Chart Data'!L352</f>
        <v>0</v>
      </c>
    </row>
    <row r="353" spans="3:12">
      <c r="C353" s="292" t="str">
        <f>'Chart Data'!C353</f>
        <v>Chemical Admixture - Air Entraining Agent</v>
      </c>
      <c r="D353" s="293">
        <f>'Chart Data'!D353</f>
        <v>0</v>
      </c>
      <c r="E353" s="293">
        <f>'Chart Data'!E353</f>
        <v>0</v>
      </c>
      <c r="F353" s="293">
        <f>'Chart Data'!F353</f>
        <v>0</v>
      </c>
      <c r="G353" s="294">
        <f>'Chart Data'!G353</f>
        <v>0</v>
      </c>
      <c r="H353" s="294">
        <f>'Chart Data'!H353</f>
        <v>0</v>
      </c>
      <c r="I353" s="294">
        <f>'Chart Data'!I353</f>
        <v>0</v>
      </c>
      <c r="J353" s="295">
        <f>'Chart Data'!J353</f>
        <v>0</v>
      </c>
      <c r="K353" s="295">
        <f>'Chart Data'!K353</f>
        <v>0</v>
      </c>
      <c r="L353" s="295">
        <f>'Chart Data'!L353</f>
        <v>0</v>
      </c>
    </row>
    <row r="354" spans="3:12">
      <c r="C354" s="292" t="str">
        <f>'Chart Data'!C354</f>
        <v>Chemical Admixture - Water Reducer/Plasticizer</v>
      </c>
      <c r="D354" s="293">
        <f>'Chart Data'!D354</f>
        <v>0</v>
      </c>
      <c r="E354" s="293">
        <f>'Chart Data'!E354</f>
        <v>0</v>
      </c>
      <c r="F354" s="293">
        <f>'Chart Data'!F354</f>
        <v>0</v>
      </c>
      <c r="G354" s="294">
        <f>'Chart Data'!G354</f>
        <v>0</v>
      </c>
      <c r="H354" s="294">
        <f>'Chart Data'!H354</f>
        <v>0</v>
      </c>
      <c r="I354" s="294">
        <f>'Chart Data'!I354</f>
        <v>0</v>
      </c>
      <c r="J354" s="295">
        <f>'Chart Data'!J354</f>
        <v>0</v>
      </c>
      <c r="K354" s="295">
        <f>'Chart Data'!K354</f>
        <v>0</v>
      </c>
      <c r="L354" s="295">
        <f>'Chart Data'!L354</f>
        <v>0</v>
      </c>
    </row>
    <row r="355" spans="3:12">
      <c r="C355" s="292" t="str">
        <f>'Chart Data'!C355</f>
        <v>Chemical Admixture - Accelerator</v>
      </c>
      <c r="D355" s="293">
        <f>'Chart Data'!D355</f>
        <v>0</v>
      </c>
      <c r="E355" s="293">
        <f>'Chart Data'!E355</f>
        <v>0</v>
      </c>
      <c r="F355" s="293">
        <f>'Chart Data'!F355</f>
        <v>0</v>
      </c>
      <c r="G355" s="294">
        <f>'Chart Data'!G355</f>
        <v>0</v>
      </c>
      <c r="H355" s="294">
        <f>'Chart Data'!H355</f>
        <v>0</v>
      </c>
      <c r="I355" s="294">
        <f>'Chart Data'!I355</f>
        <v>0</v>
      </c>
      <c r="J355" s="295">
        <f>'Chart Data'!J355</f>
        <v>0</v>
      </c>
      <c r="K355" s="295">
        <f>'Chart Data'!K355</f>
        <v>0</v>
      </c>
      <c r="L355" s="295">
        <f>'Chart Data'!L355</f>
        <v>0</v>
      </c>
    </row>
    <row r="356" spans="3:12" ht="28">
      <c r="C356" s="426" t="str">
        <f>'Chart Data'!C356</f>
        <v>Chemical Admixture - High Range Water Reducer (HRWR)/Super Plasticizer</v>
      </c>
      <c r="D356" s="293">
        <f>'Chart Data'!D356</f>
        <v>0</v>
      </c>
      <c r="E356" s="293">
        <f>'Chart Data'!E356</f>
        <v>0</v>
      </c>
      <c r="F356" s="293">
        <f>'Chart Data'!F356</f>
        <v>0</v>
      </c>
      <c r="G356" s="294">
        <f>'Chart Data'!G356</f>
        <v>0</v>
      </c>
      <c r="H356" s="294">
        <f>'Chart Data'!H356</f>
        <v>0</v>
      </c>
      <c r="I356" s="294">
        <f>'Chart Data'!I356</f>
        <v>0</v>
      </c>
      <c r="J356" s="295">
        <f>'Chart Data'!J356</f>
        <v>0</v>
      </c>
      <c r="K356" s="295">
        <f>'Chart Data'!K356</f>
        <v>0</v>
      </c>
      <c r="L356" s="295">
        <f>'Chart Data'!L356</f>
        <v>0</v>
      </c>
    </row>
    <row r="357" spans="3:12">
      <c r="C357" s="292" t="str">
        <f>'Chart Data'!C357</f>
        <v>Chemical Admixture - Corrosion Inhibiting</v>
      </c>
      <c r="D357" s="293">
        <f>'Chart Data'!D357</f>
        <v>0</v>
      </c>
      <c r="E357" s="293">
        <f>'Chart Data'!E357</f>
        <v>0</v>
      </c>
      <c r="F357" s="293">
        <f>'Chart Data'!F357</f>
        <v>0</v>
      </c>
      <c r="G357" s="294">
        <f>'Chart Data'!G357</f>
        <v>0</v>
      </c>
      <c r="H357" s="294">
        <f>'Chart Data'!H357</f>
        <v>0</v>
      </c>
      <c r="I357" s="294">
        <f>'Chart Data'!I357</f>
        <v>0</v>
      </c>
      <c r="J357" s="295">
        <f>'Chart Data'!J357</f>
        <v>0</v>
      </c>
      <c r="K357" s="295">
        <f>'Chart Data'!K357</f>
        <v>0</v>
      </c>
      <c r="L357" s="295">
        <f>'Chart Data'!L357</f>
        <v>0</v>
      </c>
    </row>
    <row r="358" spans="3:12">
      <c r="C358" s="292" t="str">
        <f>'Chart Data'!C358</f>
        <v>Chemical Admixture - Viscosity Modifying Admixture (VMA)</v>
      </c>
      <c r="D358" s="293">
        <f>'Chart Data'!D358</f>
        <v>0</v>
      </c>
      <c r="E358" s="293">
        <f>'Chart Data'!E358</f>
        <v>0</v>
      </c>
      <c r="F358" s="293">
        <f>'Chart Data'!F358</f>
        <v>0</v>
      </c>
      <c r="G358" s="294">
        <f>'Chart Data'!G358</f>
        <v>0</v>
      </c>
      <c r="H358" s="294">
        <f>'Chart Data'!H358</f>
        <v>0</v>
      </c>
      <c r="I358" s="294">
        <f>'Chart Data'!I358</f>
        <v>0</v>
      </c>
      <c r="J358" s="295">
        <f>'Chart Data'!J358</f>
        <v>0</v>
      </c>
      <c r="K358" s="295">
        <f>'Chart Data'!K358</f>
        <v>0</v>
      </c>
      <c r="L358" s="295">
        <f>'Chart Data'!L358</f>
        <v>0</v>
      </c>
    </row>
    <row r="359" spans="3:12">
      <c r="C359" s="292" t="str">
        <f>'Chart Data'!C359</f>
        <v>Form Release Agent</v>
      </c>
      <c r="D359" s="293">
        <f>'Chart Data'!D359</f>
        <v>0</v>
      </c>
      <c r="E359" s="293">
        <f>'Chart Data'!E359</f>
        <v>0</v>
      </c>
      <c r="F359" s="293">
        <f>'Chart Data'!F359</f>
        <v>0</v>
      </c>
      <c r="G359" s="294">
        <f>'Chart Data'!G359</f>
        <v>0</v>
      </c>
      <c r="H359" s="294">
        <f>'Chart Data'!H359</f>
        <v>0</v>
      </c>
      <c r="I359" s="294">
        <f>'Chart Data'!I359</f>
        <v>0</v>
      </c>
      <c r="J359" s="295">
        <f>'Chart Data'!J359</f>
        <v>0</v>
      </c>
      <c r="K359" s="295">
        <f>'Chart Data'!K359</f>
        <v>0</v>
      </c>
      <c r="L359" s="295">
        <f>'Chart Data'!L359</f>
        <v>0</v>
      </c>
    </row>
    <row r="360" spans="3:12">
      <c r="C360" s="292" t="str">
        <f>'Chart Data'!C360</f>
        <v>Rebar</v>
      </c>
      <c r="D360" s="293">
        <f>'Chart Data'!D360</f>
        <v>0</v>
      </c>
      <c r="E360" s="293">
        <f>'Chart Data'!E360</f>
        <v>0</v>
      </c>
      <c r="F360" s="293">
        <f>'Chart Data'!F360</f>
        <v>0</v>
      </c>
      <c r="G360" s="294">
        <f>'Chart Data'!G360</f>
        <v>0</v>
      </c>
      <c r="H360" s="294">
        <f>'Chart Data'!H360</f>
        <v>0</v>
      </c>
      <c r="I360" s="294">
        <f>'Chart Data'!I360</f>
        <v>0</v>
      </c>
      <c r="J360" s="295">
        <f>'Chart Data'!J360</f>
        <v>0</v>
      </c>
      <c r="K360" s="295">
        <f>'Chart Data'!K360</f>
        <v>0</v>
      </c>
      <c r="L360" s="295">
        <f>'Chart Data'!L360</f>
        <v>0</v>
      </c>
    </row>
    <row r="361" spans="3:12">
      <c r="C361" s="292" t="str">
        <f>'Chart Data'!C361</f>
        <v>Welded Wire Reinforcement (WWR)</v>
      </c>
      <c r="D361" s="293">
        <f>'Chart Data'!D361</f>
        <v>0</v>
      </c>
      <c r="E361" s="293">
        <f>'Chart Data'!E361</f>
        <v>0</v>
      </c>
      <c r="F361" s="293">
        <f>'Chart Data'!F361</f>
        <v>0</v>
      </c>
      <c r="G361" s="294">
        <f>'Chart Data'!G361</f>
        <v>0</v>
      </c>
      <c r="H361" s="294">
        <f>'Chart Data'!H361</f>
        <v>0</v>
      </c>
      <c r="I361" s="294">
        <f>'Chart Data'!I361</f>
        <v>0</v>
      </c>
      <c r="J361" s="295">
        <f>'Chart Data'!J361</f>
        <v>0</v>
      </c>
      <c r="K361" s="295">
        <f>'Chart Data'!K361</f>
        <v>0</v>
      </c>
      <c r="L361" s="295">
        <f>'Chart Data'!L361</f>
        <v>0</v>
      </c>
    </row>
    <row r="362" spans="3:12">
      <c r="C362" s="292" t="str">
        <f>'Chart Data'!C362</f>
        <v>Steel Anchors</v>
      </c>
      <c r="D362" s="293">
        <f>'Chart Data'!D362</f>
        <v>0</v>
      </c>
      <c r="E362" s="293">
        <f>'Chart Data'!E362</f>
        <v>0</v>
      </c>
      <c r="F362" s="293">
        <f>'Chart Data'!F362</f>
        <v>0</v>
      </c>
      <c r="G362" s="294">
        <f>'Chart Data'!G362</f>
        <v>0</v>
      </c>
      <c r="H362" s="294">
        <f>'Chart Data'!H362</f>
        <v>0</v>
      </c>
      <c r="I362" s="294">
        <f>'Chart Data'!I362</f>
        <v>0</v>
      </c>
      <c r="J362" s="295">
        <f>'Chart Data'!J362</f>
        <v>0</v>
      </c>
      <c r="K362" s="295">
        <f>'Chart Data'!K362</f>
        <v>0</v>
      </c>
      <c r="L362" s="295">
        <f>'Chart Data'!L362</f>
        <v>0</v>
      </c>
    </row>
    <row r="363" spans="3:12">
      <c r="C363" s="292" t="str">
        <f>'Chart Data'!C363</f>
        <v>Steel Stressing Strand</v>
      </c>
      <c r="D363" s="293">
        <f>'Chart Data'!D363</f>
        <v>0</v>
      </c>
      <c r="E363" s="293">
        <f>'Chart Data'!E363</f>
        <v>0</v>
      </c>
      <c r="F363" s="293">
        <f>'Chart Data'!F363</f>
        <v>0</v>
      </c>
      <c r="G363" s="294">
        <f>'Chart Data'!G363</f>
        <v>0</v>
      </c>
      <c r="H363" s="294">
        <f>'Chart Data'!H363</f>
        <v>0</v>
      </c>
      <c r="I363" s="294">
        <f>'Chart Data'!I363</f>
        <v>0</v>
      </c>
      <c r="J363" s="295">
        <f>'Chart Data'!J363</f>
        <v>0</v>
      </c>
      <c r="K363" s="295">
        <f>'Chart Data'!K363</f>
        <v>0</v>
      </c>
      <c r="L363" s="295">
        <f>'Chart Data'!L363</f>
        <v>0</v>
      </c>
    </row>
    <row r="364" spans="3:12">
      <c r="C364" s="292" t="str">
        <f>'Chart Data'!C364</f>
        <v>Carbon Fibre Reinforced Polymer (CFRP) strand</v>
      </c>
      <c r="D364" s="293">
        <f>'Chart Data'!D364</f>
        <v>0</v>
      </c>
      <c r="E364" s="293">
        <f>'Chart Data'!E364</f>
        <v>0</v>
      </c>
      <c r="F364" s="293">
        <f>'Chart Data'!F364</f>
        <v>0</v>
      </c>
      <c r="G364" s="294">
        <f>'Chart Data'!G364</f>
        <v>0</v>
      </c>
      <c r="H364" s="294">
        <f>'Chart Data'!H364</f>
        <v>0</v>
      </c>
      <c r="I364" s="294">
        <f>'Chart Data'!I364</f>
        <v>0</v>
      </c>
      <c r="J364" s="295">
        <f>'Chart Data'!J364</f>
        <v>0</v>
      </c>
      <c r="K364" s="295">
        <f>'Chart Data'!K364</f>
        <v>0</v>
      </c>
      <c r="L364" s="295">
        <f>'Chart Data'!L364</f>
        <v>0</v>
      </c>
    </row>
    <row r="365" spans="3:12">
      <c r="C365" s="292" t="str">
        <f>'Chart Data'!C365</f>
        <v>Polypropylene Fibers</v>
      </c>
      <c r="D365" s="293">
        <f>'Chart Data'!D365</f>
        <v>0</v>
      </c>
      <c r="E365" s="293">
        <f>'Chart Data'!E365</f>
        <v>0</v>
      </c>
      <c r="F365" s="293">
        <f>'Chart Data'!F365</f>
        <v>0</v>
      </c>
      <c r="G365" s="294">
        <f>'Chart Data'!G365</f>
        <v>0</v>
      </c>
      <c r="H365" s="294">
        <f>'Chart Data'!H365</f>
        <v>0</v>
      </c>
      <c r="I365" s="294">
        <f>'Chart Data'!I365</f>
        <v>0</v>
      </c>
      <c r="J365" s="295">
        <f>'Chart Data'!J365</f>
        <v>0</v>
      </c>
      <c r="K365" s="295">
        <f>'Chart Data'!K365</f>
        <v>0</v>
      </c>
      <c r="L365" s="295">
        <f>'Chart Data'!L365</f>
        <v>0</v>
      </c>
    </row>
    <row r="366" spans="3:12">
      <c r="C366" s="292" t="str">
        <f>'Chart Data'!C366</f>
        <v>Steel Fibers</v>
      </c>
      <c r="D366" s="293">
        <f>'Chart Data'!D366</f>
        <v>0</v>
      </c>
      <c r="E366" s="293">
        <f>'Chart Data'!E366</f>
        <v>0</v>
      </c>
      <c r="F366" s="293">
        <f>'Chart Data'!F366</f>
        <v>0</v>
      </c>
      <c r="G366" s="294">
        <f>'Chart Data'!G366</f>
        <v>0</v>
      </c>
      <c r="H366" s="294">
        <f>'Chart Data'!H366</f>
        <v>0</v>
      </c>
      <c r="I366" s="294">
        <f>'Chart Data'!I366</f>
        <v>0</v>
      </c>
      <c r="J366" s="295">
        <f>'Chart Data'!J366</f>
        <v>0</v>
      </c>
      <c r="K366" s="295">
        <f>'Chart Data'!K366</f>
        <v>0</v>
      </c>
      <c r="L366" s="295">
        <f>'Chart Data'!L366</f>
        <v>0</v>
      </c>
    </row>
    <row r="367" spans="3:12">
      <c r="C367" s="292" t="str">
        <f>'Chart Data'!C367</f>
        <v>Glass Fibre Reinforced Polymer (GFRP) reinforcing bars</v>
      </c>
      <c r="D367" s="293">
        <f>'Chart Data'!D367</f>
        <v>0</v>
      </c>
      <c r="E367" s="293">
        <f>'Chart Data'!E367</f>
        <v>0</v>
      </c>
      <c r="F367" s="293">
        <f>'Chart Data'!F367</f>
        <v>0</v>
      </c>
      <c r="G367" s="294">
        <f>'Chart Data'!G367</f>
        <v>0</v>
      </c>
      <c r="H367" s="294">
        <f>'Chart Data'!H367</f>
        <v>0</v>
      </c>
      <c r="I367" s="294">
        <f>'Chart Data'!I367</f>
        <v>0</v>
      </c>
      <c r="J367" s="295">
        <f>'Chart Data'!J367</f>
        <v>0</v>
      </c>
      <c r="K367" s="295">
        <f>'Chart Data'!K367</f>
        <v>0</v>
      </c>
      <c r="L367" s="295">
        <f>'Chart Data'!L367</f>
        <v>0</v>
      </c>
    </row>
    <row r="368" spans="3:12">
      <c r="C368" s="292" t="str">
        <f>'Chart Data'!C368</f>
        <v>Carbon Fibre Reinforced Polymer (CFRP) reinforcing bars</v>
      </c>
      <c r="D368" s="293">
        <f>'Chart Data'!D368</f>
        <v>0</v>
      </c>
      <c r="E368" s="293">
        <f>'Chart Data'!E368</f>
        <v>0</v>
      </c>
      <c r="F368" s="293">
        <f>'Chart Data'!F368</f>
        <v>0</v>
      </c>
      <c r="G368" s="294">
        <f>'Chart Data'!G368</f>
        <v>0</v>
      </c>
      <c r="H368" s="294">
        <f>'Chart Data'!H368</f>
        <v>0</v>
      </c>
      <c r="I368" s="294">
        <f>'Chart Data'!I368</f>
        <v>0</v>
      </c>
      <c r="J368" s="295">
        <f>'Chart Data'!J368</f>
        <v>0</v>
      </c>
      <c r="K368" s="295">
        <f>'Chart Data'!K368</f>
        <v>0</v>
      </c>
      <c r="L368" s="295">
        <f>'Chart Data'!L368</f>
        <v>0</v>
      </c>
    </row>
    <row r="369" spans="3:13">
      <c r="C369" s="292" t="str">
        <f>'Chart Data'!C369</f>
        <v>Fibre Reinforced Polymer (FRP) wrap</v>
      </c>
      <c r="D369" s="293">
        <f>'Chart Data'!D369</f>
        <v>0</v>
      </c>
      <c r="E369" s="293">
        <f>'Chart Data'!E369</f>
        <v>0</v>
      </c>
      <c r="F369" s="293">
        <f>'Chart Data'!F369</f>
        <v>0</v>
      </c>
      <c r="G369" s="294">
        <f>'Chart Data'!G369</f>
        <v>0</v>
      </c>
      <c r="H369" s="294">
        <f>'Chart Data'!H369</f>
        <v>0</v>
      </c>
      <c r="I369" s="294">
        <f>'Chart Data'!I369</f>
        <v>0</v>
      </c>
      <c r="J369" s="295">
        <f>'Chart Data'!J369</f>
        <v>0</v>
      </c>
      <c r="K369" s="295">
        <f>'Chart Data'!K369</f>
        <v>0</v>
      </c>
      <c r="L369" s="295">
        <f>'Chart Data'!L369</f>
        <v>0</v>
      </c>
    </row>
    <row r="370" spans="3:13">
      <c r="C370" s="292" t="str">
        <f>'Chart Data'!C370</f>
        <v>Expanded Polystyrene</v>
      </c>
      <c r="D370" s="293">
        <f>'Chart Data'!D370</f>
        <v>0</v>
      </c>
      <c r="E370" s="293">
        <f>'Chart Data'!E370</f>
        <v>0</v>
      </c>
      <c r="F370" s="293">
        <f>'Chart Data'!F370</f>
        <v>0</v>
      </c>
      <c r="G370" s="294">
        <f>'Chart Data'!G370</f>
        <v>0</v>
      </c>
      <c r="H370" s="294">
        <f>'Chart Data'!H370</f>
        <v>0</v>
      </c>
      <c r="I370" s="294">
        <f>'Chart Data'!I370</f>
        <v>0</v>
      </c>
      <c r="J370" s="295">
        <f>'Chart Data'!J370</f>
        <v>0</v>
      </c>
      <c r="K370" s="295">
        <f>'Chart Data'!K370</f>
        <v>0</v>
      </c>
      <c r="L370" s="295">
        <f>'Chart Data'!L370</f>
        <v>0</v>
      </c>
    </row>
    <row r="371" spans="3:13">
      <c r="C371" s="292" t="str">
        <f>'Chart Data'!C371</f>
        <v>Extruded Polystyrene</v>
      </c>
      <c r="D371" s="293">
        <f>'Chart Data'!D371</f>
        <v>0</v>
      </c>
      <c r="E371" s="293">
        <f>'Chart Data'!E371</f>
        <v>0</v>
      </c>
      <c r="F371" s="293">
        <f>'Chart Data'!F371</f>
        <v>0</v>
      </c>
      <c r="G371" s="294">
        <f>'Chart Data'!G371</f>
        <v>0</v>
      </c>
      <c r="H371" s="294">
        <f>'Chart Data'!H371</f>
        <v>0</v>
      </c>
      <c r="I371" s="294">
        <f>'Chart Data'!I371</f>
        <v>0</v>
      </c>
      <c r="J371" s="295">
        <f>'Chart Data'!J371</f>
        <v>0</v>
      </c>
      <c r="K371" s="295">
        <f>'Chart Data'!K371</f>
        <v>0</v>
      </c>
      <c r="L371" s="295">
        <f>'Chart Data'!L371</f>
        <v>0</v>
      </c>
    </row>
    <row r="372" spans="3:13">
      <c r="C372" s="292" t="str">
        <f>'Chart Data'!C372</f>
        <v>Brick</v>
      </c>
      <c r="D372" s="293">
        <f>'Chart Data'!D372</f>
        <v>0</v>
      </c>
      <c r="E372" s="293">
        <f>'Chart Data'!E372</f>
        <v>0</v>
      </c>
      <c r="F372" s="293">
        <f>'Chart Data'!F372</f>
        <v>0</v>
      </c>
      <c r="G372" s="294">
        <f>'Chart Data'!G372</f>
        <v>0</v>
      </c>
      <c r="H372" s="294">
        <f>'Chart Data'!H372</f>
        <v>0</v>
      </c>
      <c r="I372" s="294">
        <f>'Chart Data'!I372</f>
        <v>0</v>
      </c>
      <c r="J372" s="295">
        <f>'Chart Data'!J372</f>
        <v>0</v>
      </c>
      <c r="K372" s="295">
        <f>'Chart Data'!K372</f>
        <v>0</v>
      </c>
      <c r="L372" s="295">
        <f>'Chart Data'!L372</f>
        <v>0</v>
      </c>
    </row>
    <row r="373" spans="3:13">
      <c r="C373" s="292" t="str">
        <f>'Chart Data'!C373</f>
        <v>Natural Stone</v>
      </c>
      <c r="D373" s="293">
        <f>'Chart Data'!D373</f>
        <v>0</v>
      </c>
      <c r="E373" s="293">
        <f>'Chart Data'!E373</f>
        <v>0</v>
      </c>
      <c r="F373" s="293">
        <f>'Chart Data'!F373</f>
        <v>0</v>
      </c>
      <c r="G373" s="294">
        <f>'Chart Data'!G373</f>
        <v>0</v>
      </c>
      <c r="H373" s="294">
        <f>'Chart Data'!H373</f>
        <v>0</v>
      </c>
      <c r="I373" s="294">
        <f>'Chart Data'!I373</f>
        <v>0</v>
      </c>
      <c r="J373" s="295">
        <f>'Chart Data'!J373</f>
        <v>0</v>
      </c>
      <c r="K373" s="295">
        <f>'Chart Data'!K373</f>
        <v>0</v>
      </c>
      <c r="L373" s="295">
        <f>'Chart Data'!L373</f>
        <v>0</v>
      </c>
    </row>
    <row r="374" spans="3:13">
      <c r="C374" s="292" t="str">
        <f>'Chart Data'!C374</f>
        <v>Pigments</v>
      </c>
      <c r="D374" s="293">
        <f>'Chart Data'!D374</f>
        <v>0</v>
      </c>
      <c r="E374" s="293">
        <f>'Chart Data'!E374</f>
        <v>0</v>
      </c>
      <c r="F374" s="293">
        <f>'Chart Data'!F374</f>
        <v>0</v>
      </c>
      <c r="G374" s="294">
        <f>'Chart Data'!G374</f>
        <v>0</v>
      </c>
      <c r="H374" s="294">
        <f>'Chart Data'!H374</f>
        <v>0</v>
      </c>
      <c r="I374" s="294">
        <f>'Chart Data'!I374</f>
        <v>0</v>
      </c>
      <c r="J374" s="295">
        <f>'Chart Data'!J374</f>
        <v>0</v>
      </c>
      <c r="K374" s="295">
        <f>'Chart Data'!K374</f>
        <v>0</v>
      </c>
      <c r="L374" s="295">
        <f>'Chart Data'!L374</f>
        <v>0</v>
      </c>
    </row>
    <row r="375" spans="3:13">
      <c r="C375" s="292" t="str">
        <f>'Chart Data'!C375</f>
        <v>Net Consumables</v>
      </c>
      <c r="D375" s="293">
        <f>'Chart Data'!D375</f>
        <v>0</v>
      </c>
      <c r="E375" s="293">
        <f>'Chart Data'!E375</f>
        <v>0</v>
      </c>
      <c r="F375" s="293">
        <f>'Chart Data'!F375</f>
        <v>0</v>
      </c>
      <c r="G375" s="294">
        <f>'Chart Data'!G375</f>
        <v>0</v>
      </c>
      <c r="H375" s="294">
        <f>'Chart Data'!H375</f>
        <v>0</v>
      </c>
      <c r="I375" s="294">
        <f>'Chart Data'!I375</f>
        <v>0</v>
      </c>
      <c r="J375" s="295">
        <f>'Chart Data'!J375</f>
        <v>0</v>
      </c>
      <c r="K375" s="295">
        <f>'Chart Data'!K375</f>
        <v>0</v>
      </c>
      <c r="L375" s="295">
        <f>'Chart Data'!L375</f>
        <v>0</v>
      </c>
    </row>
    <row r="376" spans="3:13" ht="15">
      <c r="C376" s="279" t="str">
        <f>'Chart Data'!C376</f>
        <v>Total</v>
      </c>
      <c r="D376" s="293">
        <f>'Chart Data'!D376</f>
        <v>0</v>
      </c>
      <c r="E376" s="293">
        <f>'Chart Data'!E376</f>
        <v>0</v>
      </c>
      <c r="F376" s="293">
        <f>'Chart Data'!F376</f>
        <v>0</v>
      </c>
      <c r="G376" s="294">
        <f>'Chart Data'!G376</f>
        <v>0</v>
      </c>
      <c r="H376" s="294">
        <f>'Chart Data'!H376</f>
        <v>0</v>
      </c>
      <c r="I376" s="294">
        <f>'Chart Data'!I376</f>
        <v>0</v>
      </c>
      <c r="J376" s="295">
        <f>'Chart Data'!J376</f>
        <v>0</v>
      </c>
      <c r="K376" s="295">
        <f>'Chart Data'!K376</f>
        <v>0</v>
      </c>
      <c r="L376" s="295">
        <f>'Chart Data'!L376</f>
        <v>0</v>
      </c>
      <c r="M376" s="3"/>
    </row>
  </sheetData>
  <mergeCells count="15">
    <mergeCell ref="B5:D5"/>
    <mergeCell ref="E6:F6"/>
    <mergeCell ref="B12:J13"/>
    <mergeCell ref="B15:J15"/>
    <mergeCell ref="B16:J16"/>
    <mergeCell ref="E3:F3"/>
    <mergeCell ref="E4:F4"/>
    <mergeCell ref="E7:F7"/>
    <mergeCell ref="E8:F8"/>
    <mergeCell ref="E5:F5"/>
    <mergeCell ref="B21:J23"/>
    <mergeCell ref="B27:J27"/>
    <mergeCell ref="B24:J24"/>
    <mergeCell ref="B17:J17"/>
    <mergeCell ref="B18:J20"/>
  </mergeCells>
  <phoneticPr fontId="5" type="noConversion"/>
  <conditionalFormatting sqref="B5:B7">
    <cfRule type="containsText" dxfId="7" priority="2" stopIfTrue="1" operator="containsText" text="100%">
      <formula>NOT(ISERROR(SEARCH("100%",B5)))</formula>
    </cfRule>
  </conditionalFormatting>
  <pageMargins left="0.7" right="0.7" top="0.75" bottom="0.75" header="0.3" footer="0.3"/>
  <pageSetup orientation="portrait" horizontalDpi="1200" verticalDpi="12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dimension ref="A1:DA200"/>
  <sheetViews>
    <sheetView zoomScale="90" zoomScaleNormal="90" workbookViewId="0">
      <pane ySplit="3" topLeftCell="A4" activePane="bottomLeft" state="frozen"/>
      <selection pane="bottomLeft" activeCell="C6" sqref="C6"/>
    </sheetView>
  </sheetViews>
  <sheetFormatPr baseColWidth="10" defaultColWidth="9.1640625" defaultRowHeight="15"/>
  <cols>
    <col min="1" max="1" width="14.33203125" customWidth="1"/>
    <col min="2" max="2" width="45.5" customWidth="1"/>
    <col min="3" max="5" width="15.5" customWidth="1"/>
    <col min="6" max="7" width="26.5" customWidth="1"/>
    <col min="8" max="9" width="20.5" customWidth="1"/>
    <col min="10" max="25" width="9.1640625" style="3"/>
  </cols>
  <sheetData>
    <row r="1" spans="1:9" ht="17" thickBot="1">
      <c r="A1" s="718" t="s">
        <v>265</v>
      </c>
      <c r="B1" s="719"/>
      <c r="C1" s="719"/>
      <c r="D1" s="719"/>
      <c r="E1" s="719"/>
      <c r="F1" s="719"/>
      <c r="G1" s="719"/>
      <c r="H1" s="719"/>
      <c r="I1" s="720"/>
    </row>
    <row r="2" spans="1:9" ht="17" thickBot="1">
      <c r="A2" s="721" t="s">
        <v>641</v>
      </c>
      <c r="B2" s="722"/>
      <c r="C2" s="722"/>
      <c r="D2" s="722"/>
      <c r="E2" s="722"/>
      <c r="F2" s="722"/>
      <c r="G2" s="722"/>
      <c r="H2" s="722"/>
      <c r="I2" s="723"/>
    </row>
    <row r="3" spans="1:9" ht="16">
      <c r="A3" s="447"/>
      <c r="B3" s="448"/>
      <c r="C3" s="448" t="s">
        <v>148</v>
      </c>
      <c r="D3" s="448" t="s">
        <v>266</v>
      </c>
      <c r="E3" s="448" t="s">
        <v>267</v>
      </c>
      <c r="F3" s="448" t="s">
        <v>268</v>
      </c>
      <c r="G3" s="449" t="s">
        <v>269</v>
      </c>
      <c r="H3" s="449" t="s">
        <v>149</v>
      </c>
      <c r="I3" s="450" t="s">
        <v>150</v>
      </c>
    </row>
    <row r="4" spans="1:9" ht="34">
      <c r="A4" s="451"/>
      <c r="B4" s="452" t="s">
        <v>330</v>
      </c>
      <c r="C4" s="452"/>
      <c r="D4" s="452"/>
      <c r="E4" s="452"/>
      <c r="F4" s="452"/>
      <c r="G4" s="453"/>
      <c r="H4" s="454"/>
      <c r="I4" s="455"/>
    </row>
    <row r="5" spans="1:9" ht="33" customHeight="1">
      <c r="A5" s="456" t="s">
        <v>270</v>
      </c>
      <c r="B5" s="712" t="s">
        <v>271</v>
      </c>
      <c r="C5" s="713"/>
      <c r="D5" s="713"/>
      <c r="E5" s="713"/>
      <c r="F5" s="713"/>
      <c r="G5" s="713"/>
      <c r="H5" s="713"/>
      <c r="I5" s="714"/>
    </row>
    <row r="6" spans="1:9" ht="51">
      <c r="A6" s="456" t="s">
        <v>272</v>
      </c>
      <c r="B6" s="457" t="s">
        <v>151</v>
      </c>
      <c r="C6" s="443"/>
      <c r="D6" s="458">
        <f t="shared" ref="D6:D17" si="0">IF(C6="Y",10,IF(C6="N",0,IF(C6="NA","",0)))</f>
        <v>0</v>
      </c>
      <c r="E6" s="190"/>
      <c r="F6" s="190"/>
      <c r="G6" s="191"/>
      <c r="H6" s="191"/>
      <c r="I6" s="192"/>
    </row>
    <row r="7" spans="1:9" ht="34">
      <c r="A7" s="456" t="s">
        <v>273</v>
      </c>
      <c r="B7" s="457" t="s">
        <v>152</v>
      </c>
      <c r="C7" s="443"/>
      <c r="D7" s="458">
        <f t="shared" si="0"/>
        <v>0</v>
      </c>
      <c r="E7" s="193"/>
      <c r="F7" s="190"/>
      <c r="G7" s="191"/>
      <c r="H7" s="191"/>
      <c r="I7" s="192"/>
    </row>
    <row r="8" spans="1:9" ht="51">
      <c r="A8" s="456" t="s">
        <v>274</v>
      </c>
      <c r="B8" s="457" t="s">
        <v>154</v>
      </c>
      <c r="C8" s="443"/>
      <c r="D8" s="458">
        <f t="shared" si="0"/>
        <v>0</v>
      </c>
      <c r="E8" s="190"/>
      <c r="F8" s="190"/>
      <c r="G8" s="191"/>
      <c r="H8" s="191"/>
      <c r="I8" s="192"/>
    </row>
    <row r="9" spans="1:9" ht="34">
      <c r="A9" s="456" t="s">
        <v>275</v>
      </c>
      <c r="B9" s="457" t="s">
        <v>155</v>
      </c>
      <c r="C9" s="443"/>
      <c r="D9" s="458">
        <f t="shared" si="0"/>
        <v>0</v>
      </c>
      <c r="E9" s="190"/>
      <c r="F9" s="190"/>
      <c r="G9" s="191"/>
      <c r="H9" s="191"/>
      <c r="I9" s="192"/>
    </row>
    <row r="10" spans="1:9" ht="34">
      <c r="A10" s="456" t="s">
        <v>276</v>
      </c>
      <c r="B10" s="457" t="s">
        <v>156</v>
      </c>
      <c r="C10" s="443"/>
      <c r="D10" s="458">
        <f t="shared" si="0"/>
        <v>0</v>
      </c>
      <c r="E10" s="193"/>
      <c r="F10" s="190"/>
      <c r="G10" s="191"/>
      <c r="H10" s="191"/>
      <c r="I10" s="192"/>
    </row>
    <row r="11" spans="1:9" ht="34">
      <c r="A11" s="456" t="s">
        <v>277</v>
      </c>
      <c r="B11" s="457" t="s">
        <v>157</v>
      </c>
      <c r="C11" s="443"/>
      <c r="D11" s="458">
        <f t="shared" si="0"/>
        <v>0</v>
      </c>
      <c r="E11" s="193"/>
      <c r="F11" s="190"/>
      <c r="G11" s="191"/>
      <c r="H11" s="191"/>
      <c r="I11" s="192"/>
    </row>
    <row r="12" spans="1:9" ht="17">
      <c r="A12" s="456" t="s">
        <v>278</v>
      </c>
      <c r="B12" s="457" t="s">
        <v>158</v>
      </c>
      <c r="C12" s="443"/>
      <c r="D12" s="458">
        <f t="shared" si="0"/>
        <v>0</v>
      </c>
      <c r="E12" s="190"/>
      <c r="F12" s="190"/>
      <c r="G12" s="191"/>
      <c r="H12" s="191"/>
      <c r="I12" s="192"/>
    </row>
    <row r="13" spans="1:9" ht="34">
      <c r="A13" s="456" t="s">
        <v>279</v>
      </c>
      <c r="B13" s="457" t="s">
        <v>159</v>
      </c>
      <c r="C13" s="443"/>
      <c r="D13" s="458">
        <f t="shared" si="0"/>
        <v>0</v>
      </c>
      <c r="E13" s="193"/>
      <c r="F13" s="190"/>
      <c r="G13" s="191"/>
      <c r="H13" s="191"/>
      <c r="I13" s="192"/>
    </row>
    <row r="14" spans="1:9" ht="34">
      <c r="A14" s="456" t="s">
        <v>280</v>
      </c>
      <c r="B14" s="457" t="s">
        <v>160</v>
      </c>
      <c r="C14" s="443"/>
      <c r="D14" s="458">
        <f t="shared" si="0"/>
        <v>0</v>
      </c>
      <c r="E14" s="193"/>
      <c r="F14" s="190"/>
      <c r="G14" s="191"/>
      <c r="H14" s="191"/>
      <c r="I14" s="192"/>
    </row>
    <row r="15" spans="1:9" ht="68">
      <c r="A15" s="456" t="s">
        <v>281</v>
      </c>
      <c r="B15" s="457" t="s">
        <v>161</v>
      </c>
      <c r="C15" s="443"/>
      <c r="D15" s="458">
        <f t="shared" si="0"/>
        <v>0</v>
      </c>
      <c r="E15" s="193"/>
      <c r="F15" s="190"/>
      <c r="G15" s="189"/>
      <c r="H15" s="191"/>
      <c r="I15" s="192"/>
    </row>
    <row r="16" spans="1:9" ht="51">
      <c r="A16" s="456" t="s">
        <v>282</v>
      </c>
      <c r="B16" s="457" t="s">
        <v>162</v>
      </c>
      <c r="C16" s="443"/>
      <c r="D16" s="458">
        <f t="shared" si="0"/>
        <v>0</v>
      </c>
      <c r="E16" s="193"/>
      <c r="F16" s="190"/>
      <c r="G16" s="191"/>
      <c r="H16" s="191"/>
      <c r="I16" s="192"/>
    </row>
    <row r="17" spans="1:9" ht="68">
      <c r="A17" s="456" t="s">
        <v>283</v>
      </c>
      <c r="B17" s="457" t="s">
        <v>163</v>
      </c>
      <c r="C17" s="443"/>
      <c r="D17" s="458">
        <f t="shared" si="0"/>
        <v>0</v>
      </c>
      <c r="E17" s="193"/>
      <c r="F17" s="190"/>
      <c r="G17" s="191"/>
      <c r="H17" s="191"/>
      <c r="I17" s="192"/>
    </row>
    <row r="18" spans="1:9" ht="68">
      <c r="A18" s="456" t="s">
        <v>284</v>
      </c>
      <c r="B18" s="457" t="s">
        <v>164</v>
      </c>
      <c r="C18" s="443"/>
      <c r="D18" s="458">
        <f>IF(C18="Y",10,IF(C18="N",0,IF(C18="NA","",0)))</f>
        <v>0</v>
      </c>
      <c r="E18" s="190"/>
      <c r="F18" s="190"/>
      <c r="G18" s="191"/>
      <c r="H18" s="191"/>
      <c r="I18" s="192"/>
    </row>
    <row r="19" spans="1:9" ht="35.25" customHeight="1">
      <c r="A19" s="456" t="s">
        <v>285</v>
      </c>
      <c r="B19" s="712" t="s">
        <v>286</v>
      </c>
      <c r="C19" s="713"/>
      <c r="D19" s="713"/>
      <c r="E19" s="713"/>
      <c r="F19" s="713"/>
      <c r="G19" s="713"/>
      <c r="H19" s="713"/>
      <c r="I19" s="714"/>
    </row>
    <row r="20" spans="1:9" ht="51">
      <c r="A20" s="456" t="s">
        <v>287</v>
      </c>
      <c r="B20" s="457" t="s">
        <v>165</v>
      </c>
      <c r="C20" s="443"/>
      <c r="D20" s="458">
        <f>IF(C20="Y",10,IF(C20="N",0,IF(C20="NA","",0)))</f>
        <v>0</v>
      </c>
      <c r="E20" s="190"/>
      <c r="F20" s="190"/>
      <c r="G20" s="191"/>
      <c r="H20" s="191"/>
      <c r="I20" s="192"/>
    </row>
    <row r="21" spans="1:9" ht="119">
      <c r="A21" s="456" t="s">
        <v>288</v>
      </c>
      <c r="B21" s="457" t="s">
        <v>166</v>
      </c>
      <c r="C21" s="444"/>
      <c r="D21" s="458">
        <f>C21*10</f>
        <v>0</v>
      </c>
      <c r="E21" s="190"/>
      <c r="F21" s="190"/>
      <c r="G21" s="191"/>
      <c r="H21" s="191"/>
      <c r="I21" s="192"/>
    </row>
    <row r="22" spans="1:9" ht="51">
      <c r="A22" s="456" t="s">
        <v>289</v>
      </c>
      <c r="B22" s="457" t="s">
        <v>167</v>
      </c>
      <c r="C22" s="443"/>
      <c r="D22" s="458">
        <f>IF(C22="Y",10,IF(C22="N",0,IF(C22="NA","",0)))</f>
        <v>0</v>
      </c>
      <c r="E22" s="190"/>
      <c r="F22" s="190"/>
      <c r="G22" s="191"/>
      <c r="H22" s="191"/>
      <c r="I22" s="192"/>
    </row>
    <row r="23" spans="1:9" ht="119">
      <c r="A23" s="456" t="s">
        <v>290</v>
      </c>
      <c r="B23" s="457" t="s">
        <v>168</v>
      </c>
      <c r="C23" s="444"/>
      <c r="D23" s="458">
        <f>C23*10</f>
        <v>0</v>
      </c>
      <c r="E23" s="190"/>
      <c r="F23" s="190"/>
      <c r="G23" s="189"/>
      <c r="H23" s="191"/>
      <c r="I23" s="192"/>
    </row>
    <row r="24" spans="1:9" ht="68">
      <c r="A24" s="456" t="s">
        <v>291</v>
      </c>
      <c r="B24" s="457" t="s">
        <v>169</v>
      </c>
      <c r="C24" s="443"/>
      <c r="D24" s="458">
        <f>IF(C24="Y",10,IF(C24="N",0,IF(C24="NA","",0)))</f>
        <v>0</v>
      </c>
      <c r="E24" s="190"/>
      <c r="F24" s="190"/>
      <c r="G24" s="191"/>
      <c r="H24" s="191"/>
      <c r="I24" s="192"/>
    </row>
    <row r="25" spans="1:9" ht="51">
      <c r="A25" s="456" t="s">
        <v>292</v>
      </c>
      <c r="B25" s="457" t="s">
        <v>632</v>
      </c>
      <c r="C25" s="444"/>
      <c r="D25" s="458">
        <f>C25*10</f>
        <v>0</v>
      </c>
      <c r="E25" s="193"/>
      <c r="F25" s="190"/>
      <c r="G25" s="189"/>
      <c r="H25" s="191"/>
      <c r="I25" s="192"/>
    </row>
    <row r="26" spans="1:9" ht="68">
      <c r="A26" s="456" t="s">
        <v>293</v>
      </c>
      <c r="B26" s="457" t="s">
        <v>645</v>
      </c>
      <c r="C26" s="444"/>
      <c r="D26" s="458">
        <f>C26*10</f>
        <v>0</v>
      </c>
      <c r="E26" s="193"/>
      <c r="F26" s="191"/>
      <c r="G26" s="191"/>
      <c r="H26" s="191"/>
      <c r="I26" s="192"/>
    </row>
    <row r="27" spans="1:9" ht="51">
      <c r="A27" s="456" t="s">
        <v>294</v>
      </c>
      <c r="B27" s="457" t="s">
        <v>295</v>
      </c>
      <c r="C27" s="443"/>
      <c r="D27" s="458">
        <f>IF(C27="Y",10,IF(C27="N",0,IF(C27="NA","",0)))</f>
        <v>0</v>
      </c>
      <c r="E27" s="193"/>
      <c r="F27" s="190"/>
      <c r="G27" s="191"/>
      <c r="H27" s="191"/>
      <c r="I27" s="192"/>
    </row>
    <row r="28" spans="1:9" ht="32.25" customHeight="1">
      <c r="A28" s="456" t="s">
        <v>296</v>
      </c>
      <c r="B28" s="712" t="s">
        <v>297</v>
      </c>
      <c r="C28" s="713"/>
      <c r="D28" s="713"/>
      <c r="E28" s="713"/>
      <c r="F28" s="713"/>
      <c r="G28" s="713"/>
      <c r="H28" s="713"/>
      <c r="I28" s="714"/>
    </row>
    <row r="29" spans="1:9" ht="34">
      <c r="A29" s="456" t="s">
        <v>298</v>
      </c>
      <c r="B29" s="457" t="s">
        <v>170</v>
      </c>
      <c r="C29" s="443"/>
      <c r="D29" s="458">
        <f>IF(C29="Y",10,IF(C29="N",0,IF(C29="NA","",0)))</f>
        <v>0</v>
      </c>
      <c r="E29" s="190"/>
      <c r="F29" s="190"/>
      <c r="G29" s="191"/>
      <c r="H29" s="191"/>
      <c r="I29" s="192"/>
    </row>
    <row r="30" spans="1:9" ht="136">
      <c r="A30" s="456" t="s">
        <v>299</v>
      </c>
      <c r="B30" s="457" t="s">
        <v>171</v>
      </c>
      <c r="C30" s="443"/>
      <c r="D30" s="458">
        <f>IF(C30="Y",10,IF(C30="N",0,IF(C30="NA","",0)))</f>
        <v>0</v>
      </c>
      <c r="E30" s="190"/>
      <c r="F30" s="190"/>
      <c r="G30" s="191"/>
      <c r="H30" s="191"/>
      <c r="I30" s="192"/>
    </row>
    <row r="31" spans="1:9" ht="34">
      <c r="A31" s="456" t="s">
        <v>300</v>
      </c>
      <c r="B31" s="457" t="s">
        <v>172</v>
      </c>
      <c r="C31" s="443"/>
      <c r="D31" s="458">
        <f>IF(C31="Y",10,IF(C31="N",0,IF(C31="NA","",0)))</f>
        <v>0</v>
      </c>
      <c r="E31" s="190"/>
      <c r="F31" s="190"/>
      <c r="G31" s="191"/>
      <c r="H31" s="191"/>
      <c r="I31" s="192"/>
    </row>
    <row r="32" spans="1:9" ht="102">
      <c r="A32" s="456" t="s">
        <v>301</v>
      </c>
      <c r="B32" s="457" t="s">
        <v>302</v>
      </c>
      <c r="C32" s="444"/>
      <c r="D32" s="458">
        <f>C32*10</f>
        <v>0</v>
      </c>
      <c r="E32" s="190"/>
      <c r="F32" s="189"/>
      <c r="G32" s="189"/>
      <c r="H32" s="189"/>
      <c r="I32" s="195"/>
    </row>
    <row r="33" spans="1:105" ht="31.5" customHeight="1">
      <c r="A33" s="456"/>
      <c r="B33" s="715" t="s">
        <v>173</v>
      </c>
      <c r="C33" s="716"/>
      <c r="D33" s="716"/>
      <c r="E33" s="716"/>
      <c r="F33" s="716"/>
      <c r="G33" s="716"/>
      <c r="H33" s="716"/>
      <c r="I33" s="717"/>
    </row>
    <row r="34" spans="1:105" ht="17">
      <c r="A34" s="456" t="s">
        <v>303</v>
      </c>
      <c r="B34" s="460" t="s">
        <v>174</v>
      </c>
      <c r="C34" s="461"/>
      <c r="D34" s="462"/>
      <c r="E34" s="460"/>
      <c r="F34" s="460"/>
      <c r="G34" s="454"/>
      <c r="H34" s="454"/>
      <c r="I34" s="455"/>
    </row>
    <row r="35" spans="1:105" ht="34">
      <c r="A35" s="456" t="s">
        <v>304</v>
      </c>
      <c r="B35" s="457" t="s">
        <v>175</v>
      </c>
      <c r="C35" s="443"/>
      <c r="D35" s="458">
        <f>IF(C35="Y",10,IF(C35="N",0,IF(C35="NA","",0)))</f>
        <v>0</v>
      </c>
      <c r="E35" s="190"/>
      <c r="F35" s="190"/>
      <c r="G35" s="191"/>
      <c r="H35" s="191"/>
      <c r="I35" s="192"/>
    </row>
    <row r="36" spans="1:105" ht="68">
      <c r="A36" s="456" t="s">
        <v>305</v>
      </c>
      <c r="B36" s="457" t="s">
        <v>176</v>
      </c>
      <c r="C36" s="443"/>
      <c r="D36" s="458">
        <f>IF(C36="Y",10,IF(C36="N",0,IF(C36="NA","",0)))</f>
        <v>0</v>
      </c>
      <c r="E36" s="190"/>
      <c r="F36" s="190"/>
      <c r="G36" s="191"/>
      <c r="H36" s="191"/>
      <c r="I36" s="192"/>
    </row>
    <row r="37" spans="1:105" ht="34">
      <c r="A37" s="456" t="s">
        <v>306</v>
      </c>
      <c r="B37" s="457" t="s">
        <v>182</v>
      </c>
      <c r="C37" s="443"/>
      <c r="D37" s="458">
        <f>IF(C37="Y",10,IF(C37="N",0,IF(C37="NA","",0)))</f>
        <v>0</v>
      </c>
      <c r="E37" s="190"/>
      <c r="F37" s="190"/>
      <c r="G37" s="191"/>
      <c r="H37" s="191"/>
      <c r="I37" s="192"/>
    </row>
    <row r="38" spans="1:105" ht="34">
      <c r="A38" s="456" t="s">
        <v>307</v>
      </c>
      <c r="B38" s="457" t="s">
        <v>183</v>
      </c>
      <c r="C38" s="443"/>
      <c r="D38" s="458">
        <f>IF(C38="Y",10,IF(C38="N",0,IF(C38="NA","",0)))</f>
        <v>0</v>
      </c>
      <c r="E38" s="190"/>
      <c r="F38" s="190"/>
      <c r="G38" s="191"/>
      <c r="H38" s="191"/>
      <c r="I38" s="192"/>
    </row>
    <row r="39" spans="1:105" ht="85">
      <c r="A39" s="456" t="s">
        <v>308</v>
      </c>
      <c r="B39" s="457" t="s">
        <v>184</v>
      </c>
      <c r="C39" s="443"/>
      <c r="D39" s="458">
        <f>IF(C39="Y",10,IF(C39="N",0,IF(C39="NA","",0)))</f>
        <v>0</v>
      </c>
      <c r="E39" s="190"/>
      <c r="F39" s="190"/>
      <c r="G39" s="191"/>
      <c r="H39" s="191"/>
      <c r="I39" s="192"/>
    </row>
    <row r="40" spans="1:105" ht="16">
      <c r="A40" s="456" t="s">
        <v>309</v>
      </c>
      <c r="B40" s="712" t="s">
        <v>121</v>
      </c>
      <c r="C40" s="713"/>
      <c r="D40" s="713"/>
      <c r="E40" s="713"/>
      <c r="F40" s="713"/>
      <c r="G40" s="713"/>
      <c r="H40" s="713"/>
      <c r="I40" s="714"/>
    </row>
    <row r="41" spans="1:105" ht="34">
      <c r="A41" s="456" t="s">
        <v>310</v>
      </c>
      <c r="B41" s="457" t="s">
        <v>185</v>
      </c>
      <c r="C41" s="443"/>
      <c r="D41" s="458">
        <f>IF(C41="Y",10,IF(C41="N",0,IF(C41="NA","",0)))</f>
        <v>0</v>
      </c>
      <c r="E41" s="190"/>
      <c r="F41" s="190"/>
      <c r="G41" s="191"/>
      <c r="H41" s="191"/>
      <c r="I41" s="192"/>
    </row>
    <row r="42" spans="1:105" ht="51">
      <c r="A42" s="456" t="s">
        <v>311</v>
      </c>
      <c r="B42" s="463" t="s">
        <v>633</v>
      </c>
      <c r="C42" s="459"/>
      <c r="D42" s="459"/>
      <c r="E42" s="190"/>
      <c r="F42" s="190"/>
      <c r="G42" s="191"/>
      <c r="H42" s="191"/>
      <c r="I42" s="192"/>
    </row>
    <row r="43" spans="1:105" s="468" customFormat="1" ht="17">
      <c r="A43" s="464" t="s">
        <v>177</v>
      </c>
      <c r="B43" s="465" t="s">
        <v>186</v>
      </c>
      <c r="C43" s="446"/>
      <c r="D43" s="458">
        <f t="shared" ref="D43:D54" si="1">IF(C43="Y",10,IF(C43="N",0,IF(C43="NA","",0)))</f>
        <v>0</v>
      </c>
      <c r="E43" s="190"/>
      <c r="F43" s="190"/>
      <c r="G43" s="190"/>
      <c r="H43" s="190"/>
      <c r="I43" s="194"/>
      <c r="J43" s="466"/>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7"/>
      <c r="AO43" s="467"/>
      <c r="AP43" s="467"/>
      <c r="AQ43" s="467"/>
      <c r="AR43" s="467"/>
      <c r="AS43" s="467"/>
      <c r="AT43" s="467"/>
      <c r="AU43" s="467"/>
      <c r="AV43" s="467"/>
      <c r="AW43" s="467"/>
      <c r="AX43" s="467"/>
      <c r="AY43" s="467"/>
      <c r="AZ43" s="467"/>
      <c r="BA43" s="467"/>
      <c r="BB43" s="467"/>
      <c r="BC43" s="467"/>
      <c r="BD43" s="467"/>
      <c r="BE43" s="467"/>
      <c r="BF43" s="467"/>
      <c r="BG43" s="467"/>
      <c r="BH43" s="467"/>
      <c r="BI43" s="467"/>
      <c r="BJ43" s="467"/>
      <c r="BK43" s="467"/>
      <c r="BL43" s="467"/>
      <c r="BM43" s="467"/>
      <c r="BN43" s="467"/>
      <c r="BO43" s="467"/>
      <c r="BP43" s="467"/>
      <c r="BQ43" s="467"/>
      <c r="BR43" s="467"/>
      <c r="BS43" s="467"/>
      <c r="BT43" s="467"/>
      <c r="BU43" s="467"/>
      <c r="BV43" s="467"/>
      <c r="BW43" s="467"/>
      <c r="BX43" s="467"/>
      <c r="BY43" s="467"/>
      <c r="BZ43" s="467"/>
      <c r="CA43" s="467"/>
      <c r="CB43" s="467"/>
      <c r="CC43" s="467"/>
      <c r="CD43" s="467"/>
      <c r="CE43" s="467"/>
      <c r="CF43" s="467"/>
      <c r="CG43" s="467"/>
      <c r="CH43" s="467"/>
      <c r="CI43" s="467"/>
      <c r="CJ43" s="467"/>
      <c r="CK43" s="467"/>
      <c r="CL43" s="467"/>
      <c r="CM43" s="467"/>
      <c r="CN43" s="467"/>
      <c r="CO43" s="467"/>
      <c r="CP43" s="467"/>
      <c r="CQ43" s="467"/>
      <c r="CR43" s="467"/>
      <c r="CS43" s="467"/>
      <c r="CT43" s="467"/>
      <c r="CU43" s="467"/>
      <c r="CV43" s="467"/>
      <c r="CW43" s="467"/>
      <c r="CX43" s="467"/>
      <c r="CY43" s="467"/>
      <c r="CZ43" s="467"/>
      <c r="DA43" s="467"/>
    </row>
    <row r="44" spans="1:105" s="468" customFormat="1" ht="17">
      <c r="A44" s="464" t="s">
        <v>178</v>
      </c>
      <c r="B44" s="465" t="s">
        <v>187</v>
      </c>
      <c r="C44" s="446"/>
      <c r="D44" s="458">
        <f t="shared" si="1"/>
        <v>0</v>
      </c>
      <c r="E44" s="190"/>
      <c r="F44" s="190"/>
      <c r="G44" s="190"/>
      <c r="H44" s="190"/>
      <c r="I44" s="194"/>
      <c r="J44" s="466"/>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7"/>
      <c r="AO44" s="467"/>
      <c r="AP44" s="467"/>
      <c r="AQ44" s="467"/>
      <c r="AR44" s="467"/>
      <c r="AS44" s="467"/>
      <c r="AT44" s="467"/>
      <c r="AU44" s="467"/>
      <c r="AV44" s="467"/>
      <c r="AW44" s="467"/>
      <c r="AX44" s="467"/>
      <c r="AY44" s="467"/>
      <c r="AZ44" s="467"/>
      <c r="BA44" s="467"/>
      <c r="BB44" s="467"/>
      <c r="BC44" s="467"/>
      <c r="BD44" s="467"/>
      <c r="BE44" s="467"/>
      <c r="BF44" s="467"/>
      <c r="BG44" s="467"/>
      <c r="BH44" s="467"/>
      <c r="BI44" s="467"/>
      <c r="BJ44" s="467"/>
      <c r="BK44" s="467"/>
      <c r="BL44" s="467"/>
      <c r="BM44" s="467"/>
      <c r="BN44" s="467"/>
      <c r="BO44" s="467"/>
      <c r="BP44" s="467"/>
      <c r="BQ44" s="467"/>
      <c r="BR44" s="467"/>
      <c r="BS44" s="467"/>
      <c r="BT44" s="467"/>
      <c r="BU44" s="467"/>
      <c r="BV44" s="467"/>
      <c r="BW44" s="467"/>
      <c r="BX44" s="467"/>
      <c r="BY44" s="467"/>
      <c r="BZ44" s="467"/>
      <c r="CA44" s="467"/>
      <c r="CB44" s="467"/>
      <c r="CC44" s="467"/>
      <c r="CD44" s="467"/>
      <c r="CE44" s="467"/>
      <c r="CF44" s="467"/>
      <c r="CG44" s="467"/>
      <c r="CH44" s="467"/>
      <c r="CI44" s="467"/>
      <c r="CJ44" s="467"/>
      <c r="CK44" s="467"/>
      <c r="CL44" s="467"/>
      <c r="CM44" s="467"/>
      <c r="CN44" s="467"/>
      <c r="CO44" s="467"/>
      <c r="CP44" s="467"/>
      <c r="CQ44" s="467"/>
      <c r="CR44" s="467"/>
      <c r="CS44" s="467"/>
      <c r="CT44" s="467"/>
      <c r="CU44" s="467"/>
      <c r="CV44" s="467"/>
      <c r="CW44" s="467"/>
      <c r="CX44" s="467"/>
      <c r="CY44" s="467"/>
      <c r="CZ44" s="467"/>
      <c r="DA44" s="467"/>
    </row>
    <row r="45" spans="1:105" s="468" customFormat="1" ht="17">
      <c r="A45" s="464" t="s">
        <v>179</v>
      </c>
      <c r="B45" s="465" t="s">
        <v>188</v>
      </c>
      <c r="C45" s="446"/>
      <c r="D45" s="458">
        <f t="shared" si="1"/>
        <v>0</v>
      </c>
      <c r="E45" s="190"/>
      <c r="F45" s="190"/>
      <c r="G45" s="190"/>
      <c r="H45" s="190"/>
      <c r="I45" s="194"/>
      <c r="J45" s="466"/>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7"/>
      <c r="AO45" s="467"/>
      <c r="AP45" s="467"/>
      <c r="AQ45" s="467"/>
      <c r="AR45" s="467"/>
      <c r="AS45" s="467"/>
      <c r="AT45" s="467"/>
      <c r="AU45" s="467"/>
      <c r="AV45" s="467"/>
      <c r="AW45" s="467"/>
      <c r="AX45" s="467"/>
      <c r="AY45" s="467"/>
      <c r="AZ45" s="467"/>
      <c r="BA45" s="467"/>
      <c r="BB45" s="467"/>
      <c r="BC45" s="467"/>
      <c r="BD45" s="467"/>
      <c r="BE45" s="467"/>
      <c r="BF45" s="467"/>
      <c r="BG45" s="467"/>
      <c r="BH45" s="467"/>
      <c r="BI45" s="467"/>
      <c r="BJ45" s="467"/>
      <c r="BK45" s="467"/>
      <c r="BL45" s="467"/>
      <c r="BM45" s="467"/>
      <c r="BN45" s="467"/>
      <c r="BO45" s="467"/>
      <c r="BP45" s="467"/>
      <c r="BQ45" s="467"/>
      <c r="BR45" s="467"/>
      <c r="BS45" s="467"/>
      <c r="BT45" s="467"/>
      <c r="BU45" s="467"/>
      <c r="BV45" s="467"/>
      <c r="BW45" s="467"/>
      <c r="BX45" s="467"/>
      <c r="BY45" s="467"/>
      <c r="BZ45" s="467"/>
      <c r="CA45" s="467"/>
      <c r="CB45" s="467"/>
      <c r="CC45" s="467"/>
      <c r="CD45" s="467"/>
      <c r="CE45" s="467"/>
      <c r="CF45" s="467"/>
      <c r="CG45" s="467"/>
      <c r="CH45" s="467"/>
      <c r="CI45" s="467"/>
      <c r="CJ45" s="467"/>
      <c r="CK45" s="467"/>
      <c r="CL45" s="467"/>
      <c r="CM45" s="467"/>
      <c r="CN45" s="467"/>
      <c r="CO45" s="467"/>
      <c r="CP45" s="467"/>
      <c r="CQ45" s="467"/>
      <c r="CR45" s="467"/>
      <c r="CS45" s="467"/>
      <c r="CT45" s="467"/>
      <c r="CU45" s="467"/>
      <c r="CV45" s="467"/>
      <c r="CW45" s="467"/>
      <c r="CX45" s="467"/>
      <c r="CY45" s="467"/>
      <c r="CZ45" s="467"/>
      <c r="DA45" s="467"/>
    </row>
    <row r="46" spans="1:105" s="468" customFormat="1" ht="17">
      <c r="A46" s="464" t="s">
        <v>180</v>
      </c>
      <c r="B46" s="465" t="s">
        <v>189</v>
      </c>
      <c r="C46" s="446"/>
      <c r="D46" s="458">
        <f t="shared" si="1"/>
        <v>0</v>
      </c>
      <c r="E46" s="190"/>
      <c r="F46" s="190"/>
      <c r="G46" s="190"/>
      <c r="H46" s="190"/>
      <c r="I46" s="194"/>
      <c r="J46" s="466"/>
      <c r="K46" s="467"/>
      <c r="L46" s="467"/>
      <c r="M46" s="467"/>
      <c r="N46" s="467"/>
      <c r="O46" s="467"/>
      <c r="P46" s="467"/>
      <c r="Q46" s="467"/>
      <c r="R46" s="467"/>
      <c r="S46" s="467"/>
      <c r="T46" s="467"/>
      <c r="U46" s="467"/>
      <c r="V46" s="467"/>
      <c r="W46" s="467"/>
      <c r="X46" s="467"/>
      <c r="Y46" s="467"/>
      <c r="Z46" s="467"/>
      <c r="AA46" s="467"/>
      <c r="AB46" s="467"/>
      <c r="AC46" s="467"/>
      <c r="AD46" s="467"/>
      <c r="AE46" s="467"/>
      <c r="AF46" s="467"/>
      <c r="AG46" s="467"/>
      <c r="AH46" s="467"/>
      <c r="AI46" s="467"/>
      <c r="AJ46" s="467"/>
      <c r="AK46" s="467"/>
      <c r="AL46" s="467"/>
      <c r="AM46" s="467"/>
      <c r="AN46" s="467"/>
      <c r="AO46" s="467"/>
      <c r="AP46" s="467"/>
      <c r="AQ46" s="467"/>
      <c r="AR46" s="467"/>
      <c r="AS46" s="467"/>
      <c r="AT46" s="467"/>
      <c r="AU46" s="467"/>
      <c r="AV46" s="467"/>
      <c r="AW46" s="467"/>
      <c r="AX46" s="467"/>
      <c r="AY46" s="467"/>
      <c r="AZ46" s="467"/>
      <c r="BA46" s="467"/>
      <c r="BB46" s="467"/>
      <c r="BC46" s="467"/>
      <c r="BD46" s="467"/>
      <c r="BE46" s="467"/>
      <c r="BF46" s="467"/>
      <c r="BG46" s="467"/>
      <c r="BH46" s="467"/>
      <c r="BI46" s="467"/>
      <c r="BJ46" s="467"/>
      <c r="BK46" s="467"/>
      <c r="BL46" s="467"/>
      <c r="BM46" s="467"/>
      <c r="BN46" s="467"/>
      <c r="BO46" s="467"/>
      <c r="BP46" s="467"/>
      <c r="BQ46" s="467"/>
      <c r="BR46" s="467"/>
      <c r="BS46" s="467"/>
      <c r="BT46" s="467"/>
      <c r="BU46" s="467"/>
      <c r="BV46" s="467"/>
      <c r="BW46" s="467"/>
      <c r="BX46" s="467"/>
      <c r="BY46" s="467"/>
      <c r="BZ46" s="467"/>
      <c r="CA46" s="467"/>
      <c r="CB46" s="467"/>
      <c r="CC46" s="467"/>
      <c r="CD46" s="467"/>
      <c r="CE46" s="467"/>
      <c r="CF46" s="467"/>
      <c r="CG46" s="467"/>
      <c r="CH46" s="467"/>
      <c r="CI46" s="467"/>
      <c r="CJ46" s="467"/>
      <c r="CK46" s="467"/>
      <c r="CL46" s="467"/>
      <c r="CM46" s="467"/>
      <c r="CN46" s="467"/>
      <c r="CO46" s="467"/>
      <c r="CP46" s="467"/>
      <c r="CQ46" s="467"/>
      <c r="CR46" s="467"/>
      <c r="CS46" s="467"/>
      <c r="CT46" s="467"/>
      <c r="CU46" s="467"/>
      <c r="CV46" s="467"/>
      <c r="CW46" s="467"/>
      <c r="CX46" s="467"/>
      <c r="CY46" s="467"/>
      <c r="CZ46" s="467"/>
      <c r="DA46" s="467"/>
    </row>
    <row r="47" spans="1:105" s="468" customFormat="1" ht="17">
      <c r="A47" s="464" t="s">
        <v>181</v>
      </c>
      <c r="B47" s="465" t="s">
        <v>190</v>
      </c>
      <c r="C47" s="446"/>
      <c r="D47" s="458">
        <f t="shared" si="1"/>
        <v>0</v>
      </c>
      <c r="E47" s="190"/>
      <c r="F47" s="190"/>
      <c r="G47" s="190"/>
      <c r="H47" s="190"/>
      <c r="I47" s="194"/>
      <c r="J47" s="466"/>
      <c r="K47" s="467"/>
      <c r="L47" s="467"/>
      <c r="M47" s="467"/>
      <c r="N47" s="467"/>
      <c r="O47" s="467"/>
      <c r="P47" s="467"/>
      <c r="Q47" s="467"/>
      <c r="R47" s="467"/>
      <c r="S47" s="467"/>
      <c r="T47" s="467"/>
      <c r="U47" s="467"/>
      <c r="V47" s="467"/>
      <c r="W47" s="467"/>
      <c r="X47" s="467"/>
      <c r="Y47" s="467"/>
      <c r="Z47" s="467"/>
      <c r="AA47" s="467"/>
      <c r="AB47" s="467"/>
      <c r="AC47" s="467"/>
      <c r="AD47" s="467"/>
      <c r="AE47" s="467"/>
      <c r="AF47" s="467"/>
      <c r="AG47" s="467"/>
      <c r="AH47" s="467"/>
      <c r="AI47" s="467"/>
      <c r="AJ47" s="467"/>
      <c r="AK47" s="467"/>
      <c r="AL47" s="467"/>
      <c r="AM47" s="467"/>
      <c r="AN47" s="467"/>
      <c r="AO47" s="467"/>
      <c r="AP47" s="467"/>
      <c r="AQ47" s="467"/>
      <c r="AR47" s="467"/>
      <c r="AS47" s="467"/>
      <c r="AT47" s="467"/>
      <c r="AU47" s="467"/>
      <c r="AV47" s="467"/>
      <c r="AW47" s="467"/>
      <c r="AX47" s="467"/>
      <c r="AY47" s="467"/>
      <c r="AZ47" s="467"/>
      <c r="BA47" s="467"/>
      <c r="BB47" s="467"/>
      <c r="BC47" s="467"/>
      <c r="BD47" s="467"/>
      <c r="BE47" s="467"/>
      <c r="BF47" s="467"/>
      <c r="BG47" s="467"/>
      <c r="BH47" s="467"/>
      <c r="BI47" s="467"/>
      <c r="BJ47" s="467"/>
      <c r="BK47" s="467"/>
      <c r="BL47" s="467"/>
      <c r="BM47" s="467"/>
      <c r="BN47" s="467"/>
      <c r="BO47" s="467"/>
      <c r="BP47" s="467"/>
      <c r="BQ47" s="467"/>
      <c r="BR47" s="467"/>
      <c r="BS47" s="467"/>
      <c r="BT47" s="467"/>
      <c r="BU47" s="467"/>
      <c r="BV47" s="467"/>
      <c r="BW47" s="467"/>
      <c r="BX47" s="467"/>
      <c r="BY47" s="467"/>
      <c r="BZ47" s="467"/>
      <c r="CA47" s="467"/>
      <c r="CB47" s="467"/>
      <c r="CC47" s="467"/>
      <c r="CD47" s="467"/>
      <c r="CE47" s="467"/>
      <c r="CF47" s="467"/>
      <c r="CG47" s="467"/>
      <c r="CH47" s="467"/>
      <c r="CI47" s="467"/>
      <c r="CJ47" s="467"/>
      <c r="CK47" s="467"/>
      <c r="CL47" s="467"/>
      <c r="CM47" s="467"/>
      <c r="CN47" s="467"/>
      <c r="CO47" s="467"/>
      <c r="CP47" s="467"/>
      <c r="CQ47" s="467"/>
      <c r="CR47" s="467"/>
      <c r="CS47" s="467"/>
      <c r="CT47" s="467"/>
      <c r="CU47" s="467"/>
      <c r="CV47" s="467"/>
      <c r="CW47" s="467"/>
      <c r="CX47" s="467"/>
      <c r="CY47" s="467"/>
      <c r="CZ47" s="467"/>
      <c r="DA47" s="467"/>
    </row>
    <row r="48" spans="1:105" s="468" customFormat="1" ht="17">
      <c r="A48" s="464" t="s">
        <v>191</v>
      </c>
      <c r="B48" s="465" t="s">
        <v>192</v>
      </c>
      <c r="C48" s="446"/>
      <c r="D48" s="458">
        <f t="shared" si="1"/>
        <v>0</v>
      </c>
      <c r="E48" s="190"/>
      <c r="F48" s="190"/>
      <c r="G48" s="190"/>
      <c r="H48" s="190"/>
      <c r="I48" s="194"/>
      <c r="J48" s="466"/>
      <c r="K48" s="467"/>
      <c r="L48" s="467"/>
      <c r="M48" s="467"/>
      <c r="N48" s="467"/>
      <c r="O48" s="467"/>
      <c r="P48" s="467"/>
      <c r="Q48" s="467"/>
      <c r="R48" s="467"/>
      <c r="S48" s="467"/>
      <c r="T48" s="467"/>
      <c r="U48" s="467"/>
      <c r="V48" s="467"/>
      <c r="W48" s="467"/>
      <c r="X48" s="467"/>
      <c r="Y48" s="467"/>
      <c r="Z48" s="467"/>
      <c r="AA48" s="467"/>
      <c r="AB48" s="467"/>
      <c r="AC48" s="467"/>
      <c r="AD48" s="467"/>
      <c r="AE48" s="467"/>
      <c r="AF48" s="467"/>
      <c r="AG48" s="467"/>
      <c r="AH48" s="467"/>
      <c r="AI48" s="467"/>
      <c r="AJ48" s="467"/>
      <c r="AK48" s="467"/>
      <c r="AL48" s="467"/>
      <c r="AM48" s="467"/>
      <c r="AN48" s="467"/>
      <c r="AO48" s="467"/>
      <c r="AP48" s="467"/>
      <c r="AQ48" s="467"/>
      <c r="AR48" s="467"/>
      <c r="AS48" s="467"/>
      <c r="AT48" s="467"/>
      <c r="AU48" s="467"/>
      <c r="AV48" s="467"/>
      <c r="AW48" s="467"/>
      <c r="AX48" s="467"/>
      <c r="AY48" s="467"/>
      <c r="AZ48" s="467"/>
      <c r="BA48" s="467"/>
      <c r="BB48" s="467"/>
      <c r="BC48" s="467"/>
      <c r="BD48" s="467"/>
      <c r="BE48" s="467"/>
      <c r="BF48" s="467"/>
      <c r="BG48" s="467"/>
      <c r="BH48" s="467"/>
      <c r="BI48" s="467"/>
      <c r="BJ48" s="467"/>
      <c r="BK48" s="467"/>
      <c r="BL48" s="467"/>
      <c r="BM48" s="467"/>
      <c r="BN48" s="467"/>
      <c r="BO48" s="467"/>
      <c r="BP48" s="467"/>
      <c r="BQ48" s="467"/>
      <c r="BR48" s="467"/>
      <c r="BS48" s="467"/>
      <c r="BT48" s="467"/>
      <c r="BU48" s="467"/>
      <c r="BV48" s="467"/>
      <c r="BW48" s="467"/>
      <c r="BX48" s="467"/>
      <c r="BY48" s="467"/>
      <c r="BZ48" s="467"/>
      <c r="CA48" s="467"/>
      <c r="CB48" s="467"/>
      <c r="CC48" s="467"/>
      <c r="CD48" s="467"/>
      <c r="CE48" s="467"/>
      <c r="CF48" s="467"/>
      <c r="CG48" s="467"/>
      <c r="CH48" s="467"/>
      <c r="CI48" s="467"/>
      <c r="CJ48" s="467"/>
      <c r="CK48" s="467"/>
      <c r="CL48" s="467"/>
      <c r="CM48" s="467"/>
      <c r="CN48" s="467"/>
      <c r="CO48" s="467"/>
      <c r="CP48" s="467"/>
      <c r="CQ48" s="467"/>
      <c r="CR48" s="467"/>
      <c r="CS48" s="467"/>
      <c r="CT48" s="467"/>
      <c r="CU48" s="467"/>
      <c r="CV48" s="467"/>
      <c r="CW48" s="467"/>
      <c r="CX48" s="467"/>
      <c r="CY48" s="467"/>
      <c r="CZ48" s="467"/>
      <c r="DA48" s="467"/>
    </row>
    <row r="49" spans="1:105" s="468" customFormat="1" ht="17">
      <c r="A49" s="464" t="s">
        <v>193</v>
      </c>
      <c r="B49" s="465" t="s">
        <v>194</v>
      </c>
      <c r="C49" s="446"/>
      <c r="D49" s="458">
        <f t="shared" si="1"/>
        <v>0</v>
      </c>
      <c r="E49" s="190"/>
      <c r="F49" s="190"/>
      <c r="G49" s="190"/>
      <c r="H49" s="190"/>
      <c r="I49" s="194"/>
      <c r="J49" s="466"/>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7"/>
      <c r="AO49" s="467"/>
      <c r="AP49" s="467"/>
      <c r="AQ49" s="467"/>
      <c r="AR49" s="467"/>
      <c r="AS49" s="467"/>
      <c r="AT49" s="467"/>
      <c r="AU49" s="467"/>
      <c r="AV49" s="467"/>
      <c r="AW49" s="467"/>
      <c r="AX49" s="467"/>
      <c r="AY49" s="467"/>
      <c r="AZ49" s="467"/>
      <c r="BA49" s="467"/>
      <c r="BB49" s="467"/>
      <c r="BC49" s="467"/>
      <c r="BD49" s="467"/>
      <c r="BE49" s="467"/>
      <c r="BF49" s="467"/>
      <c r="BG49" s="467"/>
      <c r="BH49" s="467"/>
      <c r="BI49" s="467"/>
      <c r="BJ49" s="467"/>
      <c r="BK49" s="467"/>
      <c r="BL49" s="467"/>
      <c r="BM49" s="467"/>
      <c r="BN49" s="467"/>
      <c r="BO49" s="467"/>
      <c r="BP49" s="467"/>
      <c r="BQ49" s="467"/>
      <c r="BR49" s="467"/>
      <c r="BS49" s="467"/>
      <c r="BT49" s="467"/>
      <c r="BU49" s="467"/>
      <c r="BV49" s="467"/>
      <c r="BW49" s="467"/>
      <c r="BX49" s="467"/>
      <c r="BY49" s="467"/>
      <c r="BZ49" s="467"/>
      <c r="CA49" s="467"/>
      <c r="CB49" s="467"/>
      <c r="CC49" s="467"/>
      <c r="CD49" s="467"/>
      <c r="CE49" s="467"/>
      <c r="CF49" s="467"/>
      <c r="CG49" s="467"/>
      <c r="CH49" s="467"/>
      <c r="CI49" s="467"/>
      <c r="CJ49" s="467"/>
      <c r="CK49" s="467"/>
      <c r="CL49" s="467"/>
      <c r="CM49" s="467"/>
      <c r="CN49" s="467"/>
      <c r="CO49" s="467"/>
      <c r="CP49" s="467"/>
      <c r="CQ49" s="467"/>
      <c r="CR49" s="467"/>
      <c r="CS49" s="467"/>
      <c r="CT49" s="467"/>
      <c r="CU49" s="467"/>
      <c r="CV49" s="467"/>
      <c r="CW49" s="467"/>
      <c r="CX49" s="467"/>
      <c r="CY49" s="467"/>
      <c r="CZ49" s="467"/>
      <c r="DA49" s="467"/>
    </row>
    <row r="50" spans="1:105" s="468" customFormat="1" ht="17">
      <c r="A50" s="464" t="s">
        <v>195</v>
      </c>
      <c r="B50" s="465" t="s">
        <v>196</v>
      </c>
      <c r="C50" s="446"/>
      <c r="D50" s="458">
        <f t="shared" si="1"/>
        <v>0</v>
      </c>
      <c r="E50" s="190"/>
      <c r="F50" s="190"/>
      <c r="G50" s="190"/>
      <c r="H50" s="190"/>
      <c r="I50" s="194"/>
      <c r="J50" s="466"/>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467"/>
      <c r="BE50" s="467"/>
      <c r="BF50" s="467"/>
      <c r="BG50" s="467"/>
      <c r="BH50" s="467"/>
      <c r="BI50" s="467"/>
      <c r="BJ50" s="467"/>
      <c r="BK50" s="467"/>
      <c r="BL50" s="467"/>
      <c r="BM50" s="467"/>
      <c r="BN50" s="467"/>
      <c r="BO50" s="467"/>
      <c r="BP50" s="467"/>
      <c r="BQ50" s="467"/>
      <c r="BR50" s="467"/>
      <c r="BS50" s="467"/>
      <c r="BT50" s="467"/>
      <c r="BU50" s="467"/>
      <c r="BV50" s="467"/>
      <c r="BW50" s="467"/>
      <c r="BX50" s="467"/>
      <c r="BY50" s="467"/>
      <c r="BZ50" s="467"/>
      <c r="CA50" s="467"/>
      <c r="CB50" s="467"/>
      <c r="CC50" s="467"/>
      <c r="CD50" s="467"/>
      <c r="CE50" s="467"/>
      <c r="CF50" s="467"/>
      <c r="CG50" s="467"/>
      <c r="CH50" s="467"/>
      <c r="CI50" s="467"/>
      <c r="CJ50" s="467"/>
      <c r="CK50" s="467"/>
      <c r="CL50" s="467"/>
      <c r="CM50" s="467"/>
      <c r="CN50" s="467"/>
      <c r="CO50" s="467"/>
      <c r="CP50" s="467"/>
      <c r="CQ50" s="467"/>
      <c r="CR50" s="467"/>
      <c r="CS50" s="467"/>
      <c r="CT50" s="467"/>
      <c r="CU50" s="467"/>
      <c r="CV50" s="467"/>
      <c r="CW50" s="467"/>
      <c r="CX50" s="467"/>
      <c r="CY50" s="467"/>
      <c r="CZ50" s="467"/>
      <c r="DA50" s="467"/>
    </row>
    <row r="51" spans="1:105" s="468" customFormat="1" ht="17">
      <c r="A51" s="464" t="s">
        <v>197</v>
      </c>
      <c r="B51" s="465" t="s">
        <v>198</v>
      </c>
      <c r="C51" s="446"/>
      <c r="D51" s="458">
        <f t="shared" si="1"/>
        <v>0</v>
      </c>
      <c r="E51" s="190"/>
      <c r="F51" s="190"/>
      <c r="G51" s="190"/>
      <c r="H51" s="190"/>
      <c r="I51" s="194"/>
      <c r="J51" s="466"/>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467"/>
      <c r="BE51" s="467"/>
      <c r="BF51" s="467"/>
      <c r="BG51" s="467"/>
      <c r="BH51" s="467"/>
      <c r="BI51" s="467"/>
      <c r="BJ51" s="467"/>
      <c r="BK51" s="467"/>
      <c r="BL51" s="467"/>
      <c r="BM51" s="467"/>
      <c r="BN51" s="467"/>
      <c r="BO51" s="467"/>
      <c r="BP51" s="467"/>
      <c r="BQ51" s="467"/>
      <c r="BR51" s="467"/>
      <c r="BS51" s="467"/>
      <c r="BT51" s="467"/>
      <c r="BU51" s="467"/>
      <c r="BV51" s="467"/>
      <c r="BW51" s="467"/>
      <c r="BX51" s="467"/>
      <c r="BY51" s="467"/>
      <c r="BZ51" s="467"/>
      <c r="CA51" s="467"/>
      <c r="CB51" s="467"/>
      <c r="CC51" s="467"/>
      <c r="CD51" s="467"/>
      <c r="CE51" s="467"/>
      <c r="CF51" s="467"/>
      <c r="CG51" s="467"/>
      <c r="CH51" s="467"/>
      <c r="CI51" s="467"/>
      <c r="CJ51" s="467"/>
      <c r="CK51" s="467"/>
      <c r="CL51" s="467"/>
      <c r="CM51" s="467"/>
      <c r="CN51" s="467"/>
      <c r="CO51" s="467"/>
      <c r="CP51" s="467"/>
      <c r="CQ51" s="467"/>
      <c r="CR51" s="467"/>
      <c r="CS51" s="467"/>
      <c r="CT51" s="467"/>
      <c r="CU51" s="467"/>
      <c r="CV51" s="467"/>
      <c r="CW51" s="467"/>
      <c r="CX51" s="467"/>
      <c r="CY51" s="467"/>
      <c r="CZ51" s="467"/>
      <c r="DA51" s="467"/>
    </row>
    <row r="52" spans="1:105" s="468" customFormat="1" ht="17">
      <c r="A52" s="464" t="s">
        <v>199</v>
      </c>
      <c r="B52" s="465" t="s">
        <v>200</v>
      </c>
      <c r="C52" s="446"/>
      <c r="D52" s="458">
        <f t="shared" si="1"/>
        <v>0</v>
      </c>
      <c r="E52" s="190"/>
      <c r="F52" s="190"/>
      <c r="G52" s="190"/>
      <c r="H52" s="190"/>
      <c r="I52" s="194"/>
      <c r="J52" s="466"/>
      <c r="K52" s="467"/>
      <c r="L52" s="467"/>
      <c r="M52" s="467"/>
      <c r="N52" s="467"/>
      <c r="O52" s="467"/>
      <c r="P52" s="467"/>
      <c r="Q52" s="467"/>
      <c r="R52" s="467"/>
      <c r="S52" s="467"/>
      <c r="T52" s="467"/>
      <c r="U52" s="467"/>
      <c r="V52" s="467"/>
      <c r="W52" s="467"/>
      <c r="X52" s="467"/>
      <c r="Y52" s="467"/>
      <c r="Z52" s="467"/>
      <c r="AA52" s="467"/>
      <c r="AB52" s="467"/>
      <c r="AC52" s="467"/>
      <c r="AD52" s="467"/>
      <c r="AE52" s="467"/>
      <c r="AF52" s="467"/>
      <c r="AG52" s="467"/>
      <c r="AH52" s="467"/>
      <c r="AI52" s="467"/>
      <c r="AJ52" s="467"/>
      <c r="AK52" s="467"/>
      <c r="AL52" s="467"/>
      <c r="AM52" s="467"/>
      <c r="AN52" s="467"/>
      <c r="AO52" s="467"/>
      <c r="AP52" s="467"/>
      <c r="AQ52" s="467"/>
      <c r="AR52" s="467"/>
      <c r="AS52" s="467"/>
      <c r="AT52" s="467"/>
      <c r="AU52" s="467"/>
      <c r="AV52" s="467"/>
      <c r="AW52" s="467"/>
      <c r="AX52" s="467"/>
      <c r="AY52" s="467"/>
      <c r="AZ52" s="467"/>
      <c r="BA52" s="467"/>
      <c r="BB52" s="467"/>
      <c r="BC52" s="467"/>
      <c r="BD52" s="467"/>
      <c r="BE52" s="467"/>
      <c r="BF52" s="467"/>
      <c r="BG52" s="467"/>
      <c r="BH52" s="467"/>
      <c r="BI52" s="467"/>
      <c r="BJ52" s="467"/>
      <c r="BK52" s="467"/>
      <c r="BL52" s="467"/>
      <c r="BM52" s="467"/>
      <c r="BN52" s="467"/>
      <c r="BO52" s="467"/>
      <c r="BP52" s="467"/>
      <c r="BQ52" s="467"/>
      <c r="BR52" s="467"/>
      <c r="BS52" s="467"/>
      <c r="BT52" s="467"/>
      <c r="BU52" s="467"/>
      <c r="BV52" s="467"/>
      <c r="BW52" s="467"/>
      <c r="BX52" s="467"/>
      <c r="BY52" s="467"/>
      <c r="BZ52" s="467"/>
      <c r="CA52" s="467"/>
      <c r="CB52" s="467"/>
      <c r="CC52" s="467"/>
      <c r="CD52" s="467"/>
      <c r="CE52" s="467"/>
      <c r="CF52" s="467"/>
      <c r="CG52" s="467"/>
      <c r="CH52" s="467"/>
      <c r="CI52" s="467"/>
      <c r="CJ52" s="467"/>
      <c r="CK52" s="467"/>
      <c r="CL52" s="467"/>
      <c r="CM52" s="467"/>
      <c r="CN52" s="467"/>
      <c r="CO52" s="467"/>
      <c r="CP52" s="467"/>
      <c r="CQ52" s="467"/>
      <c r="CR52" s="467"/>
      <c r="CS52" s="467"/>
      <c r="CT52" s="467"/>
      <c r="CU52" s="467"/>
      <c r="CV52" s="467"/>
      <c r="CW52" s="467"/>
      <c r="CX52" s="467"/>
      <c r="CY52" s="467"/>
      <c r="CZ52" s="467"/>
      <c r="DA52" s="467"/>
    </row>
    <row r="53" spans="1:105" s="468" customFormat="1" ht="17">
      <c r="A53" s="464" t="s">
        <v>201</v>
      </c>
      <c r="B53" s="465" t="s">
        <v>202</v>
      </c>
      <c r="C53" s="446"/>
      <c r="D53" s="458">
        <f t="shared" si="1"/>
        <v>0</v>
      </c>
      <c r="E53" s="190"/>
      <c r="F53" s="190"/>
      <c r="G53" s="190"/>
      <c r="H53" s="190"/>
      <c r="I53" s="194"/>
      <c r="J53" s="466"/>
      <c r="K53" s="467"/>
      <c r="L53" s="467"/>
      <c r="M53" s="467"/>
      <c r="N53" s="467"/>
      <c r="O53" s="467"/>
      <c r="P53" s="467"/>
      <c r="Q53" s="467"/>
      <c r="R53" s="467"/>
      <c r="S53" s="467"/>
      <c r="T53" s="467"/>
      <c r="U53" s="467"/>
      <c r="V53" s="467"/>
      <c r="W53" s="467"/>
      <c r="X53" s="467"/>
      <c r="Y53" s="467"/>
      <c r="Z53" s="467"/>
      <c r="AA53" s="467"/>
      <c r="AB53" s="467"/>
      <c r="AC53" s="467"/>
      <c r="AD53" s="467"/>
      <c r="AE53" s="467"/>
      <c r="AF53" s="467"/>
      <c r="AG53" s="467"/>
      <c r="AH53" s="467"/>
      <c r="AI53" s="467"/>
      <c r="AJ53" s="467"/>
      <c r="AK53" s="467"/>
      <c r="AL53" s="467"/>
      <c r="AM53" s="467"/>
      <c r="AN53" s="467"/>
      <c r="AO53" s="467"/>
      <c r="AP53" s="467"/>
      <c r="AQ53" s="467"/>
      <c r="AR53" s="467"/>
      <c r="AS53" s="467"/>
      <c r="AT53" s="467"/>
      <c r="AU53" s="467"/>
      <c r="AV53" s="467"/>
      <c r="AW53" s="467"/>
      <c r="AX53" s="467"/>
      <c r="AY53" s="467"/>
      <c r="AZ53" s="467"/>
      <c r="BA53" s="467"/>
      <c r="BB53" s="467"/>
      <c r="BC53" s="467"/>
      <c r="BD53" s="467"/>
      <c r="BE53" s="467"/>
      <c r="BF53" s="467"/>
      <c r="BG53" s="467"/>
      <c r="BH53" s="467"/>
      <c r="BI53" s="467"/>
      <c r="BJ53" s="467"/>
      <c r="BK53" s="467"/>
      <c r="BL53" s="467"/>
      <c r="BM53" s="467"/>
      <c r="BN53" s="467"/>
      <c r="BO53" s="467"/>
      <c r="BP53" s="467"/>
      <c r="BQ53" s="467"/>
      <c r="BR53" s="467"/>
      <c r="BS53" s="467"/>
      <c r="BT53" s="467"/>
      <c r="BU53" s="467"/>
      <c r="BV53" s="467"/>
      <c r="BW53" s="467"/>
      <c r="BX53" s="467"/>
      <c r="BY53" s="467"/>
      <c r="BZ53" s="467"/>
      <c r="CA53" s="467"/>
      <c r="CB53" s="467"/>
      <c r="CC53" s="467"/>
      <c r="CD53" s="467"/>
      <c r="CE53" s="467"/>
      <c r="CF53" s="467"/>
      <c r="CG53" s="467"/>
      <c r="CH53" s="467"/>
      <c r="CI53" s="467"/>
      <c r="CJ53" s="467"/>
      <c r="CK53" s="467"/>
      <c r="CL53" s="467"/>
      <c r="CM53" s="467"/>
      <c r="CN53" s="467"/>
      <c r="CO53" s="467"/>
      <c r="CP53" s="467"/>
      <c r="CQ53" s="467"/>
      <c r="CR53" s="467"/>
      <c r="CS53" s="467"/>
      <c r="CT53" s="467"/>
      <c r="CU53" s="467"/>
      <c r="CV53" s="467"/>
      <c r="CW53" s="467"/>
      <c r="CX53" s="467"/>
      <c r="CY53" s="467"/>
      <c r="CZ53" s="467"/>
      <c r="DA53" s="467"/>
    </row>
    <row r="54" spans="1:105" s="468" customFormat="1" ht="17">
      <c r="A54" s="464" t="s">
        <v>670</v>
      </c>
      <c r="B54" s="465" t="s">
        <v>644</v>
      </c>
      <c r="C54" s="446"/>
      <c r="D54" s="458">
        <f t="shared" si="1"/>
        <v>0</v>
      </c>
      <c r="E54" s="190"/>
      <c r="F54" s="190"/>
      <c r="G54" s="190"/>
      <c r="H54" s="190"/>
      <c r="I54" s="192"/>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7"/>
      <c r="AO54" s="467"/>
      <c r="AP54" s="467"/>
      <c r="AQ54" s="467"/>
      <c r="AR54" s="467"/>
      <c r="AS54" s="467"/>
      <c r="AT54" s="467"/>
      <c r="AU54" s="467"/>
      <c r="AV54" s="467"/>
      <c r="AW54" s="467"/>
      <c r="AX54" s="467"/>
      <c r="AY54" s="467"/>
      <c r="AZ54" s="467"/>
      <c r="BA54" s="467"/>
      <c r="BB54" s="467"/>
      <c r="BC54" s="467"/>
      <c r="BD54" s="467"/>
      <c r="BE54" s="467"/>
      <c r="BF54" s="467"/>
      <c r="BG54" s="467"/>
      <c r="BH54" s="467"/>
      <c r="BI54" s="467"/>
      <c r="BJ54" s="467"/>
      <c r="BK54" s="467"/>
      <c r="BL54" s="467"/>
      <c r="BM54" s="467"/>
      <c r="BN54" s="467"/>
      <c r="BO54" s="467"/>
      <c r="BP54" s="467"/>
      <c r="BQ54" s="467"/>
      <c r="BR54" s="467"/>
      <c r="BS54" s="467"/>
      <c r="BT54" s="467"/>
      <c r="BU54" s="467"/>
      <c r="BV54" s="467"/>
      <c r="BW54" s="467"/>
      <c r="BX54" s="467"/>
      <c r="BY54" s="467"/>
      <c r="BZ54" s="467"/>
      <c r="CA54" s="467"/>
      <c r="CB54" s="467"/>
      <c r="CC54" s="467"/>
      <c r="CD54" s="467"/>
      <c r="CE54" s="467"/>
      <c r="CF54" s="467"/>
      <c r="CG54" s="467"/>
      <c r="CH54" s="467"/>
      <c r="CI54" s="467"/>
      <c r="CJ54" s="467"/>
      <c r="CK54" s="467"/>
      <c r="CL54" s="467"/>
      <c r="CM54" s="467"/>
      <c r="CN54" s="467"/>
      <c r="CO54" s="467"/>
      <c r="CP54" s="467"/>
      <c r="CQ54" s="467"/>
      <c r="CR54" s="467"/>
      <c r="CS54" s="467"/>
      <c r="CT54" s="467"/>
      <c r="CU54" s="467"/>
      <c r="CV54" s="467"/>
      <c r="CW54" s="467"/>
      <c r="CX54" s="467"/>
      <c r="CY54" s="467"/>
      <c r="CZ54" s="467"/>
      <c r="DA54" s="467"/>
    </row>
    <row r="55" spans="1:105" s="471" customFormat="1" ht="17">
      <c r="A55" s="451"/>
      <c r="B55" s="469" t="s">
        <v>643</v>
      </c>
      <c r="C55" s="452"/>
      <c r="D55" s="470">
        <f>SUM(D43:D54)/COUNTIF(C43:C54,"&lt;&gt;NA")</f>
        <v>0</v>
      </c>
      <c r="E55" s="452"/>
      <c r="F55" s="452"/>
      <c r="G55" s="452"/>
      <c r="H55" s="452"/>
      <c r="I55" s="455"/>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7"/>
      <c r="AO55" s="467"/>
      <c r="AP55" s="467"/>
      <c r="AQ55" s="467"/>
      <c r="AR55" s="467"/>
      <c r="AS55" s="467"/>
      <c r="AT55" s="467"/>
      <c r="AU55" s="467"/>
      <c r="AV55" s="467"/>
      <c r="AW55" s="467"/>
      <c r="AX55" s="467"/>
      <c r="AY55" s="467"/>
      <c r="AZ55" s="467"/>
      <c r="BA55" s="467"/>
      <c r="BB55" s="467"/>
      <c r="BC55" s="467"/>
      <c r="BD55" s="467"/>
      <c r="BE55" s="467"/>
      <c r="BF55" s="467"/>
      <c r="BG55" s="467"/>
      <c r="BH55" s="467"/>
      <c r="BI55" s="467"/>
      <c r="BJ55" s="467"/>
      <c r="BK55" s="467"/>
      <c r="BL55" s="467"/>
      <c r="BM55" s="467"/>
      <c r="BN55" s="467"/>
      <c r="BO55" s="467"/>
      <c r="BP55" s="467"/>
      <c r="BQ55" s="467"/>
      <c r="BR55" s="467"/>
      <c r="BS55" s="467"/>
      <c r="BT55" s="467"/>
      <c r="BU55" s="467"/>
      <c r="BV55" s="467"/>
      <c r="BW55" s="467"/>
      <c r="BX55" s="467"/>
      <c r="BY55" s="467"/>
      <c r="BZ55" s="467"/>
      <c r="CA55" s="467"/>
      <c r="CB55" s="467"/>
      <c r="CC55" s="467"/>
      <c r="CD55" s="467"/>
      <c r="CE55" s="467"/>
      <c r="CF55" s="467"/>
      <c r="CG55" s="467"/>
      <c r="CH55" s="467"/>
      <c r="CI55" s="467"/>
      <c r="CJ55" s="467"/>
      <c r="CK55" s="467"/>
      <c r="CL55" s="467"/>
      <c r="CM55" s="467"/>
      <c r="CN55" s="467"/>
      <c r="CO55" s="467"/>
      <c r="CP55" s="467"/>
      <c r="CQ55" s="467"/>
      <c r="CR55" s="467"/>
      <c r="CS55" s="467"/>
      <c r="CT55" s="467"/>
      <c r="CU55" s="467"/>
      <c r="CV55" s="467"/>
      <c r="CW55" s="467"/>
      <c r="CX55" s="467"/>
      <c r="CY55" s="467"/>
      <c r="CZ55" s="467"/>
      <c r="DA55" s="467"/>
    </row>
    <row r="56" spans="1:105" ht="34">
      <c r="A56" s="456" t="s">
        <v>312</v>
      </c>
      <c r="B56" s="463" t="s">
        <v>634</v>
      </c>
      <c r="C56" s="459"/>
      <c r="D56" s="459"/>
      <c r="E56" s="190"/>
      <c r="F56" s="190"/>
      <c r="G56" s="191"/>
      <c r="H56" s="191"/>
      <c r="I56" s="192"/>
    </row>
    <row r="57" spans="1:105" s="468" customFormat="1" ht="17">
      <c r="A57" s="472" t="s">
        <v>177</v>
      </c>
      <c r="B57" s="473" t="s">
        <v>186</v>
      </c>
      <c r="C57" s="446"/>
      <c r="D57" s="458">
        <f t="shared" ref="D57:D68" si="2">IF(C57="Y",10,IF(C57="N",0,IF(C57="NA","",0)))</f>
        <v>0</v>
      </c>
      <c r="E57" s="190"/>
      <c r="F57" s="190"/>
      <c r="G57" s="190"/>
      <c r="H57" s="190"/>
      <c r="I57" s="194"/>
      <c r="J57" s="466"/>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7"/>
      <c r="AK57" s="467"/>
      <c r="AL57" s="467"/>
      <c r="AM57" s="467"/>
      <c r="AN57" s="467"/>
      <c r="AO57" s="467"/>
      <c r="AP57" s="467"/>
      <c r="AQ57" s="467"/>
      <c r="AR57" s="467"/>
      <c r="AS57" s="467"/>
      <c r="AT57" s="467"/>
      <c r="AU57" s="467"/>
      <c r="AV57" s="467"/>
      <c r="AW57" s="467"/>
      <c r="AX57" s="467"/>
      <c r="AY57" s="467"/>
      <c r="AZ57" s="467"/>
      <c r="BA57" s="467"/>
      <c r="BB57" s="467"/>
      <c r="BC57" s="467"/>
      <c r="BD57" s="467"/>
      <c r="BE57" s="467"/>
      <c r="BF57" s="467"/>
      <c r="BG57" s="467"/>
      <c r="BH57" s="467"/>
      <c r="BI57" s="467"/>
      <c r="BJ57" s="467"/>
      <c r="BK57" s="467"/>
      <c r="BL57" s="467"/>
      <c r="BM57" s="467"/>
      <c r="BN57" s="467"/>
      <c r="BO57" s="467"/>
      <c r="BP57" s="467"/>
      <c r="BQ57" s="467"/>
      <c r="BR57" s="467"/>
      <c r="BS57" s="467"/>
      <c r="BT57" s="467"/>
      <c r="BU57" s="467"/>
      <c r="BV57" s="467"/>
      <c r="BW57" s="467"/>
      <c r="BX57" s="467"/>
      <c r="BY57" s="467"/>
      <c r="BZ57" s="467"/>
      <c r="CA57" s="467"/>
      <c r="CB57" s="467"/>
      <c r="CC57" s="467"/>
      <c r="CD57" s="467"/>
      <c r="CE57" s="467"/>
      <c r="CF57" s="467"/>
      <c r="CG57" s="467"/>
      <c r="CH57" s="467"/>
      <c r="CI57" s="467"/>
      <c r="CJ57" s="467"/>
      <c r="CK57" s="467"/>
      <c r="CL57" s="467"/>
      <c r="CM57" s="467"/>
      <c r="CN57" s="467"/>
      <c r="CO57" s="467"/>
      <c r="CP57" s="467"/>
      <c r="CQ57" s="467"/>
      <c r="CR57" s="467"/>
      <c r="CS57" s="467"/>
      <c r="CT57" s="467"/>
      <c r="CU57" s="467"/>
      <c r="CV57" s="467"/>
      <c r="CW57" s="467"/>
      <c r="CX57" s="467"/>
      <c r="CY57" s="467"/>
      <c r="CZ57" s="467"/>
      <c r="DA57" s="467"/>
    </row>
    <row r="58" spans="1:105" s="468" customFormat="1" ht="17">
      <c r="A58" s="472" t="s">
        <v>178</v>
      </c>
      <c r="B58" s="473" t="s">
        <v>187</v>
      </c>
      <c r="C58" s="446"/>
      <c r="D58" s="458">
        <f t="shared" si="2"/>
        <v>0</v>
      </c>
      <c r="E58" s="190"/>
      <c r="F58" s="190"/>
      <c r="G58" s="190"/>
      <c r="H58" s="190"/>
      <c r="I58" s="194"/>
      <c r="J58" s="466"/>
      <c r="K58" s="467"/>
      <c r="L58" s="467"/>
      <c r="M58" s="467"/>
      <c r="N58" s="467"/>
      <c r="O58" s="467"/>
      <c r="P58" s="467"/>
      <c r="Q58" s="467"/>
      <c r="R58" s="467"/>
      <c r="S58" s="467"/>
      <c r="T58" s="467"/>
      <c r="U58" s="467"/>
      <c r="V58" s="467"/>
      <c r="W58" s="467"/>
      <c r="X58" s="467"/>
      <c r="Y58" s="467"/>
      <c r="Z58" s="467"/>
      <c r="AA58" s="467"/>
      <c r="AB58" s="467"/>
      <c r="AC58" s="467"/>
      <c r="AD58" s="467"/>
      <c r="AE58" s="467"/>
      <c r="AF58" s="467"/>
      <c r="AG58" s="467"/>
      <c r="AH58" s="467"/>
      <c r="AI58" s="467"/>
      <c r="AJ58" s="467"/>
      <c r="AK58" s="467"/>
      <c r="AL58" s="467"/>
      <c r="AM58" s="467"/>
      <c r="AN58" s="467"/>
      <c r="AO58" s="467"/>
      <c r="AP58" s="467"/>
      <c r="AQ58" s="467"/>
      <c r="AR58" s="467"/>
      <c r="AS58" s="467"/>
      <c r="AT58" s="467"/>
      <c r="AU58" s="467"/>
      <c r="AV58" s="467"/>
      <c r="AW58" s="467"/>
      <c r="AX58" s="467"/>
      <c r="AY58" s="467"/>
      <c r="AZ58" s="467"/>
      <c r="BA58" s="467"/>
      <c r="BB58" s="467"/>
      <c r="BC58" s="467"/>
      <c r="BD58" s="467"/>
      <c r="BE58" s="467"/>
      <c r="BF58" s="467"/>
      <c r="BG58" s="467"/>
      <c r="BH58" s="467"/>
      <c r="BI58" s="467"/>
      <c r="BJ58" s="467"/>
      <c r="BK58" s="467"/>
      <c r="BL58" s="467"/>
      <c r="BM58" s="467"/>
      <c r="BN58" s="467"/>
      <c r="BO58" s="467"/>
      <c r="BP58" s="467"/>
      <c r="BQ58" s="467"/>
      <c r="BR58" s="467"/>
      <c r="BS58" s="467"/>
      <c r="BT58" s="467"/>
      <c r="BU58" s="467"/>
      <c r="BV58" s="467"/>
      <c r="BW58" s="467"/>
      <c r="BX58" s="467"/>
      <c r="BY58" s="467"/>
      <c r="BZ58" s="467"/>
      <c r="CA58" s="467"/>
      <c r="CB58" s="467"/>
      <c r="CC58" s="467"/>
      <c r="CD58" s="467"/>
      <c r="CE58" s="467"/>
      <c r="CF58" s="467"/>
      <c r="CG58" s="467"/>
      <c r="CH58" s="467"/>
      <c r="CI58" s="467"/>
      <c r="CJ58" s="467"/>
      <c r="CK58" s="467"/>
      <c r="CL58" s="467"/>
      <c r="CM58" s="467"/>
      <c r="CN58" s="467"/>
      <c r="CO58" s="467"/>
      <c r="CP58" s="467"/>
      <c r="CQ58" s="467"/>
      <c r="CR58" s="467"/>
      <c r="CS58" s="467"/>
      <c r="CT58" s="467"/>
      <c r="CU58" s="467"/>
      <c r="CV58" s="467"/>
      <c r="CW58" s="467"/>
      <c r="CX58" s="467"/>
      <c r="CY58" s="467"/>
      <c r="CZ58" s="467"/>
      <c r="DA58" s="467"/>
    </row>
    <row r="59" spans="1:105" s="468" customFormat="1" ht="17">
      <c r="A59" s="472" t="s">
        <v>179</v>
      </c>
      <c r="B59" s="473" t="s">
        <v>188</v>
      </c>
      <c r="C59" s="446"/>
      <c r="D59" s="458">
        <f t="shared" si="2"/>
        <v>0</v>
      </c>
      <c r="E59" s="190"/>
      <c r="F59" s="190"/>
      <c r="G59" s="190"/>
      <c r="H59" s="190"/>
      <c r="I59" s="194"/>
      <c r="J59" s="466"/>
      <c r="K59" s="467"/>
      <c r="L59" s="467"/>
      <c r="M59" s="467"/>
      <c r="N59" s="467"/>
      <c r="O59" s="467"/>
      <c r="P59" s="467"/>
      <c r="Q59" s="467"/>
      <c r="R59" s="467"/>
      <c r="S59" s="467"/>
      <c r="T59" s="467"/>
      <c r="U59" s="467"/>
      <c r="V59" s="467"/>
      <c r="W59" s="467"/>
      <c r="X59" s="467"/>
      <c r="Y59" s="467"/>
      <c r="Z59" s="467"/>
      <c r="AA59" s="467"/>
      <c r="AB59" s="467"/>
      <c r="AC59" s="467"/>
      <c r="AD59" s="467"/>
      <c r="AE59" s="467"/>
      <c r="AF59" s="467"/>
      <c r="AG59" s="467"/>
      <c r="AH59" s="467"/>
      <c r="AI59" s="467"/>
      <c r="AJ59" s="467"/>
      <c r="AK59" s="467"/>
      <c r="AL59" s="467"/>
      <c r="AM59" s="467"/>
      <c r="AN59" s="467"/>
      <c r="AO59" s="467"/>
      <c r="AP59" s="467"/>
      <c r="AQ59" s="467"/>
      <c r="AR59" s="467"/>
      <c r="AS59" s="467"/>
      <c r="AT59" s="467"/>
      <c r="AU59" s="467"/>
      <c r="AV59" s="467"/>
      <c r="AW59" s="467"/>
      <c r="AX59" s="467"/>
      <c r="AY59" s="467"/>
      <c r="AZ59" s="467"/>
      <c r="BA59" s="467"/>
      <c r="BB59" s="467"/>
      <c r="BC59" s="467"/>
      <c r="BD59" s="467"/>
      <c r="BE59" s="467"/>
      <c r="BF59" s="467"/>
      <c r="BG59" s="467"/>
      <c r="BH59" s="467"/>
      <c r="BI59" s="467"/>
      <c r="BJ59" s="467"/>
      <c r="BK59" s="467"/>
      <c r="BL59" s="467"/>
      <c r="BM59" s="467"/>
      <c r="BN59" s="467"/>
      <c r="BO59" s="467"/>
      <c r="BP59" s="467"/>
      <c r="BQ59" s="467"/>
      <c r="BR59" s="467"/>
      <c r="BS59" s="467"/>
      <c r="BT59" s="467"/>
      <c r="BU59" s="467"/>
      <c r="BV59" s="467"/>
      <c r="BW59" s="467"/>
      <c r="BX59" s="467"/>
      <c r="BY59" s="467"/>
      <c r="BZ59" s="467"/>
      <c r="CA59" s="467"/>
      <c r="CB59" s="467"/>
      <c r="CC59" s="467"/>
      <c r="CD59" s="467"/>
      <c r="CE59" s="467"/>
      <c r="CF59" s="467"/>
      <c r="CG59" s="467"/>
      <c r="CH59" s="467"/>
      <c r="CI59" s="467"/>
      <c r="CJ59" s="467"/>
      <c r="CK59" s="467"/>
      <c r="CL59" s="467"/>
      <c r="CM59" s="467"/>
      <c r="CN59" s="467"/>
      <c r="CO59" s="467"/>
      <c r="CP59" s="467"/>
      <c r="CQ59" s="467"/>
      <c r="CR59" s="467"/>
      <c r="CS59" s="467"/>
      <c r="CT59" s="467"/>
      <c r="CU59" s="467"/>
      <c r="CV59" s="467"/>
      <c r="CW59" s="467"/>
      <c r="CX59" s="467"/>
      <c r="CY59" s="467"/>
      <c r="CZ59" s="467"/>
      <c r="DA59" s="467"/>
    </row>
    <row r="60" spans="1:105" s="468" customFormat="1" ht="17">
      <c r="A60" s="472" t="s">
        <v>180</v>
      </c>
      <c r="B60" s="473" t="s">
        <v>189</v>
      </c>
      <c r="C60" s="446"/>
      <c r="D60" s="458">
        <f t="shared" si="2"/>
        <v>0</v>
      </c>
      <c r="E60" s="190"/>
      <c r="F60" s="190"/>
      <c r="G60" s="190"/>
      <c r="H60" s="190"/>
      <c r="I60" s="194"/>
      <c r="J60" s="466"/>
      <c r="K60" s="467"/>
      <c r="L60" s="467"/>
      <c r="M60" s="467"/>
      <c r="N60" s="467"/>
      <c r="O60" s="467"/>
      <c r="P60" s="467"/>
      <c r="Q60" s="467"/>
      <c r="R60" s="467"/>
      <c r="S60" s="467"/>
      <c r="T60" s="467"/>
      <c r="U60" s="467"/>
      <c r="V60" s="467"/>
      <c r="W60" s="467"/>
      <c r="X60" s="467"/>
      <c r="Y60" s="467"/>
      <c r="Z60" s="467"/>
      <c r="AA60" s="467"/>
      <c r="AB60" s="467"/>
      <c r="AC60" s="467"/>
      <c r="AD60" s="467"/>
      <c r="AE60" s="467"/>
      <c r="AF60" s="467"/>
      <c r="AG60" s="467"/>
      <c r="AH60" s="467"/>
      <c r="AI60" s="467"/>
      <c r="AJ60" s="467"/>
      <c r="AK60" s="467"/>
      <c r="AL60" s="467"/>
      <c r="AM60" s="467"/>
      <c r="AN60" s="467"/>
      <c r="AO60" s="467"/>
      <c r="AP60" s="467"/>
      <c r="AQ60" s="467"/>
      <c r="AR60" s="467"/>
      <c r="AS60" s="467"/>
      <c r="AT60" s="467"/>
      <c r="AU60" s="467"/>
      <c r="AV60" s="467"/>
      <c r="AW60" s="467"/>
      <c r="AX60" s="467"/>
      <c r="AY60" s="467"/>
      <c r="AZ60" s="467"/>
      <c r="BA60" s="467"/>
      <c r="BB60" s="467"/>
      <c r="BC60" s="467"/>
      <c r="BD60" s="467"/>
      <c r="BE60" s="467"/>
      <c r="BF60" s="467"/>
      <c r="BG60" s="467"/>
      <c r="BH60" s="467"/>
      <c r="BI60" s="467"/>
      <c r="BJ60" s="467"/>
      <c r="BK60" s="467"/>
      <c r="BL60" s="467"/>
      <c r="BM60" s="467"/>
      <c r="BN60" s="467"/>
      <c r="BO60" s="467"/>
      <c r="BP60" s="467"/>
      <c r="BQ60" s="467"/>
      <c r="BR60" s="467"/>
      <c r="BS60" s="467"/>
      <c r="BT60" s="467"/>
      <c r="BU60" s="467"/>
      <c r="BV60" s="467"/>
      <c r="BW60" s="467"/>
      <c r="BX60" s="467"/>
      <c r="BY60" s="467"/>
      <c r="BZ60" s="467"/>
      <c r="CA60" s="467"/>
      <c r="CB60" s="467"/>
      <c r="CC60" s="467"/>
      <c r="CD60" s="467"/>
      <c r="CE60" s="467"/>
      <c r="CF60" s="467"/>
      <c r="CG60" s="467"/>
      <c r="CH60" s="467"/>
      <c r="CI60" s="467"/>
      <c r="CJ60" s="467"/>
      <c r="CK60" s="467"/>
      <c r="CL60" s="467"/>
      <c r="CM60" s="467"/>
      <c r="CN60" s="467"/>
      <c r="CO60" s="467"/>
      <c r="CP60" s="467"/>
      <c r="CQ60" s="467"/>
      <c r="CR60" s="467"/>
      <c r="CS60" s="467"/>
      <c r="CT60" s="467"/>
      <c r="CU60" s="467"/>
      <c r="CV60" s="467"/>
      <c r="CW60" s="467"/>
      <c r="CX60" s="467"/>
      <c r="CY60" s="467"/>
      <c r="CZ60" s="467"/>
      <c r="DA60" s="467"/>
    </row>
    <row r="61" spans="1:105" s="468" customFormat="1" ht="17">
      <c r="A61" s="472" t="s">
        <v>181</v>
      </c>
      <c r="B61" s="473" t="s">
        <v>190</v>
      </c>
      <c r="C61" s="446"/>
      <c r="D61" s="458">
        <f t="shared" si="2"/>
        <v>0</v>
      </c>
      <c r="E61" s="190"/>
      <c r="F61" s="190"/>
      <c r="G61" s="190"/>
      <c r="H61" s="190"/>
      <c r="I61" s="194"/>
      <c r="J61" s="466"/>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c r="BP61" s="467"/>
      <c r="BQ61" s="467"/>
      <c r="BR61" s="467"/>
      <c r="BS61" s="467"/>
      <c r="BT61" s="467"/>
      <c r="BU61" s="467"/>
      <c r="BV61" s="467"/>
      <c r="BW61" s="467"/>
      <c r="BX61" s="467"/>
      <c r="BY61" s="467"/>
      <c r="BZ61" s="467"/>
      <c r="CA61" s="467"/>
      <c r="CB61" s="467"/>
      <c r="CC61" s="467"/>
      <c r="CD61" s="467"/>
      <c r="CE61" s="467"/>
      <c r="CF61" s="467"/>
      <c r="CG61" s="467"/>
      <c r="CH61" s="467"/>
      <c r="CI61" s="467"/>
      <c r="CJ61" s="467"/>
      <c r="CK61" s="467"/>
      <c r="CL61" s="467"/>
      <c r="CM61" s="467"/>
      <c r="CN61" s="467"/>
      <c r="CO61" s="467"/>
      <c r="CP61" s="467"/>
      <c r="CQ61" s="467"/>
      <c r="CR61" s="467"/>
      <c r="CS61" s="467"/>
      <c r="CT61" s="467"/>
      <c r="CU61" s="467"/>
      <c r="CV61" s="467"/>
      <c r="CW61" s="467"/>
      <c r="CX61" s="467"/>
      <c r="CY61" s="467"/>
      <c r="CZ61" s="467"/>
      <c r="DA61" s="467"/>
    </row>
    <row r="62" spans="1:105" s="468" customFormat="1" ht="17">
      <c r="A62" s="472" t="s">
        <v>191</v>
      </c>
      <c r="B62" s="473" t="s">
        <v>192</v>
      </c>
      <c r="C62" s="446"/>
      <c r="D62" s="458">
        <f t="shared" si="2"/>
        <v>0</v>
      </c>
      <c r="E62" s="190"/>
      <c r="F62" s="190"/>
      <c r="G62" s="190"/>
      <c r="H62" s="190"/>
      <c r="I62" s="194"/>
      <c r="J62" s="466"/>
      <c r="K62" s="467"/>
      <c r="L62" s="467"/>
      <c r="M62" s="467"/>
      <c r="N62" s="467"/>
      <c r="O62" s="467"/>
      <c r="P62" s="467"/>
      <c r="Q62" s="467"/>
      <c r="R62" s="467"/>
      <c r="S62" s="467"/>
      <c r="T62" s="467"/>
      <c r="U62" s="467"/>
      <c r="V62" s="467"/>
      <c r="W62" s="467"/>
      <c r="X62" s="467"/>
      <c r="Y62" s="467"/>
      <c r="Z62" s="467"/>
      <c r="AA62" s="467"/>
      <c r="AB62" s="467"/>
      <c r="AC62" s="467"/>
      <c r="AD62" s="467"/>
      <c r="AE62" s="467"/>
      <c r="AF62" s="467"/>
      <c r="AG62" s="467"/>
      <c r="AH62" s="467"/>
      <c r="AI62" s="467"/>
      <c r="AJ62" s="467"/>
      <c r="AK62" s="467"/>
      <c r="AL62" s="467"/>
      <c r="AM62" s="467"/>
      <c r="AN62" s="467"/>
      <c r="AO62" s="467"/>
      <c r="AP62" s="467"/>
      <c r="AQ62" s="467"/>
      <c r="AR62" s="467"/>
      <c r="AS62" s="467"/>
      <c r="AT62" s="467"/>
      <c r="AU62" s="467"/>
      <c r="AV62" s="467"/>
      <c r="AW62" s="467"/>
      <c r="AX62" s="467"/>
      <c r="AY62" s="467"/>
      <c r="AZ62" s="467"/>
      <c r="BA62" s="467"/>
      <c r="BB62" s="467"/>
      <c r="BC62" s="467"/>
      <c r="BD62" s="467"/>
      <c r="BE62" s="467"/>
      <c r="BF62" s="467"/>
      <c r="BG62" s="467"/>
      <c r="BH62" s="467"/>
      <c r="BI62" s="467"/>
      <c r="BJ62" s="467"/>
      <c r="BK62" s="467"/>
      <c r="BL62" s="467"/>
      <c r="BM62" s="467"/>
      <c r="BN62" s="467"/>
      <c r="BO62" s="467"/>
      <c r="BP62" s="467"/>
      <c r="BQ62" s="467"/>
      <c r="BR62" s="467"/>
      <c r="BS62" s="467"/>
      <c r="BT62" s="467"/>
      <c r="BU62" s="467"/>
      <c r="BV62" s="467"/>
      <c r="BW62" s="467"/>
      <c r="BX62" s="467"/>
      <c r="BY62" s="467"/>
      <c r="BZ62" s="467"/>
      <c r="CA62" s="467"/>
      <c r="CB62" s="467"/>
      <c r="CC62" s="467"/>
      <c r="CD62" s="467"/>
      <c r="CE62" s="467"/>
      <c r="CF62" s="467"/>
      <c r="CG62" s="467"/>
      <c r="CH62" s="467"/>
      <c r="CI62" s="467"/>
      <c r="CJ62" s="467"/>
      <c r="CK62" s="467"/>
      <c r="CL62" s="467"/>
      <c r="CM62" s="467"/>
      <c r="CN62" s="467"/>
      <c r="CO62" s="467"/>
      <c r="CP62" s="467"/>
      <c r="CQ62" s="467"/>
      <c r="CR62" s="467"/>
      <c r="CS62" s="467"/>
      <c r="CT62" s="467"/>
      <c r="CU62" s="467"/>
      <c r="CV62" s="467"/>
      <c r="CW62" s="467"/>
      <c r="CX62" s="467"/>
      <c r="CY62" s="467"/>
      <c r="CZ62" s="467"/>
      <c r="DA62" s="467"/>
    </row>
    <row r="63" spans="1:105" s="468" customFormat="1" ht="17">
      <c r="A63" s="472" t="s">
        <v>193</v>
      </c>
      <c r="B63" s="473" t="s">
        <v>194</v>
      </c>
      <c r="C63" s="446"/>
      <c r="D63" s="458">
        <f t="shared" si="2"/>
        <v>0</v>
      </c>
      <c r="E63" s="190"/>
      <c r="F63" s="190"/>
      <c r="G63" s="190"/>
      <c r="H63" s="190"/>
      <c r="I63" s="194"/>
      <c r="J63" s="466"/>
      <c r="K63" s="467"/>
      <c r="L63" s="467"/>
      <c r="M63" s="467"/>
      <c r="N63" s="467"/>
      <c r="O63" s="467"/>
      <c r="P63" s="467"/>
      <c r="Q63" s="467"/>
      <c r="R63" s="467"/>
      <c r="S63" s="467"/>
      <c r="T63" s="467"/>
      <c r="U63" s="467"/>
      <c r="V63" s="467"/>
      <c r="W63" s="467"/>
      <c r="X63" s="467"/>
      <c r="Y63" s="467"/>
      <c r="Z63" s="467"/>
      <c r="AA63" s="467"/>
      <c r="AB63" s="467"/>
      <c r="AC63" s="467"/>
      <c r="AD63" s="467"/>
      <c r="AE63" s="467"/>
      <c r="AF63" s="467"/>
      <c r="AG63" s="467"/>
      <c r="AH63" s="467"/>
      <c r="AI63" s="467"/>
      <c r="AJ63" s="467"/>
      <c r="AK63" s="467"/>
      <c r="AL63" s="467"/>
      <c r="AM63" s="467"/>
      <c r="AN63" s="467"/>
      <c r="AO63" s="467"/>
      <c r="AP63" s="467"/>
      <c r="AQ63" s="467"/>
      <c r="AR63" s="467"/>
      <c r="AS63" s="467"/>
      <c r="AT63" s="467"/>
      <c r="AU63" s="467"/>
      <c r="AV63" s="467"/>
      <c r="AW63" s="467"/>
      <c r="AX63" s="467"/>
      <c r="AY63" s="467"/>
      <c r="AZ63" s="467"/>
      <c r="BA63" s="467"/>
      <c r="BB63" s="467"/>
      <c r="BC63" s="467"/>
      <c r="BD63" s="467"/>
      <c r="BE63" s="467"/>
      <c r="BF63" s="467"/>
      <c r="BG63" s="467"/>
      <c r="BH63" s="467"/>
      <c r="BI63" s="467"/>
      <c r="BJ63" s="467"/>
      <c r="BK63" s="467"/>
      <c r="BL63" s="467"/>
      <c r="BM63" s="467"/>
      <c r="BN63" s="467"/>
      <c r="BO63" s="467"/>
      <c r="BP63" s="467"/>
      <c r="BQ63" s="467"/>
      <c r="BR63" s="467"/>
      <c r="BS63" s="467"/>
      <c r="BT63" s="467"/>
      <c r="BU63" s="467"/>
      <c r="BV63" s="467"/>
      <c r="BW63" s="467"/>
      <c r="BX63" s="467"/>
      <c r="BY63" s="467"/>
      <c r="BZ63" s="467"/>
      <c r="CA63" s="467"/>
      <c r="CB63" s="467"/>
      <c r="CC63" s="467"/>
      <c r="CD63" s="467"/>
      <c r="CE63" s="467"/>
      <c r="CF63" s="467"/>
      <c r="CG63" s="467"/>
      <c r="CH63" s="467"/>
      <c r="CI63" s="467"/>
      <c r="CJ63" s="467"/>
      <c r="CK63" s="467"/>
      <c r="CL63" s="467"/>
      <c r="CM63" s="467"/>
      <c r="CN63" s="467"/>
      <c r="CO63" s="467"/>
      <c r="CP63" s="467"/>
      <c r="CQ63" s="467"/>
      <c r="CR63" s="467"/>
      <c r="CS63" s="467"/>
      <c r="CT63" s="467"/>
      <c r="CU63" s="467"/>
      <c r="CV63" s="467"/>
      <c r="CW63" s="467"/>
      <c r="CX63" s="467"/>
      <c r="CY63" s="467"/>
      <c r="CZ63" s="467"/>
      <c r="DA63" s="467"/>
    </row>
    <row r="64" spans="1:105" s="468" customFormat="1" ht="17">
      <c r="A64" s="472" t="s">
        <v>195</v>
      </c>
      <c r="B64" s="473" t="s">
        <v>196</v>
      </c>
      <c r="C64" s="446"/>
      <c r="D64" s="458">
        <f t="shared" si="2"/>
        <v>0</v>
      </c>
      <c r="E64" s="190"/>
      <c r="F64" s="190"/>
      <c r="G64" s="190"/>
      <c r="H64" s="190"/>
      <c r="I64" s="194"/>
      <c r="J64" s="466"/>
      <c r="K64" s="467"/>
      <c r="L64" s="467"/>
      <c r="M64" s="467"/>
      <c r="N64" s="467"/>
      <c r="O64" s="467"/>
      <c r="P64" s="467"/>
      <c r="Q64" s="467"/>
      <c r="R64" s="467"/>
      <c r="S64" s="467"/>
      <c r="T64" s="467"/>
      <c r="U64" s="467"/>
      <c r="V64" s="467"/>
      <c r="W64" s="467"/>
      <c r="X64" s="467"/>
      <c r="Y64" s="467"/>
      <c r="Z64" s="467"/>
      <c r="AA64" s="467"/>
      <c r="AB64" s="467"/>
      <c r="AC64" s="467"/>
      <c r="AD64" s="467"/>
      <c r="AE64" s="467"/>
      <c r="AF64" s="467"/>
      <c r="AG64" s="467"/>
      <c r="AH64" s="467"/>
      <c r="AI64" s="467"/>
      <c r="AJ64" s="467"/>
      <c r="AK64" s="467"/>
      <c r="AL64" s="467"/>
      <c r="AM64" s="467"/>
      <c r="AN64" s="467"/>
      <c r="AO64" s="467"/>
      <c r="AP64" s="467"/>
      <c r="AQ64" s="467"/>
      <c r="AR64" s="467"/>
      <c r="AS64" s="467"/>
      <c r="AT64" s="467"/>
      <c r="AU64" s="467"/>
      <c r="AV64" s="467"/>
      <c r="AW64" s="467"/>
      <c r="AX64" s="467"/>
      <c r="AY64" s="467"/>
      <c r="AZ64" s="467"/>
      <c r="BA64" s="467"/>
      <c r="BB64" s="467"/>
      <c r="BC64" s="467"/>
      <c r="BD64" s="467"/>
      <c r="BE64" s="467"/>
      <c r="BF64" s="467"/>
      <c r="BG64" s="467"/>
      <c r="BH64" s="467"/>
      <c r="BI64" s="467"/>
      <c r="BJ64" s="467"/>
      <c r="BK64" s="467"/>
      <c r="BL64" s="467"/>
      <c r="BM64" s="467"/>
      <c r="BN64" s="467"/>
      <c r="BO64" s="467"/>
      <c r="BP64" s="467"/>
      <c r="BQ64" s="467"/>
      <c r="BR64" s="467"/>
      <c r="BS64" s="467"/>
      <c r="BT64" s="467"/>
      <c r="BU64" s="467"/>
      <c r="BV64" s="467"/>
      <c r="BW64" s="467"/>
      <c r="BX64" s="467"/>
      <c r="BY64" s="467"/>
      <c r="BZ64" s="467"/>
      <c r="CA64" s="467"/>
      <c r="CB64" s="467"/>
      <c r="CC64" s="467"/>
      <c r="CD64" s="467"/>
      <c r="CE64" s="467"/>
      <c r="CF64" s="467"/>
      <c r="CG64" s="467"/>
      <c r="CH64" s="467"/>
      <c r="CI64" s="467"/>
      <c r="CJ64" s="467"/>
      <c r="CK64" s="467"/>
      <c r="CL64" s="467"/>
      <c r="CM64" s="467"/>
      <c r="CN64" s="467"/>
      <c r="CO64" s="467"/>
      <c r="CP64" s="467"/>
      <c r="CQ64" s="467"/>
      <c r="CR64" s="467"/>
      <c r="CS64" s="467"/>
      <c r="CT64" s="467"/>
      <c r="CU64" s="467"/>
      <c r="CV64" s="467"/>
      <c r="CW64" s="467"/>
      <c r="CX64" s="467"/>
      <c r="CY64" s="467"/>
      <c r="CZ64" s="467"/>
      <c r="DA64" s="467"/>
    </row>
    <row r="65" spans="1:105" s="468" customFormat="1" ht="17">
      <c r="A65" s="472" t="s">
        <v>197</v>
      </c>
      <c r="B65" s="473" t="s">
        <v>198</v>
      </c>
      <c r="C65" s="446"/>
      <c r="D65" s="458">
        <f t="shared" si="2"/>
        <v>0</v>
      </c>
      <c r="E65" s="190"/>
      <c r="F65" s="190"/>
      <c r="G65" s="190"/>
      <c r="H65" s="190"/>
      <c r="I65" s="194"/>
      <c r="J65" s="466"/>
      <c r="K65" s="467"/>
      <c r="L65" s="467"/>
      <c r="M65" s="467"/>
      <c r="N65" s="467"/>
      <c r="O65" s="467"/>
      <c r="P65" s="467"/>
      <c r="Q65" s="467"/>
      <c r="R65" s="467"/>
      <c r="S65" s="467"/>
      <c r="T65" s="467"/>
      <c r="U65" s="467"/>
      <c r="V65" s="467"/>
      <c r="W65" s="467"/>
      <c r="X65" s="467"/>
      <c r="Y65" s="467"/>
      <c r="Z65" s="467"/>
      <c r="AA65" s="467"/>
      <c r="AB65" s="467"/>
      <c r="AC65" s="467"/>
      <c r="AD65" s="467"/>
      <c r="AE65" s="467"/>
      <c r="AF65" s="467"/>
      <c r="AG65" s="467"/>
      <c r="AH65" s="467"/>
      <c r="AI65" s="467"/>
      <c r="AJ65" s="467"/>
      <c r="AK65" s="467"/>
      <c r="AL65" s="467"/>
      <c r="AM65" s="467"/>
      <c r="AN65" s="467"/>
      <c r="AO65" s="467"/>
      <c r="AP65" s="467"/>
      <c r="AQ65" s="467"/>
      <c r="AR65" s="467"/>
      <c r="AS65" s="467"/>
      <c r="AT65" s="467"/>
      <c r="AU65" s="467"/>
      <c r="AV65" s="467"/>
      <c r="AW65" s="467"/>
      <c r="AX65" s="467"/>
      <c r="AY65" s="467"/>
      <c r="AZ65" s="467"/>
      <c r="BA65" s="467"/>
      <c r="BB65" s="467"/>
      <c r="BC65" s="467"/>
      <c r="BD65" s="467"/>
      <c r="BE65" s="467"/>
      <c r="BF65" s="467"/>
      <c r="BG65" s="467"/>
      <c r="BH65" s="467"/>
      <c r="BI65" s="467"/>
      <c r="BJ65" s="467"/>
      <c r="BK65" s="467"/>
      <c r="BL65" s="467"/>
      <c r="BM65" s="467"/>
      <c r="BN65" s="467"/>
      <c r="BO65" s="467"/>
      <c r="BP65" s="467"/>
      <c r="BQ65" s="467"/>
      <c r="BR65" s="467"/>
      <c r="BS65" s="467"/>
      <c r="BT65" s="467"/>
      <c r="BU65" s="467"/>
      <c r="BV65" s="467"/>
      <c r="BW65" s="467"/>
      <c r="BX65" s="467"/>
      <c r="BY65" s="467"/>
      <c r="BZ65" s="467"/>
      <c r="CA65" s="467"/>
      <c r="CB65" s="467"/>
      <c r="CC65" s="467"/>
      <c r="CD65" s="467"/>
      <c r="CE65" s="467"/>
      <c r="CF65" s="467"/>
      <c r="CG65" s="467"/>
      <c r="CH65" s="467"/>
      <c r="CI65" s="467"/>
      <c r="CJ65" s="467"/>
      <c r="CK65" s="467"/>
      <c r="CL65" s="467"/>
      <c r="CM65" s="467"/>
      <c r="CN65" s="467"/>
      <c r="CO65" s="467"/>
      <c r="CP65" s="467"/>
      <c r="CQ65" s="467"/>
      <c r="CR65" s="467"/>
      <c r="CS65" s="467"/>
      <c r="CT65" s="467"/>
      <c r="CU65" s="467"/>
      <c r="CV65" s="467"/>
      <c r="CW65" s="467"/>
      <c r="CX65" s="467"/>
      <c r="CY65" s="467"/>
      <c r="CZ65" s="467"/>
      <c r="DA65" s="467"/>
    </row>
    <row r="66" spans="1:105" s="468" customFormat="1" ht="17">
      <c r="A66" s="472" t="s">
        <v>199</v>
      </c>
      <c r="B66" s="473" t="s">
        <v>200</v>
      </c>
      <c r="C66" s="446"/>
      <c r="D66" s="458">
        <f t="shared" si="2"/>
        <v>0</v>
      </c>
      <c r="E66" s="190"/>
      <c r="F66" s="190"/>
      <c r="G66" s="190"/>
      <c r="H66" s="190"/>
      <c r="I66" s="194"/>
      <c r="J66" s="466"/>
      <c r="K66" s="467"/>
      <c r="L66" s="467"/>
      <c r="M66" s="467"/>
      <c r="N66" s="467"/>
      <c r="O66" s="467"/>
      <c r="P66" s="467"/>
      <c r="Q66" s="467"/>
      <c r="R66" s="467"/>
      <c r="S66" s="467"/>
      <c r="T66" s="467"/>
      <c r="U66" s="467"/>
      <c r="V66" s="467"/>
      <c r="W66" s="467"/>
      <c r="X66" s="467"/>
      <c r="Y66" s="467"/>
      <c r="Z66" s="467"/>
      <c r="AA66" s="467"/>
      <c r="AB66" s="467"/>
      <c r="AC66" s="467"/>
      <c r="AD66" s="467"/>
      <c r="AE66" s="467"/>
      <c r="AF66" s="467"/>
      <c r="AG66" s="467"/>
      <c r="AH66" s="467"/>
      <c r="AI66" s="467"/>
      <c r="AJ66" s="467"/>
      <c r="AK66" s="467"/>
      <c r="AL66" s="467"/>
      <c r="AM66" s="467"/>
      <c r="AN66" s="467"/>
      <c r="AO66" s="467"/>
      <c r="AP66" s="467"/>
      <c r="AQ66" s="467"/>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7"/>
      <c r="BO66" s="467"/>
      <c r="BP66" s="467"/>
      <c r="BQ66" s="467"/>
      <c r="BR66" s="467"/>
      <c r="BS66" s="467"/>
      <c r="BT66" s="467"/>
      <c r="BU66" s="467"/>
      <c r="BV66" s="467"/>
      <c r="BW66" s="467"/>
      <c r="BX66" s="467"/>
      <c r="BY66" s="467"/>
      <c r="BZ66" s="467"/>
      <c r="CA66" s="467"/>
      <c r="CB66" s="467"/>
      <c r="CC66" s="467"/>
      <c r="CD66" s="467"/>
      <c r="CE66" s="467"/>
      <c r="CF66" s="467"/>
      <c r="CG66" s="467"/>
      <c r="CH66" s="467"/>
      <c r="CI66" s="467"/>
      <c r="CJ66" s="467"/>
      <c r="CK66" s="467"/>
      <c r="CL66" s="467"/>
      <c r="CM66" s="467"/>
      <c r="CN66" s="467"/>
      <c r="CO66" s="467"/>
      <c r="CP66" s="467"/>
      <c r="CQ66" s="467"/>
      <c r="CR66" s="467"/>
      <c r="CS66" s="467"/>
      <c r="CT66" s="467"/>
      <c r="CU66" s="467"/>
      <c r="CV66" s="467"/>
      <c r="CW66" s="467"/>
      <c r="CX66" s="467"/>
      <c r="CY66" s="467"/>
      <c r="CZ66" s="467"/>
      <c r="DA66" s="467"/>
    </row>
    <row r="67" spans="1:105" s="468" customFormat="1" ht="17">
      <c r="A67" s="472" t="s">
        <v>201</v>
      </c>
      <c r="B67" s="473" t="s">
        <v>676</v>
      </c>
      <c r="C67" s="446"/>
      <c r="D67" s="458">
        <f t="shared" si="2"/>
        <v>0</v>
      </c>
      <c r="E67" s="190"/>
      <c r="F67" s="190"/>
      <c r="G67" s="190"/>
      <c r="H67" s="190"/>
      <c r="I67" s="194"/>
      <c r="J67" s="466"/>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67"/>
      <c r="AL67" s="467"/>
      <c r="AM67" s="467"/>
      <c r="AN67" s="467"/>
      <c r="AO67" s="467"/>
      <c r="AP67" s="467"/>
      <c r="AQ67" s="467"/>
      <c r="AR67" s="467"/>
      <c r="AS67" s="467"/>
      <c r="AT67" s="467"/>
      <c r="AU67" s="467"/>
      <c r="AV67" s="467"/>
      <c r="AW67" s="467"/>
      <c r="AX67" s="467"/>
      <c r="AY67" s="467"/>
      <c r="AZ67" s="467"/>
      <c r="BA67" s="467"/>
      <c r="BB67" s="467"/>
      <c r="BC67" s="467"/>
      <c r="BD67" s="467"/>
      <c r="BE67" s="467"/>
      <c r="BF67" s="467"/>
      <c r="BG67" s="467"/>
      <c r="BH67" s="467"/>
      <c r="BI67" s="467"/>
      <c r="BJ67" s="467"/>
      <c r="BK67" s="467"/>
      <c r="BL67" s="467"/>
      <c r="BM67" s="467"/>
      <c r="BN67" s="467"/>
      <c r="BO67" s="467"/>
      <c r="BP67" s="467"/>
      <c r="BQ67" s="467"/>
      <c r="BR67" s="467"/>
      <c r="BS67" s="467"/>
      <c r="BT67" s="467"/>
      <c r="BU67" s="467"/>
      <c r="BV67" s="467"/>
      <c r="BW67" s="467"/>
      <c r="BX67" s="467"/>
      <c r="BY67" s="467"/>
      <c r="BZ67" s="467"/>
      <c r="CA67" s="467"/>
      <c r="CB67" s="467"/>
      <c r="CC67" s="467"/>
      <c r="CD67" s="467"/>
      <c r="CE67" s="467"/>
      <c r="CF67" s="467"/>
      <c r="CG67" s="467"/>
      <c r="CH67" s="467"/>
      <c r="CI67" s="467"/>
      <c r="CJ67" s="467"/>
      <c r="CK67" s="467"/>
      <c r="CL67" s="467"/>
      <c r="CM67" s="467"/>
      <c r="CN67" s="467"/>
      <c r="CO67" s="467"/>
      <c r="CP67" s="467"/>
      <c r="CQ67" s="467"/>
      <c r="CR67" s="467"/>
      <c r="CS67" s="467"/>
      <c r="CT67" s="467"/>
      <c r="CU67" s="467"/>
      <c r="CV67" s="467"/>
      <c r="CW67" s="467"/>
      <c r="CX67" s="467"/>
      <c r="CY67" s="467"/>
      <c r="CZ67" s="467"/>
      <c r="DA67" s="467"/>
    </row>
    <row r="68" spans="1:105" s="468" customFormat="1" ht="17">
      <c r="A68" s="472" t="s">
        <v>670</v>
      </c>
      <c r="B68" s="473" t="s">
        <v>644</v>
      </c>
      <c r="C68" s="446"/>
      <c r="D68" s="458">
        <f t="shared" si="2"/>
        <v>0</v>
      </c>
      <c r="E68" s="190"/>
      <c r="F68" s="190"/>
      <c r="G68" s="190"/>
      <c r="H68" s="190"/>
      <c r="I68" s="192"/>
      <c r="J68" s="467"/>
      <c r="K68" s="467"/>
      <c r="L68" s="467"/>
      <c r="M68" s="467"/>
      <c r="N68" s="467"/>
      <c r="O68" s="467"/>
      <c r="P68" s="467"/>
      <c r="Q68" s="467"/>
      <c r="R68" s="467"/>
      <c r="S68" s="467"/>
      <c r="T68" s="467"/>
      <c r="U68" s="467"/>
      <c r="V68" s="467"/>
      <c r="W68" s="467"/>
      <c r="X68" s="467"/>
      <c r="Y68" s="467"/>
      <c r="Z68" s="467"/>
      <c r="AA68" s="467"/>
      <c r="AB68" s="467"/>
      <c r="AC68" s="467"/>
      <c r="AD68" s="467"/>
      <c r="AE68" s="467"/>
      <c r="AF68" s="467"/>
      <c r="AG68" s="467"/>
      <c r="AH68" s="467"/>
      <c r="AI68" s="467"/>
      <c r="AJ68" s="467"/>
      <c r="AK68" s="467"/>
      <c r="AL68" s="467"/>
      <c r="AM68" s="467"/>
      <c r="AN68" s="467"/>
      <c r="AO68" s="467"/>
      <c r="AP68" s="467"/>
      <c r="AQ68" s="467"/>
      <c r="AR68" s="467"/>
      <c r="AS68" s="467"/>
      <c r="AT68" s="467"/>
      <c r="AU68" s="467"/>
      <c r="AV68" s="467"/>
      <c r="AW68" s="467"/>
      <c r="AX68" s="467"/>
      <c r="AY68" s="467"/>
      <c r="AZ68" s="467"/>
      <c r="BA68" s="467"/>
      <c r="BB68" s="467"/>
      <c r="BC68" s="467"/>
      <c r="BD68" s="467"/>
      <c r="BE68" s="467"/>
      <c r="BF68" s="467"/>
      <c r="BG68" s="467"/>
      <c r="BH68" s="467"/>
      <c r="BI68" s="467"/>
      <c r="BJ68" s="467"/>
      <c r="BK68" s="467"/>
      <c r="BL68" s="467"/>
      <c r="BM68" s="467"/>
      <c r="BN68" s="467"/>
      <c r="BO68" s="467"/>
      <c r="BP68" s="467"/>
      <c r="BQ68" s="467"/>
      <c r="BR68" s="467"/>
      <c r="BS68" s="467"/>
      <c r="BT68" s="467"/>
      <c r="BU68" s="467"/>
      <c r="BV68" s="467"/>
      <c r="BW68" s="467"/>
      <c r="BX68" s="467"/>
      <c r="BY68" s="467"/>
      <c r="BZ68" s="467"/>
      <c r="CA68" s="467"/>
      <c r="CB68" s="467"/>
      <c r="CC68" s="467"/>
      <c r="CD68" s="467"/>
      <c r="CE68" s="467"/>
      <c r="CF68" s="467"/>
      <c r="CG68" s="467"/>
      <c r="CH68" s="467"/>
      <c r="CI68" s="467"/>
      <c r="CJ68" s="467"/>
      <c r="CK68" s="467"/>
      <c r="CL68" s="467"/>
      <c r="CM68" s="467"/>
      <c r="CN68" s="467"/>
      <c r="CO68" s="467"/>
      <c r="CP68" s="467"/>
      <c r="CQ68" s="467"/>
      <c r="CR68" s="467"/>
      <c r="CS68" s="467"/>
      <c r="CT68" s="467"/>
      <c r="CU68" s="467"/>
      <c r="CV68" s="467"/>
      <c r="CW68" s="467"/>
      <c r="CX68" s="467"/>
      <c r="CY68" s="467"/>
      <c r="CZ68" s="467"/>
      <c r="DA68" s="467"/>
    </row>
    <row r="69" spans="1:105" s="471" customFormat="1" ht="17">
      <c r="A69" s="451"/>
      <c r="B69" s="469" t="s">
        <v>646</v>
      </c>
      <c r="C69" s="452"/>
      <c r="D69" s="470">
        <f>SUM(D57:D68)/COUNTIF(C57:C68,"&lt;&gt;NA")</f>
        <v>0</v>
      </c>
      <c r="E69" s="452"/>
      <c r="F69" s="452"/>
      <c r="G69" s="452"/>
      <c r="H69" s="452"/>
      <c r="I69" s="455"/>
      <c r="J69" s="467"/>
      <c r="K69" s="467"/>
      <c r="L69" s="467"/>
      <c r="M69" s="467"/>
      <c r="N69" s="467"/>
      <c r="O69" s="467"/>
      <c r="P69" s="467"/>
      <c r="Q69" s="467"/>
      <c r="R69" s="467"/>
      <c r="S69" s="467"/>
      <c r="T69" s="467"/>
      <c r="U69" s="467"/>
      <c r="V69" s="467"/>
      <c r="W69" s="467"/>
      <c r="X69" s="467"/>
      <c r="Y69" s="467"/>
      <c r="Z69" s="467"/>
      <c r="AA69" s="467"/>
      <c r="AB69" s="467"/>
      <c r="AC69" s="467"/>
      <c r="AD69" s="467"/>
      <c r="AE69" s="467"/>
      <c r="AF69" s="467"/>
      <c r="AG69" s="467"/>
      <c r="AH69" s="467"/>
      <c r="AI69" s="467"/>
      <c r="AJ69" s="467"/>
      <c r="AK69" s="467"/>
      <c r="AL69" s="467"/>
      <c r="AM69" s="467"/>
      <c r="AN69" s="467"/>
      <c r="AO69" s="467"/>
      <c r="AP69" s="467"/>
      <c r="AQ69" s="467"/>
      <c r="AR69" s="467"/>
      <c r="AS69" s="467"/>
      <c r="AT69" s="467"/>
      <c r="AU69" s="467"/>
      <c r="AV69" s="467"/>
      <c r="AW69" s="467"/>
      <c r="AX69" s="467"/>
      <c r="AY69" s="467"/>
      <c r="AZ69" s="467"/>
      <c r="BA69" s="467"/>
      <c r="BB69" s="467"/>
      <c r="BC69" s="467"/>
      <c r="BD69" s="467"/>
      <c r="BE69" s="467"/>
      <c r="BF69" s="467"/>
      <c r="BG69" s="467"/>
      <c r="BH69" s="467"/>
      <c r="BI69" s="467"/>
      <c r="BJ69" s="467"/>
      <c r="BK69" s="467"/>
      <c r="BL69" s="467"/>
      <c r="BM69" s="467"/>
      <c r="BN69" s="467"/>
      <c r="BO69" s="467"/>
      <c r="BP69" s="467"/>
      <c r="BQ69" s="467"/>
      <c r="BR69" s="467"/>
      <c r="BS69" s="467"/>
      <c r="BT69" s="467"/>
      <c r="BU69" s="467"/>
      <c r="BV69" s="467"/>
      <c r="BW69" s="467"/>
      <c r="BX69" s="467"/>
      <c r="BY69" s="467"/>
      <c r="BZ69" s="467"/>
      <c r="CA69" s="467"/>
      <c r="CB69" s="467"/>
      <c r="CC69" s="467"/>
      <c r="CD69" s="467"/>
      <c r="CE69" s="467"/>
      <c r="CF69" s="467"/>
      <c r="CG69" s="467"/>
      <c r="CH69" s="467"/>
      <c r="CI69" s="467"/>
      <c r="CJ69" s="467"/>
      <c r="CK69" s="467"/>
      <c r="CL69" s="467"/>
      <c r="CM69" s="467"/>
      <c r="CN69" s="467"/>
      <c r="CO69" s="467"/>
      <c r="CP69" s="467"/>
      <c r="CQ69" s="467"/>
      <c r="CR69" s="467"/>
      <c r="CS69" s="467"/>
      <c r="CT69" s="467"/>
      <c r="CU69" s="467"/>
      <c r="CV69" s="467"/>
      <c r="CW69" s="467"/>
      <c r="CX69" s="467"/>
      <c r="CY69" s="467"/>
      <c r="CZ69" s="467"/>
      <c r="DA69" s="467"/>
    </row>
    <row r="70" spans="1:105" ht="17">
      <c r="A70" s="456" t="s">
        <v>314</v>
      </c>
      <c r="B70" s="463" t="s">
        <v>635</v>
      </c>
      <c r="C70" s="443"/>
      <c r="D70" s="458">
        <f t="shared" ref="D70:D75" si="3">IF(C70="Y",10,IF(C70="N",0,IF(C70="NA","",0)))</f>
        <v>0</v>
      </c>
      <c r="E70" s="190"/>
      <c r="F70" s="190"/>
      <c r="G70" s="191"/>
      <c r="H70" s="191"/>
      <c r="I70" s="192"/>
    </row>
    <row r="71" spans="1:105" ht="34">
      <c r="A71" s="456" t="s">
        <v>315</v>
      </c>
      <c r="B71" s="463" t="s">
        <v>313</v>
      </c>
      <c r="C71" s="443"/>
      <c r="D71" s="458">
        <f t="shared" si="3"/>
        <v>0</v>
      </c>
      <c r="E71" s="190"/>
      <c r="F71" s="190"/>
      <c r="G71" s="191"/>
      <c r="H71" s="191"/>
      <c r="I71" s="192"/>
    </row>
    <row r="72" spans="1:105" ht="85">
      <c r="A72" s="456" t="s">
        <v>317</v>
      </c>
      <c r="B72" s="457" t="s">
        <v>636</v>
      </c>
      <c r="C72" s="443"/>
      <c r="D72" s="458">
        <f t="shared" si="3"/>
        <v>0</v>
      </c>
      <c r="E72" s="190"/>
      <c r="F72" s="190"/>
      <c r="G72" s="191"/>
      <c r="H72" s="191"/>
      <c r="I72" s="192"/>
    </row>
    <row r="73" spans="1:105" ht="85">
      <c r="A73" s="456" t="s">
        <v>319</v>
      </c>
      <c r="B73" s="457" t="s">
        <v>316</v>
      </c>
      <c r="C73" s="443"/>
      <c r="D73" s="458">
        <f t="shared" si="3"/>
        <v>0</v>
      </c>
      <c r="E73" s="190"/>
      <c r="F73" s="190"/>
      <c r="G73" s="190"/>
      <c r="H73" s="191"/>
      <c r="I73" s="192"/>
    </row>
    <row r="74" spans="1:105" ht="68">
      <c r="A74" s="456" t="s">
        <v>637</v>
      </c>
      <c r="B74" s="457" t="s">
        <v>318</v>
      </c>
      <c r="C74" s="443"/>
      <c r="D74" s="458">
        <f t="shared" si="3"/>
        <v>0</v>
      </c>
      <c r="E74" s="190"/>
      <c r="F74" s="190"/>
      <c r="G74" s="190"/>
      <c r="H74" s="191"/>
      <c r="I74" s="192"/>
    </row>
    <row r="75" spans="1:105" ht="119">
      <c r="A75" s="456" t="s">
        <v>638</v>
      </c>
      <c r="B75" s="457" t="s">
        <v>639</v>
      </c>
      <c r="C75" s="443"/>
      <c r="D75" s="458">
        <f t="shared" si="3"/>
        <v>0</v>
      </c>
      <c r="E75" s="190"/>
      <c r="F75" s="190"/>
      <c r="G75" s="190"/>
      <c r="H75" s="191"/>
      <c r="I75" s="192"/>
    </row>
    <row r="76" spans="1:105" ht="17">
      <c r="A76" s="456" t="s">
        <v>320</v>
      </c>
      <c r="B76" s="460" t="s">
        <v>38</v>
      </c>
      <c r="C76" s="461"/>
      <c r="D76" s="462"/>
      <c r="E76" s="460"/>
      <c r="F76" s="460"/>
      <c r="G76" s="454"/>
      <c r="H76" s="454"/>
      <c r="I76" s="455"/>
    </row>
    <row r="77" spans="1:105" ht="34">
      <c r="A77" s="456" t="s">
        <v>321</v>
      </c>
      <c r="B77" s="457" t="s">
        <v>203</v>
      </c>
      <c r="C77" s="443"/>
      <c r="D77" s="458">
        <f>IF(C77="Y",10,IF(C77="N",0,IF(C77="NA","",0)))</f>
        <v>0</v>
      </c>
      <c r="E77" s="190"/>
      <c r="F77" s="190"/>
      <c r="G77" s="191"/>
      <c r="H77" s="191"/>
      <c r="I77" s="192"/>
    </row>
    <row r="78" spans="1:105" ht="68">
      <c r="A78" s="456" t="s">
        <v>322</v>
      </c>
      <c r="B78" s="457" t="s">
        <v>204</v>
      </c>
      <c r="C78" s="444"/>
      <c r="D78" s="458">
        <f>C78*10</f>
        <v>0</v>
      </c>
      <c r="E78" s="190"/>
      <c r="F78" s="196"/>
      <c r="G78" s="191"/>
      <c r="H78" s="191"/>
      <c r="I78" s="192"/>
    </row>
    <row r="79" spans="1:105" ht="51">
      <c r="A79" s="456" t="s">
        <v>323</v>
      </c>
      <c r="B79" s="457" t="s">
        <v>205</v>
      </c>
      <c r="C79" s="443"/>
      <c r="D79" s="458">
        <f>IF(C79="Y",10,0)</f>
        <v>0</v>
      </c>
      <c r="E79" s="190"/>
      <c r="F79" s="190"/>
      <c r="G79" s="190"/>
      <c r="H79" s="191"/>
      <c r="I79" s="192"/>
    </row>
    <row r="80" spans="1:105" ht="34">
      <c r="A80" s="456" t="s">
        <v>324</v>
      </c>
      <c r="B80" s="457" t="s">
        <v>206</v>
      </c>
      <c r="C80" s="443"/>
      <c r="D80" s="458">
        <f>IF(C80="Y",10,0)</f>
        <v>0</v>
      </c>
      <c r="E80" s="190"/>
      <c r="F80" s="190"/>
      <c r="G80" s="190"/>
      <c r="H80" s="191"/>
      <c r="I80" s="192"/>
    </row>
    <row r="81" spans="1:9" ht="69" thickBot="1">
      <c r="A81" s="456" t="s">
        <v>325</v>
      </c>
      <c r="B81" s="474" t="s">
        <v>640</v>
      </c>
      <c r="C81" s="445"/>
      <c r="D81" s="475">
        <f>IF(C81="Y",10,IF(C81="N",0,IF(C81="NA","",0)))</f>
        <v>0</v>
      </c>
      <c r="E81" s="197"/>
      <c r="F81" s="197"/>
      <c r="G81" s="197"/>
      <c r="H81" s="198"/>
      <c r="I81" s="199"/>
    </row>
    <row r="82" spans="1:9" s="3" customFormat="1" ht="17" thickBot="1">
      <c r="A82" s="476"/>
      <c r="B82" s="477"/>
      <c r="C82" s="477"/>
      <c r="D82" s="478"/>
      <c r="E82" s="477"/>
      <c r="F82" s="477"/>
      <c r="G82" s="479"/>
      <c r="H82" s="479"/>
      <c r="I82" s="479"/>
    </row>
    <row r="83" spans="1:9" s="3" customFormat="1" ht="17" thickBot="1">
      <c r="A83" s="480"/>
      <c r="B83" s="479"/>
      <c r="C83" s="481" t="s">
        <v>326</v>
      </c>
      <c r="D83" s="482">
        <f>SUM(D6:D18,D20:D27,D29:D32,D35:D39,D41,D55,D69,D70:D75,D77:D81)</f>
        <v>0</v>
      </c>
      <c r="E83" s="479"/>
      <c r="F83" s="479"/>
      <c r="G83" s="479"/>
      <c r="H83" s="479"/>
      <c r="I83" s="479"/>
    </row>
    <row r="84" spans="1:9" s="3" customFormat="1" ht="17" thickBot="1">
      <c r="A84" s="480"/>
      <c r="B84" s="479"/>
      <c r="C84" s="481" t="s">
        <v>327</v>
      </c>
      <c r="D84" s="483">
        <f>D83/(SUM(COUNTIF(C6:C18,"&lt;&gt;NA"),COUNTIF(C20:C27,"&lt;&gt;NA"),COUNTIF(C29:C32,"&lt;&gt;NA"),COUNTIF(C35:C39,"&lt;&gt;NA"),COUNTIF(C41,"&lt;&gt;NA"),COUNTIF(C55,"&lt;&gt;NA"),COUNTIF(C69,"&lt;&gt;NA"),COUNTIF(C70:C75,"&lt;&gt;NA"),COUNTIF(C77:C81,"&lt;&gt;NA"))*10)*100</f>
        <v>0</v>
      </c>
      <c r="E84" s="479"/>
      <c r="F84" s="479"/>
      <c r="G84" s="479"/>
      <c r="H84" s="479"/>
      <c r="I84" s="479"/>
    </row>
    <row r="85" spans="1:9" s="3" customFormat="1">
      <c r="D85" s="491"/>
    </row>
    <row r="86" spans="1:9" s="3" customFormat="1"/>
    <row r="87" spans="1:9" s="3" customFormat="1"/>
    <row r="88" spans="1:9" s="3" customFormat="1"/>
    <row r="89" spans="1:9" s="3" customFormat="1"/>
    <row r="90" spans="1:9" s="3" customFormat="1"/>
    <row r="91" spans="1:9" s="3" customFormat="1"/>
    <row r="92" spans="1:9" s="3" customFormat="1"/>
    <row r="93" spans="1:9" s="3" customFormat="1"/>
    <row r="94" spans="1:9" s="3" customFormat="1"/>
    <row r="95" spans="1:9" s="3" customFormat="1"/>
    <row r="96" spans="1:9"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sheetData>
  <sheetProtection password="840D" sheet="1" objects="1" scenarios="1" formatColumns="0" formatRows="0" selectLockedCells="1"/>
  <mergeCells count="7">
    <mergeCell ref="B40:I40"/>
    <mergeCell ref="B33:I33"/>
    <mergeCell ref="A1:I1"/>
    <mergeCell ref="A2:I2"/>
    <mergeCell ref="B19:I19"/>
    <mergeCell ref="B5:I5"/>
    <mergeCell ref="B28:I28"/>
  </mergeCells>
  <dataValidations count="2">
    <dataValidation type="list" allowBlank="1" showInputMessage="1" showErrorMessage="1" error="Should be Y, N or NA, please click Cancel then choose your entry from the pull down menu by clicking on the down arrow to the right of the cell." sqref="C24 C11:C13 C15:C17 C44:C45 C22 C58:C59" xr:uid="{00000000-0002-0000-0800-000000000000}">
      <formula1>"Y,N,NA"</formula1>
    </dataValidation>
    <dataValidation type="list" allowBlank="1" showInputMessage="1" showErrorMessage="1" error="Should be Y or N, please click Cancel then choose your entry from the pull down menu by clicking on the down arrow to the right of the cell." sqref="C6:C10 C79:C81 C77 C70:C75 C46:C54 C43 C41 C35:C39 C29:C31 C27 C20 C18 C14 C60:C68 C57" xr:uid="{00000000-0002-0000-0800-000001000000}">
      <formula1>"Y,N"</formula1>
    </dataValidation>
  </dataValidation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78</vt:i4>
      </vt:variant>
    </vt:vector>
  </HeadingPairs>
  <TitlesOfParts>
    <vt:vector size="93" baseType="lpstr">
      <vt:lpstr>Welcome and How-to</vt:lpstr>
      <vt:lpstr>Cement Sources</vt:lpstr>
      <vt:lpstr>Plant Inputs</vt:lpstr>
      <vt:lpstr>A-PCR-Structural</vt:lpstr>
      <vt:lpstr>B-PCR-Architectural</vt:lpstr>
      <vt:lpstr>C-PCR-Insulated Architectural</vt:lpstr>
      <vt:lpstr>D-PCR-Underground</vt:lpstr>
      <vt:lpstr>Principal Summary</vt:lpstr>
      <vt:lpstr>EP Measurements</vt:lpstr>
      <vt:lpstr>Custom Project Calculator</vt:lpstr>
      <vt:lpstr>CPCI Data</vt:lpstr>
      <vt:lpstr>Chart Data</vt:lpstr>
      <vt:lpstr>Conversions</vt:lpstr>
      <vt:lpstr>SP Data</vt:lpstr>
      <vt:lpstr>Supplemental LCA Data</vt:lpstr>
      <vt:lpstr>Association_Version</vt:lpstr>
      <vt:lpstr>BlendYourOwnCement1</vt:lpstr>
      <vt:lpstr>BlendYourOwnCement2</vt:lpstr>
      <vt:lpstr>BlendYourOwnCement3</vt:lpstr>
      <vt:lpstr>BlendYourOwnCement4</vt:lpstr>
      <vt:lpstr>CanadaFirstLocations</vt:lpstr>
      <vt:lpstr>Canadian_Provinces</vt:lpstr>
      <vt:lpstr>Cement_Sources_CAN</vt:lpstr>
      <vt:lpstr>Cement_Sources_USA</vt:lpstr>
      <vt:lpstr>Conversion_Columns</vt:lpstr>
      <vt:lpstr>Conversion_Rows</vt:lpstr>
      <vt:lpstr>Conversion_Table</vt:lpstr>
      <vt:lpstr>Conversions_From</vt:lpstr>
      <vt:lpstr>Conversions_To</vt:lpstr>
      <vt:lpstr>Distance_Units</vt:lpstr>
      <vt:lpstr>DistanceCalcUnit</vt:lpstr>
      <vt:lpstr>DistanceDisplayUnit</vt:lpstr>
      <vt:lpstr>Energy_Units</vt:lpstr>
      <vt:lpstr>EnergyCalcUnit</vt:lpstr>
      <vt:lpstr>EnergyPerTonneDisplayUnit</vt:lpstr>
      <vt:lpstr>EnergyTotalDisplayUnit</vt:lpstr>
      <vt:lpstr>EPD_Calc_Units</vt:lpstr>
      <vt:lpstr>EPD_Measures</vt:lpstr>
      <vt:lpstr>EPD_Units</vt:lpstr>
      <vt:lpstr>EPDEnergyUnit</vt:lpstr>
      <vt:lpstr>EPDMaterialUnit</vt:lpstr>
      <vt:lpstr>EPDProductionUnit</vt:lpstr>
      <vt:lpstr>EPDTRACIUnit</vt:lpstr>
      <vt:lpstr>EPDWasteUnit</vt:lpstr>
      <vt:lpstr>EPDWaterUnit</vt:lpstr>
      <vt:lpstr>EPGrade</vt:lpstr>
      <vt:lpstr>EPGrade_v1</vt:lpstr>
      <vt:lpstr>ExportEnergyperTonne</vt:lpstr>
      <vt:lpstr>ExportGWPperTonne</vt:lpstr>
      <vt:lpstr>ExportPlantNumber</vt:lpstr>
      <vt:lpstr>ExportReportingPeriod</vt:lpstr>
      <vt:lpstr>ExportReportingYear</vt:lpstr>
      <vt:lpstr>ExportWaterperTonne</vt:lpstr>
      <vt:lpstr>LCIA_Columns</vt:lpstr>
      <vt:lpstr>LCIA_Data</vt:lpstr>
      <vt:lpstr>LCIA_Rows_B</vt:lpstr>
      <vt:lpstr>LCIA_Rows_C</vt:lpstr>
      <vt:lpstr>Locations_CAN</vt:lpstr>
      <vt:lpstr>Locations_USA</vt:lpstr>
      <vt:lpstr>Mass_Units</vt:lpstr>
      <vt:lpstr>MassCalcUnit</vt:lpstr>
      <vt:lpstr>MassCalcUnit2</vt:lpstr>
      <vt:lpstr>MassDisplayUnit</vt:lpstr>
      <vt:lpstr>Material_Densities</vt:lpstr>
      <vt:lpstr>Material_Energy_Grid</vt:lpstr>
      <vt:lpstr>NaturalGasDisplayUnit</vt:lpstr>
      <vt:lpstr>PlantLocation</vt:lpstr>
      <vt:lpstr>Product_Units</vt:lpstr>
      <vt:lpstr>Reporting_Periods_Reporting</vt:lpstr>
      <vt:lpstr>Reporting_Periods_Survey</vt:lpstr>
      <vt:lpstr>ToolName</vt:lpstr>
      <vt:lpstr>ToolType</vt:lpstr>
      <vt:lpstr>Totals_Energy</vt:lpstr>
      <vt:lpstr>Totals_Grand</vt:lpstr>
      <vt:lpstr>Totals_Materials</vt:lpstr>
      <vt:lpstr>Totals_Materials_Transportation</vt:lpstr>
      <vt:lpstr>Totals_Waste</vt:lpstr>
      <vt:lpstr>Totals_Waste_Transportation</vt:lpstr>
      <vt:lpstr>Totals_Water</vt:lpstr>
      <vt:lpstr>TRACICalcUnit</vt:lpstr>
      <vt:lpstr>TRACIPerTonneDisplayUnit</vt:lpstr>
      <vt:lpstr>TRACITotalDisplayUnit</vt:lpstr>
      <vt:lpstr>UnitSystem</vt:lpstr>
      <vt:lpstr>US_States</vt:lpstr>
      <vt:lpstr>USFirstLocations</vt:lpstr>
      <vt:lpstr>Version_Number</vt:lpstr>
      <vt:lpstr>Volume_Units</vt:lpstr>
      <vt:lpstr>VolumeCalcUnit</vt:lpstr>
      <vt:lpstr>VolumeDisplayUnit</vt:lpstr>
      <vt:lpstr>WaterCalcUnit</vt:lpstr>
      <vt:lpstr>WaterPerTonneDisplayUnit</vt:lpstr>
      <vt:lpstr>WaterTotalDisplayUnit</vt:lpstr>
      <vt:lpstr>Years</vt:lpstr>
    </vt:vector>
  </TitlesOfParts>
  <Company>Athena Institute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NRMCA GHG Carbon Calculator</dc:title>
  <dc:creator>Chris Goemans</dc:creator>
  <cp:lastModifiedBy>Emily Lorenz</cp:lastModifiedBy>
  <cp:lastPrinted>2009-08-27T16:38:26Z</cp:lastPrinted>
  <dcterms:created xsi:type="dcterms:W3CDTF">2009-01-06T16:45:45Z</dcterms:created>
  <dcterms:modified xsi:type="dcterms:W3CDTF">2023-01-29T23:46:53Z</dcterms:modified>
</cp:coreProperties>
</file>